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visible" name="Portfolio" sheetId="2" r:id="rId5"/>
    <sheet state="visible" name="Token" sheetId="3" r:id="rId6"/>
    <sheet state="visible" name="Dashboard" sheetId="4" r:id="rId7"/>
    <sheet state="visible" name="Historic" sheetId="5" r:id="rId8"/>
    <sheet state="visible" name="Associate" sheetId="6" r:id="rId9"/>
    <sheet state="visible" name="TransactionsView" sheetId="7" r:id="rId10"/>
    <sheet state="visible" name="Transactions" sheetId="8" r:id="rId11"/>
    <sheet state="hidden" name="FAQ" sheetId="9" r:id="rId12"/>
    <sheet state="hidden" name="Translation" sheetId="10" r:id="rId13"/>
    <sheet state="hidden" name="Ernesto" sheetId="11" r:id="rId14"/>
    <sheet state="visible" name="1" sheetId="12" r:id="rId15"/>
    <sheet state="visible" name="2" sheetId="13" r:id="rId16"/>
    <sheet state="visible" name="3" sheetId="14" r:id="rId17"/>
    <sheet state="visible" name="4" sheetId="15" r:id="rId18"/>
    <sheet state="visible" name="5" sheetId="16" r:id="rId19"/>
    <sheet state="visible" name="6" sheetId="17" r:id="rId20"/>
    <sheet state="visible" name="7" sheetId="18" r:id="rId21"/>
    <sheet state="visible" name="8" sheetId="19" r:id="rId22"/>
    <sheet state="visible" name="9" sheetId="20" r:id="rId23"/>
    <sheet state="visible" name="10" sheetId="21" r:id="rId24"/>
    <sheet state="visible" name="11" sheetId="22" r:id="rId25"/>
    <sheet state="visible" name="AssociateModel" sheetId="23" r:id="rId26"/>
  </sheets>
  <definedNames>
    <definedName hidden="1" localSheetId="6" name="_xlnm._FilterDatabase">TransactionsView!$A$1:$F$96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O1">
      <text>
        <t xml:space="preserve">CHANGE HERE to manually update wallets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Money donated to charity</t>
      </text>
    </comment>
    <comment authorId="0" ref="D1">
      <text>
        <t xml:space="preserve">Time since first investment</t>
      </text>
    </comment>
    <comment authorId="0" ref="E1">
      <text>
        <t xml:space="preserve">Money put on account (since beginning)</t>
      </text>
    </comment>
    <comment authorId="0" ref="F1">
      <text>
        <t xml:space="preserve">Money withdraw from account (since beginning)</t>
      </text>
    </comment>
    <comment authorId="0" ref="G1">
      <text>
        <t xml:space="preserve">Cumulated gain since the beginning of saving</t>
      </text>
    </comment>
    <comment authorId="0" ref="H1">
      <text>
        <t xml:space="preserve">The cumulated rate adjusted to one year</t>
      </text>
    </comment>
    <comment authorId="0" ref="I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WARNING : Should be the same as the spreadsheet name with account data historic</t>
      </text>
    </comment>
    <comment authorId="0" ref="D1">
      <text>
        <t xml:space="preserve">Amount added/withdrawed by the associate (positive if added, negative if withdrawed)</t>
      </text>
    </comment>
    <comment authorId="0" ref="E1">
      <text>
        <t xml:space="preserve">Cost if money is taken before the end of the month (4% / year)</t>
      </text>
    </comment>
  </commentList>
</comments>
</file>

<file path=xl/comments4.xml><?xml version="1.0" encoding="utf-8"?>
<comments xmlns:r="http://schemas.openxmlformats.org/officeDocument/2006/relationships" xmlns="http://schemas.openxmlformats.org/spreadsheetml/2006/main">
  <authors>
    <author/>
  </authors>
  <commentList>
    <comment authorId="0" ref="A22">
      <text>
        <t xml:space="preserve">WARNING : Should be the same as the spreadsheet name with account data historic</t>
      </text>
    </comment>
    <comment authorId="0" ref="A23">
      <text>
        <t xml:space="preserve">Set a value if the movement is recurrent (happening every month), can only be negative (withdraw)</t>
      </text>
    </comment>
    <comment authorId="0" ref="A27">
      <text>
        <t xml:space="preserve">Money donated to charity</t>
      </text>
    </comment>
    <comment authorId="0" ref="A28">
      <text>
        <t xml:space="preserve">Number of financed projects</t>
      </text>
    </comment>
    <comment authorId="0" ref="A29">
      <text>
        <t xml:space="preserve">Time since first investment</t>
      </text>
    </comment>
    <comment authorId="0" ref="A50">
      <text>
        <t xml:space="preserve">Amount not added because the money has not been invested</t>
      </text>
    </comment>
    <comment authorId="0" ref="A51">
      <text>
        <t xml:space="preserve">Money really invested (movement - rejected)</t>
      </text>
    </comment>
    <comment authorId="0" ref="A52">
      <text>
        <t xml:space="preserve">Cumulated amount without interest</t>
      </text>
    </comment>
    <comment authorId="0" ref="A53">
      <text>
        <t xml:space="preserve">Fund collected by those earning more than the FiMs Average Rate</t>
      </text>
    </comment>
    <comment authorId="0" ref="A54">
      <text>
        <t xml:space="preserve">The monthly rate from which calculate interests</t>
      </text>
    </comment>
    <comment authorId="0" ref="A55">
      <text>
        <t xml:space="preserve">The cumulated rate since the beginning of savings</t>
      </text>
    </comment>
    <comment authorId="0" ref="A56">
      <text>
        <t xml:space="preserve">Gain rate on the invested amount average</t>
      </text>
    </comment>
    <comment authorId="0" ref="A57">
      <text>
        <t xml:space="preserve">The cumulated rate adjusted to one year</t>
      </text>
    </comment>
    <comment authorId="0" ref="A58">
      <text>
        <t xml:space="preserve">Current gain (= Current Value * Rate / 12)</t>
      </text>
    </comment>
    <comment authorId="0" ref="A59">
      <text>
        <t xml:space="preserve">Cumulated gain since the beginning of saving</t>
      </text>
    </comment>
    <comment authorId="0" ref="A60">
      <text>
        <t xml:space="preserve">Money collected for charity</t>
      </text>
    </comment>
    <comment authorId="0" ref="A61">
      <text>
        <t xml:space="preserve">Minimum guaranteed in case of negative rate</t>
      </text>
    </comment>
    <comment authorId="0" ref="A62">
      <text>
        <t xml:space="preserve">Total of value and gain cumulated</t>
      </text>
    </comment>
    <comment authorId="0" ref="A63">
      <text>
        <t xml:space="preserve">Total amount saved</t>
      </text>
    </comment>
    <comment authorId="0" ref="A72">
      <text>
        <t xml:space="preserve">Sum own by / due to others</t>
      </text>
    </comment>
    <comment authorId="0" ref="A80">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sharedStrings.xml><?xml version="1.0" encoding="utf-8"?>
<sst xmlns="http://schemas.openxmlformats.org/spreadsheetml/2006/main" count="1534" uniqueCount="773">
  <si>
    <t>DateTime</t>
  </si>
  <si>
    <t>Date</t>
  </si>
  <si>
    <t>Time</t>
  </si>
  <si>
    <t>Year</t>
  </si>
  <si>
    <t>Month</t>
  </si>
  <si>
    <t>Day</t>
  </si>
  <si>
    <t>WeekDay</t>
  </si>
  <si>
    <t>OpeningDay</t>
  </si>
  <si>
    <t>ClosingDay</t>
  </si>
  <si>
    <t>OpeningHour</t>
  </si>
  <si>
    <t>ClosingHour</t>
  </si>
  <si>
    <t>IsOpen</t>
  </si>
  <si>
    <t>Name</t>
  </si>
  <si>
    <t>Address</t>
  </si>
  <si>
    <t>Ispublic</t>
  </si>
  <si>
    <t>FiMs Token</t>
  </si>
  <si>
    <t>Euro</t>
  </si>
  <si>
    <t>Total</t>
  </si>
  <si>
    <t>Invested</t>
  </si>
  <si>
    <t>Profit value</t>
  </si>
  <si>
    <t>Profit ratio</t>
  </si>
  <si>
    <t>Yearly yield</t>
  </si>
  <si>
    <t>SOL profit price</t>
  </si>
  <si>
    <t>Link</t>
  </si>
  <si>
    <t xml:space="preserve"> </t>
  </si>
  <si>
    <t>1</t>
  </si>
  <si>
    <t>FiMs</t>
  </si>
  <si>
    <t>5uXKZWCYbaKwFMwu9BxMGEYowbhuG34qqYkg36hL5YvG</t>
  </si>
  <si>
    <t>true</t>
  </si>
  <si>
    <t>2</t>
  </si>
  <si>
    <t>Bloopsy</t>
  </si>
  <si>
    <t>BNnncdQZ9YokyQJX8of4K2YGw3pvLt2SVkXK131E1nFy</t>
  </si>
  <si>
    <t>3</t>
  </si>
  <si>
    <t>Paclone</t>
  </si>
  <si>
    <t>7mcmWmVbCpFcVCL5Ef5T7oQsLSbmDV5sCVsGcT1p2RiF</t>
  </si>
  <si>
    <t>4</t>
  </si>
  <si>
    <t>Philo</t>
  </si>
  <si>
    <t>95zAGXEF8ChywxAGpvEScqZLeyPoos7x82jVKMdw9NfB</t>
  </si>
  <si>
    <t>5</t>
  </si>
  <si>
    <t>Lizzz</t>
  </si>
  <si>
    <t>6RCYFxTFZ7M6ZUGEUQadybc3BeTMqtfyHfGKwVQrbmf7</t>
  </si>
  <si>
    <t>6</t>
  </si>
  <si>
    <t>Joséd</t>
  </si>
  <si>
    <t>14n15dFbXyAbZcMqTJDMKRkBEQXhHw7i47vZWrbroePP</t>
  </si>
  <si>
    <t>7</t>
  </si>
  <si>
    <t>CyrilleV</t>
  </si>
  <si>
    <t>14qHdNDDyZiV2uijXi951natMiucMQGXhfubucRsWaJu</t>
  </si>
  <si>
    <t>8</t>
  </si>
  <si>
    <t>Jeremie</t>
  </si>
  <si>
    <t>9</t>
  </si>
  <si>
    <t>Christine</t>
  </si>
  <si>
    <t>GsX2GFS91jPejP66cRASZUN8PxFa8wnbnAQcBPpkbSEo</t>
  </si>
  <si>
    <t>10</t>
  </si>
  <si>
    <t>Manusavin</t>
  </si>
  <si>
    <t>9F3t89oU5PBC1g77C5rxxuseaDQyKUwvMkw5bDHLvfym</t>
  </si>
  <si>
    <t>11</t>
  </si>
  <si>
    <t>Valentin</t>
  </si>
  <si>
    <t>64Yi74wnCgbXAzLJmZGtSGVAZuEb7Jd7wc5kCYX1KRHV</t>
  </si>
  <si>
    <t>12</t>
  </si>
  <si>
    <t>Flodef</t>
  </si>
  <si>
    <t>58kZBjjtHShTtXFmygr3ZT8VSU4dH28PanRAdouHbToh</t>
  </si>
  <si>
    <t>Donated</t>
  </si>
  <si>
    <t>Duration</t>
  </si>
  <si>
    <t>Deposit</t>
  </si>
  <si>
    <t>Withdraw</t>
  </si>
  <si>
    <t>Cumul Gain</t>
  </si>
  <si>
    <t>Yearly Rate</t>
  </si>
  <si>
    <t>cerisier.christine@orange.fr</t>
  </si>
  <si>
    <t>Associate</t>
  </si>
  <si>
    <t>Token</t>
  </si>
  <si>
    <t>Userid</t>
  </si>
  <si>
    <t>Movement</t>
  </si>
  <si>
    <t>Cost</t>
  </si>
  <si>
    <t>Amount</t>
  </si>
  <si>
    <t>96</t>
  </si>
  <si>
    <t>2024-03-01T00:00:00.000Z</t>
  </si>
  <si>
    <t>-312</t>
  </si>
  <si>
    <t>0</t>
  </si>
  <si>
    <t>-300</t>
  </si>
  <si>
    <t>95</t>
  </si>
  <si>
    <t>2024-02-29T00:00:00.000Z</t>
  </si>
  <si>
    <t>-1102.14</t>
  </si>
  <si>
    <t>-5.51</t>
  </si>
  <si>
    <t>FSOL</t>
  </si>
  <si>
    <t>-9</t>
  </si>
  <si>
    <t>94</t>
  </si>
  <si>
    <t>126.55</t>
  </si>
  <si>
    <t>93</t>
  </si>
  <si>
    <t>2024-02-20T00:00:00.000Z</t>
  </si>
  <si>
    <t>5000</t>
  </si>
  <si>
    <t>44</t>
  </si>
  <si>
    <t>81</t>
  </si>
  <si>
    <t>2024-02-15T00:00:00.000Z</t>
  </si>
  <si>
    <t>-805</t>
  </si>
  <si>
    <t>-4.02</t>
  </si>
  <si>
    <t>-7</t>
  </si>
  <si>
    <t>90</t>
  </si>
  <si>
    <t>2024-02-14T00:00:00.000Z</t>
  </si>
  <si>
    <t>2100</t>
  </si>
  <si>
    <t/>
  </si>
  <si>
    <t>89</t>
  </si>
  <si>
    <t>300</t>
  </si>
  <si>
    <t>88</t>
  </si>
  <si>
    <t>709</t>
  </si>
  <si>
    <t>87</t>
  </si>
  <si>
    <t>846.5</t>
  </si>
  <si>
    <t>92</t>
  </si>
  <si>
    <t>70</t>
  </si>
  <si>
    <t>85</t>
  </si>
  <si>
    <t>8940.1</t>
  </si>
  <si>
    <t>84</t>
  </si>
  <si>
    <t>22.2</t>
  </si>
  <si>
    <t>83</t>
  </si>
  <si>
    <t>4450.4</t>
  </si>
  <si>
    <t>86</t>
  </si>
  <si>
    <t>91</t>
  </si>
  <si>
    <t>830</t>
  </si>
  <si>
    <t>80</t>
  </si>
  <si>
    <t>2024-02-10T00:00:00.000Z</t>
  </si>
  <si>
    <t>-1229.16</t>
  </si>
  <si>
    <t>-6.14</t>
  </si>
  <si>
    <t>-12</t>
  </si>
  <si>
    <t>78</t>
  </si>
  <si>
    <t>2024-02-01T00:00:00.000Z</t>
  </si>
  <si>
    <t>43.95</t>
  </si>
  <si>
    <t>0.5</t>
  </si>
  <si>
    <t>79</t>
  </si>
  <si>
    <t>-305.1</t>
  </si>
  <si>
    <t>77</t>
  </si>
  <si>
    <t>2024-01-24T00:00:00.000Z</t>
  </si>
  <si>
    <t>80.83</t>
  </si>
  <si>
    <t>76</t>
  </si>
  <si>
    <t>2024-01-11T00:00:00.000Z</t>
  </si>
  <si>
    <t>457.55</t>
  </si>
  <si>
    <t>75</t>
  </si>
  <si>
    <t>2024-01-09T00:00:00.000Z</t>
  </si>
  <si>
    <t>45.44</t>
  </si>
  <si>
    <t>74</t>
  </si>
  <si>
    <t>2024-01-04T00:00:00.000Z</t>
  </si>
  <si>
    <t>-304.71</t>
  </si>
  <si>
    <t>73</t>
  </si>
  <si>
    <t>2023-12-27T00:00:00.000Z</t>
  </si>
  <si>
    <t>10000</t>
  </si>
  <si>
    <t>102</t>
  </si>
  <si>
    <t>72</t>
  </si>
  <si>
    <t>2023-12-02T00:00:00.000Z</t>
  </si>
  <si>
    <t>-300.2</t>
  </si>
  <si>
    <t>71</t>
  </si>
  <si>
    <t>2023-11-10T00:00:00.000Z</t>
  </si>
  <si>
    <t>210</t>
  </si>
  <si>
    <t>2023-10-31T00:00:00.000Z</t>
  </si>
  <si>
    <t>69</t>
  </si>
  <si>
    <t>2023-10-04T00:00:00.000Z</t>
  </si>
  <si>
    <t>68</t>
  </si>
  <si>
    <t>2023-09-04T00:00:00.000Z</t>
  </si>
  <si>
    <t>67</t>
  </si>
  <si>
    <t>2023-08-01T00:00:00.000Z</t>
  </si>
  <si>
    <t>66</t>
  </si>
  <si>
    <t>2023-07-03T00:00:00.000Z</t>
  </si>
  <si>
    <t>65</t>
  </si>
  <si>
    <t>2023-06-18T00:00:00.000Z</t>
  </si>
  <si>
    <t>-100</t>
  </si>
  <si>
    <t>64</t>
  </si>
  <si>
    <t>2023-05-29T00:00:00.000Z</t>
  </si>
  <si>
    <t>63</t>
  </si>
  <si>
    <t>2023-01-16T00:00:00.000Z</t>
  </si>
  <si>
    <t>500</t>
  </si>
  <si>
    <t>35.325</t>
  </si>
  <si>
    <t>62</t>
  </si>
  <si>
    <t>60</t>
  </si>
  <si>
    <t>2023-01-13T00:00:00.000Z</t>
  </si>
  <si>
    <t>61</t>
  </si>
  <si>
    <t>59</t>
  </si>
  <si>
    <t>2022-07-12T00:00:00.000Z</t>
  </si>
  <si>
    <t>137000.00</t>
  </si>
  <si>
    <t>0.00</t>
  </si>
  <si>
    <t>58</t>
  </si>
  <si>
    <t>2022-05-05T00:00:00.000Z</t>
  </si>
  <si>
    <t>1000.00</t>
  </si>
  <si>
    <t>57</t>
  </si>
  <si>
    <t>2022-03-22T00:00:00.000Z</t>
  </si>
  <si>
    <t>3000.00</t>
  </si>
  <si>
    <t>56</t>
  </si>
  <si>
    <t>2022-03-21T00:00:00.000Z</t>
  </si>
  <si>
    <t>55</t>
  </si>
  <si>
    <t>2022-03-17T00:00:00.000Z</t>
  </si>
  <si>
    <t>500.00</t>
  </si>
  <si>
    <t>53</t>
  </si>
  <si>
    <t>2022-01-01T00:00:00.000Z</t>
  </si>
  <si>
    <t>736.04</t>
  </si>
  <si>
    <t>50</t>
  </si>
  <si>
    <t>73.11</t>
  </si>
  <si>
    <t>49</t>
  </si>
  <si>
    <t>3.45</t>
  </si>
  <si>
    <t>52</t>
  </si>
  <si>
    <t>31.14</t>
  </si>
  <si>
    <t>54</t>
  </si>
  <si>
    <t>301.61</t>
  </si>
  <si>
    <t>51</t>
  </si>
  <si>
    <t>48</t>
  </si>
  <si>
    <t>2021-04-06T00:00:00.000Z</t>
  </si>
  <si>
    <t>-1000.00</t>
  </si>
  <si>
    <t>47</t>
  </si>
  <si>
    <t>2021-04-05T00:00:00.000Z</t>
  </si>
  <si>
    <t>46</t>
  </si>
  <si>
    <t>2021-03-25T00:00:00.000Z</t>
  </si>
  <si>
    <t>40000.00</t>
  </si>
  <si>
    <t>45</t>
  </si>
  <si>
    <t>2021-03-15T00:00:00.000Z</t>
  </si>
  <si>
    <t>5000.00</t>
  </si>
  <si>
    <t>2021-03-06T00:00:00.000Z</t>
  </si>
  <si>
    <t>43</t>
  </si>
  <si>
    <t>2021-02-11T00:00:00.000Z</t>
  </si>
  <si>
    <t>-1400.00</t>
  </si>
  <si>
    <t>-2.80</t>
  </si>
  <si>
    <t>42</t>
  </si>
  <si>
    <t>2021-02-06T00:00:00.000Z</t>
  </si>
  <si>
    <t>41</t>
  </si>
  <si>
    <t>2021-01-31T00:00:00.000Z</t>
  </si>
  <si>
    <t>187.62</t>
  </si>
  <si>
    <t>40</t>
  </si>
  <si>
    <t>6.87</t>
  </si>
  <si>
    <t>39</t>
  </si>
  <si>
    <t>2021-01-29T00:00:00.000Z</t>
  </si>
  <si>
    <t>27500.00</t>
  </si>
  <si>
    <t>38</t>
  </si>
  <si>
    <t>2021-01-06T00:00:00.000Z</t>
  </si>
  <si>
    <t>37</t>
  </si>
  <si>
    <t>2020-12-05T00:00:00.000Z</t>
  </si>
  <si>
    <t>36</t>
  </si>
  <si>
    <t>-3000.00</t>
  </si>
  <si>
    <t>35</t>
  </si>
  <si>
    <t>-1500.00</t>
  </si>
  <si>
    <t>33</t>
  </si>
  <si>
    <t>2020-11-27T00:00:00.000Z</t>
  </si>
  <si>
    <t>4999.00</t>
  </si>
  <si>
    <t>34</t>
  </si>
  <si>
    <t>32</t>
  </si>
  <si>
    <t>2020-11-23T00:00:00.000Z</t>
  </si>
  <si>
    <t>100.00</t>
  </si>
  <si>
    <t>31</t>
  </si>
  <si>
    <t>2020-11-05T00:00:00.000Z</t>
  </si>
  <si>
    <t>30</t>
  </si>
  <si>
    <t>2020-10-27T00:00:00.000Z</t>
  </si>
  <si>
    <t>29</t>
  </si>
  <si>
    <t>2020-10-12T00:00:00.000Z</t>
  </si>
  <si>
    <t>28</t>
  </si>
  <si>
    <t>2020-10-11T00:00:00.000Z</t>
  </si>
  <si>
    <t>-300.00</t>
  </si>
  <si>
    <t>27</t>
  </si>
  <si>
    <t>2020-09-18T00:00:00.000Z</t>
  </si>
  <si>
    <t>26</t>
  </si>
  <si>
    <t>2020-09-17T00:00:00.000Z</t>
  </si>
  <si>
    <t>25</t>
  </si>
  <si>
    <t>2020-08-11T00:00:00.000Z</t>
  </si>
  <si>
    <t>24</t>
  </si>
  <si>
    <t>2020-08-10T00:00:00.000Z</t>
  </si>
  <si>
    <t>23</t>
  </si>
  <si>
    <t>2020-08-05T00:00:00.000Z</t>
  </si>
  <si>
    <t>22</t>
  </si>
  <si>
    <t>2020-08-03T00:00:00.000Z</t>
  </si>
  <si>
    <t>-2200.00</t>
  </si>
  <si>
    <t>21</t>
  </si>
  <si>
    <t>2020-07-23T00:00:00.000Z</t>
  </si>
  <si>
    <t>-500.00</t>
  </si>
  <si>
    <t>20</t>
  </si>
  <si>
    <t>2020-07-17T00:00:00.000Z</t>
  </si>
  <si>
    <t>19</t>
  </si>
  <si>
    <t>2020-07-02T00:00:00.000Z</t>
  </si>
  <si>
    <t>18</t>
  </si>
  <si>
    <t>2020-06-26T00:00:00.000Z</t>
  </si>
  <si>
    <t>17</t>
  </si>
  <si>
    <t>2020-06-08T00:00:00.000Z</t>
  </si>
  <si>
    <t>16</t>
  </si>
  <si>
    <t>2020-05-08T00:00:00.000Z</t>
  </si>
  <si>
    <t>15</t>
  </si>
  <si>
    <t>2020-04-14T00:00:00.000Z</t>
  </si>
  <si>
    <t>14</t>
  </si>
  <si>
    <t>2020-03-09T00:00:00.000Z</t>
  </si>
  <si>
    <t>13</t>
  </si>
  <si>
    <t>2020-02-10T00:00:00.000Z</t>
  </si>
  <si>
    <t>2020-01-20T00:00:00.000Z</t>
  </si>
  <si>
    <t>2020-01-14T00:00:00.000Z</t>
  </si>
  <si>
    <t>434.68</t>
  </si>
  <si>
    <t>2019-12-05T00:00:00.000Z</t>
  </si>
  <si>
    <t>-700.00</t>
  </si>
  <si>
    <t>2019-11-06T00:00:00.000Z</t>
  </si>
  <si>
    <t>2019-10-18T00:00:00.000Z</t>
  </si>
  <si>
    <t>-150.00</t>
  </si>
  <si>
    <t>2019-08-29T00:00:00.000Z</t>
  </si>
  <si>
    <t>2019-07-29T00:00:00.000Z</t>
  </si>
  <si>
    <t>2019-05-16T00:00:00.000Z</t>
  </si>
  <si>
    <t>2019-01-09T00:00:00.000Z</t>
  </si>
  <si>
    <t>2018-12-10T00:00:00.000Z</t>
  </si>
  <si>
    <t>2018-10-22T00:00:00.000Z</t>
  </si>
  <si>
    <t>7000.00</t>
  </si>
  <si>
    <t>2017-11-29T00:00:00.000Z</t>
  </si>
  <si>
    <t>10000.00</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</si>
  <si>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</si>
  <si>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</si>
  <si>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</si>
  <si>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</si>
  <si>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</si>
  <si>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</si>
  <si>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</si>
  <si>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</si>
  <si>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</si>
  <si>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</si>
  <si>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</si>
  <si>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</si>
  <si>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</si>
  <si>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</si>
  <si>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</si>
  <si>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</si>
  <si>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</si>
  <si>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</si>
  <si>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</si>
  <si>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</si>
  <si>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</si>
  <si>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</si>
  <si>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</si>
  <si>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</si>
  <si>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</si>
  <si>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</si>
  <si>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</si>
  <si>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</si>
  <si>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</si>
  <si>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</si>
  <si>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</si>
  <si>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</si>
  <si>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</si>
  <si>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</si>
  <si>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</si>
  <si>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</si>
  <si>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</si>
  <si>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</si>
  <si>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</si>
  <si>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</si>
  <si>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</si>
  <si>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</si>
  <si>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</si>
  <si>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</si>
  <si>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</si>
  <si>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</si>
  <si>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</si>
  <si>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</si>
  <si>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</si>
  <si>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</si>
  <si>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</si>
  <si>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</si>
  <si>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</si>
  <si>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</si>
  <si>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</si>
  <si>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</si>
  <si>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</si>
  <si>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</si>
  <si>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</si>
  <si>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</si>
  <si>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</si>
  <si>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</si>
  <si>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</si>
  <si>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</si>
  <si>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</si>
  <si>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</si>
  <si>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</si>
  <si>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</si>
  <si>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</si>
  <si>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</si>
  <si>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</si>
  <si>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</si>
  <si>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</si>
  <si>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</si>
  <si>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</si>
  <si>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</si>
  <si>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</si>
  <si>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</si>
  <si>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</si>
  <si>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</si>
  <si>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</si>
  <si>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</si>
  <si>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</si>
  <si>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</si>
  <si>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</si>
  <si>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</si>
  <si>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</si>
  <si>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</si>
  <si>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</si>
  <si>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</si>
  <si>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</si>
  <si>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</si>
  <si>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</si>
  <si>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</si>
  <si>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</si>
  <si>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</si>
  <si>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</si>
  <si>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</si>
  <si>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</si>
  <si>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</si>
  <si>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</si>
  <si>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</si>
  <si>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</si>
  <si>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</si>
  <si>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</si>
  <si>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</si>
  <si>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</si>
  <si>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</si>
  <si>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</si>
  <si>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</si>
  <si>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</si>
  <si>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Operation date</t>
  </si>
  <si>
    <t>Date at which operation occured</t>
  </si>
  <si>
    <t>Date de l'opération</t>
  </si>
  <si>
    <t>Date à laquelle a été effectué l'opération</t>
  </si>
  <si>
    <t>Operation cost</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</si>
  <si>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</si>
  <si>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</si>
  <si>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</si>
  <si>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</si>
  <si>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</si>
  <si>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</si>
  <si>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</si>
  <si>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</si>
  <si>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</si>
  <si>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</si>
  <si>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</si>
  <si>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</si>
  <si>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</si>
  <si>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</si>
  <si>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</si>
  <si>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</si>
  <si>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</si>
  <si>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</si>
  <si>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</si>
  <si>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</si>
  <si>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</si>
  <si>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</si>
  <si>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</si>
  <si>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Sécurité +</t>
  </si>
  <si>
    <t>Jetons Sécurité +</t>
  </si>
  <si>
    <t>90% sécurisé, 10% de risque, rendement moyen</t>
  </si>
  <si>
    <t>Performance</t>
  </si>
  <si>
    <t>Jetons Performance</t>
  </si>
  <si>
    <t>10% sécurisé, 90% de risque, rendement important</t>
  </si>
  <si>
    <t>Performance +</t>
  </si>
  <si>
    <t>Jetons Performance +</t>
  </si>
  <si>
    <t>0% sécurisé, 100% de risque, rendement extrême</t>
  </si>
  <si>
    <t>Jetons FiMs</t>
  </si>
  <si>
    <t>100% sécurisé, permettant la gouvernance de FiMs</t>
  </si>
  <si>
    <t>Current Profit</t>
  </si>
  <si>
    <t>Profits (nouveau FiMs)</t>
  </si>
  <si>
    <t>Profits nets réalisés par FiMs DeFi (perte si négatif, gain si positif)</t>
  </si>
  <si>
    <t>Previous Profit</t>
  </si>
  <si>
    <t>Profits (ancient FiMs)</t>
  </si>
  <si>
    <t>Profits nets réalisés par FiMs Trad (perte si négatif, gain si positif)</t>
  </si>
  <si>
    <t>Profit (en €)</t>
  </si>
  <si>
    <t>Valeur des profits totaux réalisés</t>
  </si>
  <si>
    <t>Profit (en %)</t>
  </si>
  <si>
    <t>Pourcentage des profits totaux réalisés</t>
  </si>
  <si>
    <t>Yearly profit</t>
  </si>
  <si>
    <t>Profit annuel</t>
  </si>
  <si>
    <t>Pourcentage des profits annuels réalisés</t>
  </si>
  <si>
    <t>Prix de profit du Sol</t>
  </si>
  <si>
    <t>Prix à partir duquel le Sol devient profitable</t>
  </si>
  <si>
    <t>ID</t>
  </si>
  <si>
    <t>Unique account identifier</t>
  </si>
  <si>
    <t>Identifiant</t>
  </si>
  <si>
    <t>L'identifiant unique du compte</t>
  </si>
  <si>
    <t>Recurrent</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</si>
  <si>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</si>
  <si>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</si>
  <si>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</si>
  <si>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</si>
  <si>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</si>
  <si>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</si>
  <si>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</si>
  <si>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</si>
  <si>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</si>
  <si>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</si>
  <si>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</si>
  <si>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</si>
  <si>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</si>
  <si>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</si>
  <si>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</si>
  <si>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</si>
  <si>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</si>
  <si>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</si>
  <si>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</si>
  <si>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</si>
  <si>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</si>
  <si>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</si>
  <si>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</si>
  <si>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</si>
  <si>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</si>
  <si>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</si>
  <si>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</si>
  <si>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</si>
  <si>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</si>
  <si>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</si>
  <si>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</si>
  <si>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</si>
  <si>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</si>
  <si>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</si>
  <si>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</si>
  <si>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</si>
  <si>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</si>
  <si>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</si>
  <si>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</si>
  <si>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</si>
  <si>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</si>
  <si>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</si>
  <si>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</si>
  <si>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</si>
  <si>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</si>
  <si>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</si>
  <si>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</si>
  <si>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</si>
  <si>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</si>
  <si>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</si>
  <si>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</si>
  <si>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</si>
  <si>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</si>
  <si>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</si>
  <si>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</si>
  <si>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</si>
  <si>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</si>
  <si>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</si>
  <si>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</si>
  <si>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</si>
  <si>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</si>
  <si>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</si>
  <si>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</si>
  <si>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</si>
  <si>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</si>
  <si>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</si>
  <si>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</si>
  <si>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</si>
  <si>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</si>
  <si>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</si>
  <si>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</si>
  <si>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</si>
  <si>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</si>
  <si>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</si>
  <si>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</si>
  <si>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</si>
  <si>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</si>
  <si>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</si>
  <si>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</si>
  <si>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</si>
  <si>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</si>
  <si>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</si>
  <si>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</si>
  <si>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</si>
  <si>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</si>
  <si>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</si>
  <si>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</si>
  <si>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</si>
  <si>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</si>
  <si>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</si>
  <si>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</si>
  <si>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</si>
  <si>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</si>
  <si>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</si>
  <si>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</si>
  <si>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</si>
  <si>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</si>
  <si>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</si>
  <si>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</si>
  <si>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</si>
  <si>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</si>
  <si>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</si>
  <si>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</si>
  <si>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</si>
  <si>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</si>
  <si>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</si>
  <si>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</si>
  <si>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</si>
  <si>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</si>
  <si>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</si>
  <si>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</si>
  <si>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</si>
  <si>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</si>
  <si>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</si>
  <si>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</si>
  <si>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</si>
  <si>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Charity</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</si>
  <si>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</si>
  <si>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</si>
  <si>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</si>
  <si>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</si>
  <si>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</si>
  <si>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</si>
  <si>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</si>
  <si>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</si>
  <si>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</si>
  <si>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</si>
  <si>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</si>
  <si>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</si>
  <si>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</si>
  <si>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</si>
  <si>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</si>
  <si>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</si>
  <si>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</si>
  <si>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</si>
  <si>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</si>
  <si>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</si>
  <si>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</si>
  <si>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</si>
  <si>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</si>
  <si>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</si>
  <si>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</si>
  <si>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</si>
  <si>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</si>
  <si>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</si>
  <si>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</si>
  <si>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</si>
  <si>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</si>
  <si>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</si>
  <si>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</si>
  <si>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</si>
  <si>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</si>
  <si>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</si>
  <si>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</si>
  <si>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</si>
  <si>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</si>
  <si>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</si>
  <si>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</si>
  <si>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</si>
  <si>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</si>
  <si>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</si>
  <si>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</si>
  <si>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</si>
  <si>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</si>
  <si>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</si>
  <si>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</si>
  <si>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</si>
  <si>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</si>
  <si>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</si>
  <si>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</si>
  <si>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</si>
  <si>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</si>
  <si>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</si>
  <si>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</si>
  <si>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</si>
  <si>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</si>
  <si>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</si>
  <si>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</si>
  <si>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</si>
  <si>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</si>
  <si>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</si>
  <si>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</si>
  <si>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</si>
  <si>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</si>
  <si>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</si>
  <si>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</si>
  <si>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</si>
  <si>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</si>
  <si>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</si>
  <si>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</si>
  <si>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</si>
  <si>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</si>
  <si>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</si>
  <si>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</si>
  <si>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</si>
  <si>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</si>
  <si>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</si>
  <si>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</si>
  <si>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</si>
  <si>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</si>
  <si>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</si>
  <si>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</si>
  <si>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</si>
  <si>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</si>
  <si>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</si>
  <si>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</si>
  <si>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</si>
  <si>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</si>
  <si>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</si>
  <si>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</si>
  <si>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</si>
  <si>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</si>
  <si>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</si>
  <si>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</si>
  <si>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</si>
  <si>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</si>
  <si>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</si>
  <si>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</si>
  <si>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</si>
  <si>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</si>
  <si>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</si>
  <si>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</si>
  <si>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</si>
  <si>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</si>
  <si>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</si>
  <si>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</si>
  <si>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</si>
  <si>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</si>
  <si>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</si>
  <si>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</si>
  <si>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</si>
  <si>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</si>
  <si>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</si>
  <si>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</si>
  <si>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</si>
  <si>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</si>
  <si>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</si>
  <si>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</si>
  <si>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</si>
  <si>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</si>
  <si>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</si>
  <si>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</si>
  <si>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</si>
  <si>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</si>
  <si>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</si>
  <si>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</si>
  <si>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</si>
  <si>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</si>
  <si>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</si>
  <si>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</si>
  <si>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</si>
  <si>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</si>
  <si>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</si>
  <si>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</si>
  <si>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</si>
  <si>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</si>
  <si>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</si>
  <si>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</si>
  <si>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</si>
  <si>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</si>
  <si>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</si>
  <si>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</si>
  <si>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</si>
  <si>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</si>
  <si>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</si>
  <si>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</si>
  <si>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</si>
  <si>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</si>
  <si>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</si>
  <si>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</si>
  <si>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</si>
  <si>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</si>
  <si>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</si>
  <si>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</si>
  <si>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</si>
  <si>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</si>
  <si>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</si>
  <si>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</si>
  <si>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</si>
  <si>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</si>
  <si>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</si>
  <si>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</si>
  <si>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</si>
  <si>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</si>
  <si>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</si>
  <si>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</si>
  <si>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</si>
  <si>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</si>
  <si>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</si>
  <si>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</si>
  <si>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</si>
  <si>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</si>
  <si>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</si>
  <si>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</si>
  <si>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</si>
  <si>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</si>
  <si>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</si>
  <si>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</si>
  <si>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</si>
  <si>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</si>
  <si>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</si>
  <si>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</si>
  <si>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</si>
  <si>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</si>
  <si>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Ernesto</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</si>
</sst>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1]"/>
    <numFmt numFmtId="168" formatCode="#,##0.000\ [$€-1]"/>
    <numFmt numFmtId="169" formatCode="#,##0.0000"/>
    <numFmt numFmtId="170" formatCode="#,##0.0000\ [$€-1]"/>
    <numFmt numFmtId="171" formatCode="dd/MM/yyyy"/>
    <numFmt numFmtId="172" formatCode="#,##0.00 €"/>
    <numFmt numFmtId="173" formatCode="dd&quot;/&quot;mm&quot;/&quot;yyyy"/>
  </numFmts>
  <fonts count="20">
    <font>
      <sz val="10.0"/>
      <color rgb="FF000000"/>
      <name val="Arial"/>
      <scheme val="minor"/>
    </font>
    <font>
      <b/>
      <i/>
      <color theme="1"/>
      <name val="Arial"/>
      <scheme val="minor"/>
    </font>
    <font>
      <color theme="1"/>
      <name val="Arial"/>
      <scheme val="minor"/>
    </font>
    <font>
      <color theme="1"/>
      <name val="Courier New"/>
    </font>
    <font>
      <b/>
      <sz val="10.0"/>
      <color theme="1"/>
      <name val="Arial"/>
      <scheme val="minor"/>
    </font>
    <font>
      <sz val="10.0"/>
      <color theme="1"/>
      <name val="Arial"/>
      <scheme val="minor"/>
    </font>
    <font>
      <b/>
      <u/>
      <sz val="10.0"/>
      <color rgb="FF0000FF"/>
    </font>
    <font>
      <sz val="9.0"/>
      <color rgb="FF000000"/>
      <name val="&quot;Google Sans Mono&quot;"/>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
      <b/>
      <color rgb="FF000000"/>
      <name val="Arial"/>
    </font>
    <font>
      <b/>
      <i/>
      <color rgb="FF000000"/>
      <name val="Arial"/>
      <scheme val="minor"/>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s>
  <borders count="5">
    <border/>
    <border>
      <top style="thin">
        <color rgb="FF000000"/>
      </top>
    </border>
    <border>
      <left style="thick">
        <color rgb="FF000000"/>
      </left>
    </border>
    <border>
      <left style="thin">
        <color rgb="FF000000"/>
      </left>
    </border>
    <border>
      <top style="thick">
        <color rgb="FF000000"/>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2" fontId="1" numFmtId="167" xfId="0" applyAlignment="1" applyFill="1" applyFont="1" applyNumberFormat="1">
      <alignment horizontal="center" readingOrder="0"/>
    </xf>
    <xf borderId="0" fillId="3" fontId="1" numFmtId="167" xfId="0" applyAlignment="1" applyFill="1" applyFont="1" applyNumberFormat="1">
      <alignment horizontal="center" readingOrder="0"/>
    </xf>
    <xf borderId="0" fillId="3" fontId="1" numFmtId="0" xfId="0" applyAlignment="1" applyFont="1">
      <alignment horizontal="center" readingOrder="0"/>
    </xf>
    <xf borderId="0" fillId="3" fontId="1" numFmtId="10" xfId="0" applyAlignment="1" applyFont="1" applyNumberFormat="1">
      <alignment horizontal="center" readingOrder="0"/>
    </xf>
    <xf borderId="2" fillId="3" fontId="1" numFmtId="0" xfId="0" applyAlignment="1" applyBorder="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4" numFmtId="4" xfId="0" applyAlignment="1" applyFont="1" applyNumberFormat="1">
      <alignment readingOrder="0"/>
    </xf>
    <xf borderId="0" fillId="0" fontId="4" numFmtId="167"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0" fillId="0" fontId="6" numFmtId="4" xfId="0" applyAlignment="1" applyFont="1" applyNumberFormat="1">
      <alignment readingOrder="0"/>
    </xf>
    <xf borderId="2" fillId="4" fontId="7" numFmtId="4" xfId="0" applyBorder="1" applyFill="1" applyFont="1" applyNumberFormat="1"/>
    <xf borderId="0" fillId="4" fontId="7" numFmtId="4" xfId="0" applyFont="1" applyNumberFormat="1"/>
    <xf borderId="0" fillId="0" fontId="5" numFmtId="4" xfId="0" applyAlignment="1" applyFont="1" applyNumberFormat="1">
      <alignment readingOrder="0"/>
    </xf>
    <xf borderId="0" fillId="0" fontId="5" numFmtId="10" xfId="0" applyAlignment="1" applyFont="1" applyNumberFormat="1">
      <alignment readingOrder="0"/>
    </xf>
    <xf borderId="0" fillId="0" fontId="8" numFmtId="0" xfId="0" applyAlignment="1" applyFont="1">
      <alignment horizontal="center" readingOrder="0"/>
    </xf>
    <xf borderId="0" fillId="0" fontId="9" numFmtId="0" xfId="0" applyAlignment="1" applyFont="1">
      <alignment horizontal="center" readingOrder="0"/>
    </xf>
    <xf borderId="0" fillId="0" fontId="10" numFmtId="4" xfId="0" applyAlignment="1" applyFont="1" applyNumberFormat="1">
      <alignment readingOrder="0"/>
    </xf>
    <xf borderId="0" fillId="0" fontId="10" numFmtId="167" xfId="0" applyAlignment="1" applyFont="1" applyNumberFormat="1">
      <alignment readingOrder="0"/>
    </xf>
    <xf borderId="0" fillId="0" fontId="10" numFmtId="10" xfId="0" applyAlignment="1" applyFont="1" applyNumberFormat="1">
      <alignment readingOrder="0"/>
    </xf>
    <xf borderId="0" fillId="0" fontId="3" numFmtId="165" xfId="0" applyFont="1" applyNumberFormat="1"/>
    <xf borderId="0" fillId="0" fontId="2" numFmtId="4" xfId="0" applyFont="1" applyNumberFormat="1"/>
    <xf borderId="0" fillId="0" fontId="3" numFmtId="167" xfId="0" applyFont="1" applyNumberFormat="1"/>
    <xf borderId="0" fillId="0" fontId="2" numFmtId="10" xfId="0" applyFont="1" applyNumberFormat="1"/>
    <xf borderId="0" fillId="0" fontId="2" numFmtId="167" xfId="0" applyFont="1" applyNumberFormat="1"/>
    <xf borderId="0" fillId="0" fontId="2" numFmtId="3" xfId="0" applyFont="1" applyNumberFormat="1"/>
    <xf borderId="0" fillId="0" fontId="3" numFmtId="168" xfId="0" applyFont="1" applyNumberFormat="1"/>
    <xf borderId="0" fillId="0" fontId="2" numFmtId="169" xfId="0" applyFont="1" applyNumberFormat="1"/>
    <xf borderId="0" fillId="0" fontId="3" numFmtId="170" xfId="0" applyFont="1" applyNumberFormat="1"/>
    <xf borderId="0" fillId="0" fontId="2" numFmtId="170" xfId="0" applyFont="1" applyNumberFormat="1"/>
    <xf borderId="0" fillId="0" fontId="2" numFmtId="165" xfId="0" applyAlignment="1" applyFont="1" applyNumberFormat="1">
      <alignment horizontal="right"/>
    </xf>
    <xf borderId="0" fillId="0" fontId="2" numFmtId="0" xfId="0" applyAlignment="1" applyFont="1">
      <alignment horizontal="right"/>
    </xf>
    <xf borderId="0" fillId="0" fontId="2" numFmtId="2" xfId="0" applyAlignment="1" applyFont="1" applyNumberFormat="1">
      <alignment horizontal="right"/>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4" xfId="0" applyAlignment="1" applyFont="1" applyNumberFormat="1">
      <alignment horizontal="right"/>
    </xf>
    <xf borderId="0" fillId="0" fontId="2" numFmtId="169" xfId="0" applyAlignment="1" applyFont="1" applyNumberFormat="1">
      <alignment horizontal="right"/>
    </xf>
    <xf borderId="0" fillId="0" fontId="2" numFmtId="171" xfId="0" applyFont="1" applyNumberFormat="1"/>
    <xf borderId="0" fillId="0" fontId="2" numFmtId="172" xfId="0" applyFont="1" applyNumberFormat="1"/>
    <xf borderId="3" fillId="3" fontId="1" numFmtId="167" xfId="0" applyAlignment="1" applyBorder="1" applyFont="1" applyNumberFormat="1">
      <alignment horizontal="center" readingOrder="0"/>
    </xf>
    <xf borderId="0" fillId="0" fontId="5" numFmtId="172" xfId="0" applyAlignment="1" applyFont="1" applyNumberFormat="1">
      <alignment readingOrder="0"/>
    </xf>
    <xf borderId="0" fillId="0" fontId="4" numFmtId="172" xfId="0" applyAlignment="1" applyFont="1" applyNumberFormat="1">
      <alignment readingOrder="0"/>
    </xf>
    <xf borderId="3" fillId="0" fontId="5" numFmtId="172" xfId="0" applyAlignment="1" applyBorder="1" applyFont="1" applyNumberFormat="1">
      <alignment readingOrder="0"/>
    </xf>
    <xf borderId="0" fillId="5" fontId="1" numFmtId="167" xfId="0" applyAlignment="1" applyFill="1" applyFont="1" applyNumberFormat="1">
      <alignment horizontal="center" readingOrder="0"/>
    </xf>
    <xf borderId="0" fillId="4" fontId="11" numFmtId="173" xfId="0" applyAlignment="1" applyFont="1" applyNumberFormat="1">
      <alignment horizontal="center" readingOrder="0" vertical="bottom"/>
    </xf>
    <xf borderId="0" fillId="0" fontId="2" numFmtId="173" xfId="0" applyFont="1" applyNumberFormat="1"/>
    <xf borderId="0" fillId="4" fontId="11" numFmtId="173" xfId="0" applyAlignment="1" applyFont="1" applyNumberFormat="1">
      <alignment horizontal="right" readingOrder="0" vertical="bottom"/>
    </xf>
    <xf borderId="0" fillId="4" fontId="11" numFmtId="0" xfId="0" applyAlignment="1" applyFont="1">
      <alignment horizontal="center" readingOrder="0" vertical="bottom"/>
    </xf>
    <xf borderId="0" fillId="3" fontId="12" numFmtId="0" xfId="0" applyAlignment="1" applyFont="1">
      <alignment horizontal="center" shrinkToFit="0" vertical="top" wrapText="1"/>
    </xf>
    <xf borderId="0" fillId="3" fontId="12" numFmtId="167" xfId="0" applyAlignment="1" applyFont="1" applyNumberFormat="1">
      <alignment horizontal="center" shrinkToFit="0" vertical="top" wrapText="1"/>
    </xf>
    <xf borderId="0" fillId="4" fontId="11" numFmtId="0" xfId="0" applyAlignment="1" applyFont="1">
      <alignment horizontal="center" shrinkToFit="0" vertical="top" wrapText="1"/>
    </xf>
    <xf borderId="0" fillId="4"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4" fontId="13" numFmtId="0" xfId="0" applyAlignment="1" applyFont="1">
      <alignment horizontal="center" readingOrder="0" shrinkToFit="0" vertical="top" wrapText="1"/>
    </xf>
    <xf borderId="0" fillId="4"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7"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4"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7" xfId="0" applyAlignment="1" applyFont="1" applyNumberFormat="1">
      <alignment vertical="top"/>
    </xf>
    <xf borderId="0" fillId="0" fontId="11" numFmtId="0" xfId="0" applyAlignment="1" applyFont="1">
      <alignment horizontal="center" readingOrder="0" shrinkToFit="0" vertical="bottom" wrapText="1"/>
    </xf>
    <xf borderId="0" fillId="6" fontId="1" numFmtId="0" xfId="0" applyAlignment="1" applyFill="1" applyFont="1">
      <alignment horizontal="center" readingOrder="0"/>
    </xf>
    <xf borderId="0" fillId="7" fontId="11" numFmtId="171" xfId="0" applyAlignment="1" applyFill="1" applyFont="1" applyNumberFormat="1">
      <alignment horizontal="right" vertical="bottom"/>
    </xf>
    <xf borderId="0" fillId="7" fontId="11" numFmtId="172" xfId="0" applyAlignment="1" applyFont="1" applyNumberFormat="1">
      <alignment horizontal="right" vertical="bottom"/>
    </xf>
    <xf borderId="0" fillId="7" fontId="11" numFmtId="10" xfId="0" applyAlignment="1" applyFont="1" applyNumberFormat="1">
      <alignment horizontal="right" readingOrder="0" vertical="bottom"/>
    </xf>
    <xf borderId="0" fillId="7" fontId="11" numFmtId="10" xfId="0" applyAlignment="1" applyFont="1" applyNumberFormat="1">
      <alignment horizontal="right" vertical="bottom"/>
    </xf>
    <xf borderId="0" fillId="7" fontId="11" numFmtId="172" xfId="0" applyAlignment="1" applyFont="1" applyNumberFormat="1">
      <alignment horizontal="right" readingOrder="0" vertical="bottom"/>
    </xf>
    <xf borderId="0" fillId="7" fontId="17" numFmtId="172" xfId="0" applyAlignment="1" applyFont="1" applyNumberFormat="1">
      <alignment horizontal="right" vertical="bottom"/>
    </xf>
    <xf borderId="0" fillId="7" fontId="17" numFmtId="172" xfId="0" applyAlignment="1" applyFont="1" applyNumberFormat="1">
      <alignment horizontal="center" readingOrder="0" vertical="bottom"/>
    </xf>
    <xf borderId="0" fillId="7" fontId="11" numFmtId="171" xfId="0" applyAlignment="1" applyFont="1" applyNumberFormat="1">
      <alignment horizontal="right" readingOrder="0" vertical="bottom"/>
    </xf>
    <xf borderId="0" fillId="7" fontId="17" numFmtId="172"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72" xfId="0" applyAlignment="1" applyFont="1" applyNumberFormat="1">
      <alignment horizontal="right" readingOrder="0" vertical="bottom"/>
    </xf>
    <xf borderId="0" fillId="0" fontId="11" numFmtId="172" xfId="0" applyAlignment="1" applyFont="1" applyNumberFormat="1">
      <alignment horizontal="right" vertical="bottom"/>
    </xf>
    <xf borderId="0" fillId="0" fontId="11" numFmtId="10" xfId="0" applyAlignment="1" applyFont="1" applyNumberFormat="1">
      <alignment horizontal="right" vertical="bottom"/>
    </xf>
    <xf borderId="0" fillId="0" fontId="17" numFmtId="172" xfId="0" applyAlignment="1" applyFont="1" applyNumberFormat="1">
      <alignment horizontal="right" readingOrder="0" vertical="bottom"/>
    </xf>
    <xf borderId="0" fillId="0" fontId="17" numFmtId="172" xfId="0" applyAlignment="1" applyFont="1" applyNumberFormat="1">
      <alignment horizontal="center" readingOrder="0" vertical="bottom"/>
    </xf>
    <xf borderId="0" fillId="0" fontId="17" numFmtId="172" xfId="0" applyAlignment="1" applyFont="1" applyNumberFormat="1">
      <alignment horizontal="right" vertical="bottom"/>
    </xf>
    <xf borderId="0" fillId="0" fontId="17" numFmtId="3" xfId="0" applyAlignment="1" applyFont="1" applyNumberFormat="1">
      <alignment horizontal="center" readingOrder="0" vertical="bottom"/>
    </xf>
    <xf borderId="0" fillId="0" fontId="17" numFmtId="171" xfId="0" applyAlignment="1" applyFont="1" applyNumberFormat="1">
      <alignment horizontal="right" vertical="bottom"/>
    </xf>
    <xf borderId="0" fillId="0" fontId="17" numFmtId="10" xfId="0" applyAlignment="1" applyFont="1" applyNumberFormat="1">
      <alignment horizontal="right" vertical="bottom"/>
    </xf>
    <xf borderId="0" fillId="0" fontId="18" numFmtId="172" xfId="0" applyAlignment="1" applyFont="1" applyNumberFormat="1">
      <alignment horizontal="right" readingOrder="0" vertical="bottom"/>
    </xf>
    <xf borderId="0" fillId="0" fontId="18" numFmtId="172" xfId="0" applyAlignment="1" applyFont="1" applyNumberFormat="1">
      <alignment horizontal="right" vertical="bottom"/>
    </xf>
    <xf borderId="4" fillId="0" fontId="11" numFmtId="171" xfId="0" applyAlignment="1" applyBorder="1" applyFont="1" applyNumberFormat="1">
      <alignment horizontal="right" vertical="bottom"/>
    </xf>
    <xf borderId="4" fillId="0" fontId="11" numFmtId="172" xfId="0" applyAlignment="1" applyBorder="1" applyFont="1" applyNumberFormat="1">
      <alignment horizontal="right" vertical="bottom"/>
    </xf>
    <xf borderId="4" fillId="0" fontId="11" numFmtId="10" xfId="0" applyAlignment="1" applyBorder="1" applyFont="1" applyNumberFormat="1">
      <alignment horizontal="right" vertical="bottom"/>
    </xf>
    <xf borderId="4" fillId="0" fontId="17" numFmtId="172" xfId="0" applyAlignment="1" applyBorder="1" applyFont="1" applyNumberFormat="1">
      <alignment horizontal="right" vertical="bottom"/>
    </xf>
    <xf borderId="4" fillId="0" fontId="17" numFmtId="3" xfId="0" applyAlignment="1" applyBorder="1" applyFont="1" applyNumberFormat="1">
      <alignment horizontal="center" readingOrder="0" vertical="bottom"/>
    </xf>
    <xf borderId="4" fillId="0" fontId="17" numFmtId="3" xfId="0" applyAlignment="1" applyBorder="1" applyFont="1" applyNumberFormat="1">
      <alignment horizontal="center" readingOrder="0" vertical="bottom"/>
    </xf>
    <xf borderId="0" fillId="0" fontId="17" numFmtId="3" xfId="0" applyAlignment="1" applyFont="1" applyNumberFormat="1">
      <alignment horizontal="center" readingOrder="0" vertical="bottom"/>
    </xf>
    <xf borderId="0" fillId="6" fontId="19" numFmtId="0" xfId="0" applyAlignment="1" applyFont="1">
      <alignment horizontal="center" readingOrder="0"/>
    </xf>
    <xf borderId="0" fillId="0" fontId="18" numFmtId="3" xfId="0" applyAlignment="1" applyFont="1" applyNumberFormat="1">
      <alignment horizontal="center" readingOrder="0" vertical="bottom"/>
    </xf>
    <xf borderId="4" fillId="0" fontId="14" numFmtId="171" xfId="0" applyAlignment="1" applyBorder="1" applyFont="1" applyNumberFormat="1">
      <alignment horizontal="right" vertical="bottom"/>
    </xf>
    <xf borderId="4" fillId="0" fontId="14" numFmtId="172" xfId="0" applyAlignment="1" applyBorder="1" applyFont="1" applyNumberFormat="1">
      <alignment horizontal="right" vertical="bottom"/>
    </xf>
    <xf borderId="4" fillId="0" fontId="14" numFmtId="10" xfId="0" applyAlignment="1" applyBorder="1" applyFont="1" applyNumberFormat="1">
      <alignment horizontal="right" vertical="bottom"/>
    </xf>
    <xf borderId="4" fillId="0" fontId="18" numFmtId="172" xfId="0" applyAlignment="1" applyBorder="1" applyFont="1" applyNumberFormat="1">
      <alignment horizontal="right" vertical="bottom"/>
    </xf>
    <xf borderId="4" fillId="0" fontId="18" numFmtId="3" xfId="0" applyAlignment="1" applyBorder="1" applyFont="1" applyNumberFormat="1">
      <alignment horizontal="center" readingOrder="0" vertical="bottom"/>
    </xf>
    <xf borderId="0" fillId="0" fontId="14" numFmtId="171" xfId="0" applyAlignment="1" applyFont="1" applyNumberFormat="1">
      <alignment horizontal="right" vertical="bottom"/>
    </xf>
    <xf borderId="0" fillId="0" fontId="14" numFmtId="172" xfId="0" applyAlignment="1" applyFont="1" applyNumberFormat="1">
      <alignment horizontal="right" vertical="bottom"/>
    </xf>
    <xf borderId="0" fillId="0" fontId="14" numFmtId="10" xfId="0" applyAlignment="1" applyFont="1" applyNumberFormat="1">
      <alignment horizontal="right" vertical="bottom"/>
    </xf>
  </cellXfs>
  <cellStyles count="1">
    <cellStyle xfId="0" name="Normal" builtinId="0"/>
  </cellStyles>
  <dxfs count="2">
    <dxf>
      <font/>
      <fill>
        <patternFill patternType="solid">
          <fgColor rgb="FFFCE8B2"/>
          <bgColor rgb="FFFCE8B2"/>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1.xml"/><Relationship Id="rId3" Type="http://schemas.openxmlformats.org/officeDocument/2006/relationships/vmlDrawing" Target="../drawings/vmlDrawing15.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2.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3.xml"/><Relationship Id="rId3"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45354.78046</v>
      </c>
    </row>
    <row r="2">
      <c r="A2" s="1" t="s">
        <v>1</v>
      </c>
      <c r="B2" s="3">
        <f>DATEVALUE($B$1)</f>
        <v>45354</v>
      </c>
    </row>
    <row r="3">
      <c r="A3" s="1" t="s">
        <v>2</v>
      </c>
      <c r="B3" s="4">
        <f>TIMEVALUE($B$1)</f>
        <v>0.780462963</v>
      </c>
    </row>
    <row r="4">
      <c r="A4" s="1" t="s">
        <v>3</v>
      </c>
      <c r="B4" s="5">
        <f>YEAR($B$1)</f>
        <v>2024</v>
      </c>
    </row>
    <row r="5">
      <c r="A5" s="1" t="s">
        <v>4</v>
      </c>
      <c r="B5" s="5">
        <f>MONTH($B$1)</f>
        <v>3</v>
      </c>
    </row>
    <row r="6">
      <c r="A6" s="1" t="s">
        <v>5</v>
      </c>
      <c r="B6" s="5">
        <f>DAY($B$1)</f>
        <v>3</v>
      </c>
    </row>
    <row r="7">
      <c r="A7" s="1" t="s">
        <v>6</v>
      </c>
      <c r="B7" s="5">
        <f>WEEKDAY($B$1,2)</f>
        <v>7</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88"/>
    <col customWidth="1" min="3" max="3" width="45.0"/>
    <col customWidth="1" min="4" max="4" width="7.25"/>
  </cols>
  <sheetData>
    <row r="1">
      <c r="A1" s="10" t="str">
        <f>ImportJSON("https://wallet.fims.fi/api/database/getUsers"&amp;$O$1)</f>
        <v>Id</v>
      </c>
      <c r="B1" s="10" t="s">
        <v>12</v>
      </c>
      <c r="C1" s="10" t="s">
        <v>13</v>
      </c>
      <c r="D1" s="10" t="s">
        <v>14</v>
      </c>
      <c r="E1" s="11" t="str">
        <f t="array" ref="E1:G1">TRANSPOSE(OFFSET(Token!$B:$B,1,0,3))</f>
        <v>FiMs SOL</v>
      </c>
      <c r="F1" s="11" t="s">
        <v>15</v>
      </c>
      <c r="G1" s="11" t="s">
        <v>16</v>
      </c>
      <c r="H1" s="12" t="s">
        <v>17</v>
      </c>
      <c r="I1" s="12" t="s">
        <v>18</v>
      </c>
      <c r="J1" s="12" t="s">
        <v>19</v>
      </c>
      <c r="K1" s="13" t="s">
        <v>20</v>
      </c>
      <c r="L1" s="12" t="s">
        <v>21</v>
      </c>
      <c r="M1" s="12" t="s">
        <v>22</v>
      </c>
      <c r="N1" s="12" t="s">
        <v>23</v>
      </c>
      <c r="O1" s="14" t="s">
        <v>24</v>
      </c>
      <c r="P1" s="12"/>
      <c r="Q1" s="12"/>
      <c r="R1" s="12"/>
      <c r="S1" s="12"/>
      <c r="T1" s="12"/>
      <c r="U1" s="12"/>
      <c r="V1" s="12"/>
    </row>
    <row r="2">
      <c r="A2" s="15" t="s">
        <v>25</v>
      </c>
      <c r="B2" s="15" t="s">
        <v>26</v>
      </c>
      <c r="C2" s="16" t="s">
        <v>27</v>
      </c>
      <c r="D2" s="16" t="s">
        <v>28</v>
      </c>
      <c r="E2" s="17">
        <f>SUMIFS(Token!$E:$E,Token!$B:$B,"*SOL*")</f>
        <v>4901.790932</v>
      </c>
      <c r="F2" s="17">
        <f t="shared" ref="F2:G2" si="1">-SUM(OFFSET(F:F,ROW(),0))</f>
        <v>-60955</v>
      </c>
      <c r="G2" s="17">
        <f t="shared" si="1"/>
        <v>-170</v>
      </c>
      <c r="H2" s="18">
        <f t="array" ref="H2">IF(ROW()=2,SUMPRODUCT(Token!$D:$D,Token!$E:$E),SUMPRODUCT(OFFSET($A2,0,4,1,3),TRANSPOSE(OFFSET(Token!$D:$D,1,0,3))))</f>
        <v>521976.5603</v>
      </c>
      <c r="I2" s="18">
        <f>IF(ROW()=2,MAXIFS(Dashboard!$C:$C,Dashboard!$A:$A,"Transfered")-SUM(OFFSET($I:$I,2,0)),SUMIFS(TransactionsView!$D:$D,TransactionsView!$B:$B,$A2)-SUMIFS(TransactionsView!$E:$E,TransactionsView!$C:$C,$B2,TransactionsView!$E:$E,"&gt;0")+SUMIFS(TransactionsView!$E:$E,TransactionsView!$C:$C,$B2,TransactionsView!$E:$E,"&lt;0"))</f>
        <v>125327.4255</v>
      </c>
      <c r="J2" s="18">
        <f t="shared" ref="J2:J13" si="3">IF($H2&lt;&gt;0,$H2-$I2,0)</f>
        <v>396649.1348</v>
      </c>
      <c r="K2" s="19">
        <f t="shared" ref="K2:K13" si="4">IF(ISREF(INDIRECT($B2&amp;"!$A$1")),INDIRECT($B2&amp;"!E2"),0)</f>
        <v>0</v>
      </c>
      <c r="L2" s="19">
        <f t="shared" ref="L2:L13" si="5">IF(ISREF(INDIRECT($B2&amp;"!$A$1")),INDIRECT($B2&amp;"!F2"),0)</f>
        <v>0</v>
      </c>
      <c r="M2" s="20">
        <f>IF($E2&lt;&gt;0,($I2-$F2*MAXIFS(Token!$C:$C,Token!$B:$B,$F$1))/$E2,0)</f>
        <v>25.56768072</v>
      </c>
      <c r="N2" s="21" t="str">
        <f t="shared" ref="N2:N13" si="6">IF($C2&lt;&gt;$B2,"https://xray.helius.xyz/account/"&amp;$C2,)</f>
        <v>https://xray.helius.xyz/account/5uXKZWCYbaKwFMwu9BxMGEYowbhuG34qqYkg36hL5YvG</v>
      </c>
      <c r="O2" s="22" t="str">
        <f>IFERROR(__xludf.DUMMYFUNCTION("IF(AND($I2&lt;&gt;0,$B2&lt;&gt;$C2),TRANSPOSE(FLATTEN((ImportJSON(""https://wallet.fims.fi/api/solana/getAssets?address=""&amp;$C2&amp;""&amp;creator=CCLcWAJX6fubUqGyZWz8dyUGEddRj8h4XZZCNSDzMVx4""&amp;$O$1,""/name,/balance"",""noHeaders"")))),)"),"FiMs Token")</f>
        <v>FiMs Token</v>
      </c>
      <c r="P2" s="23" t="str">
        <f>IFERROR(__xludf.DUMMYFUNCTION("""COMPUTED_VALUE"""),"2100")</f>
        <v>2100</v>
      </c>
      <c r="Q2" s="23" t="str">
        <f>IFERROR(__xludf.DUMMYFUNCTION("""COMPUTED_VALUE"""),"Euro")</f>
        <v>Euro</v>
      </c>
      <c r="R2" s="23" t="str">
        <f>IFERROR(__xludf.DUMMYFUNCTION("""COMPUTED_VALUE"""),"55236.05")</f>
        <v>55236.05</v>
      </c>
      <c r="S2" s="23" t="str">
        <f>IFERROR(__xludf.DUMMYFUNCTION("""COMPUTED_VALUE"""),"FiMs SOL")</f>
        <v>FiMs SOL</v>
      </c>
      <c r="T2" s="23" t="str">
        <f>IFERROR(__xludf.DUMMYFUNCTION("""COMPUTED_VALUE"""),"53852.55")</f>
        <v>53852.55</v>
      </c>
      <c r="U2" s="23" t="str">
        <f>IFERROR(__xludf.DUMMYFUNCTION("""COMPUTED_VALUE"""),"Solana")</f>
        <v>Solana</v>
      </c>
      <c r="V2" s="23" t="str">
        <f>IFERROR(__xludf.DUMMYFUNCTION("""COMPUTED_VALUE"""),"0.003120976")</f>
        <v>0.003120976</v>
      </c>
    </row>
    <row r="3">
      <c r="A3" s="15" t="s">
        <v>29</v>
      </c>
      <c r="B3" s="15" t="s">
        <v>30</v>
      </c>
      <c r="C3" s="16" t="s">
        <v>31</v>
      </c>
      <c r="D3" s="16" t="s">
        <v>28</v>
      </c>
      <c r="E3" s="24">
        <f t="shared" ref="E3:G3" si="2">IFERROR(OFFSET($O3:$T3,0,MATCH(E$1,$O3:$T3,0),1,1)*1,0)</f>
        <v>393.04</v>
      </c>
      <c r="F3" s="24">
        <f t="shared" si="2"/>
        <v>13000</v>
      </c>
      <c r="G3" s="24">
        <f t="shared" si="2"/>
        <v>0</v>
      </c>
      <c r="H3" s="24">
        <f t="array" ref="H3">IF(ROW()=2,SUMPRODUCT(Token!$D:$D,Token!$E:$E),SUMPRODUCT(OFFSET($A3,0,4,1,3),TRANSPOSE(OFFSET(Token!$D:$D,1,0,3))))</f>
        <v>66297.3311</v>
      </c>
      <c r="I3" s="20">
        <f>IF(ROW()=2,MAXIFS(Dashboard!$C:$C,Dashboard!$A:$A,"Transfered")-SUM(OFFSET($I:$I,2,0)),SUMIFS(TransactionsView!$D:$D,TransactionsView!$B:$B,$A3)-SUMIFS(TransactionsView!$E:$E,TransactionsView!$C:$C,$B3,TransactionsView!$E:$E,"&gt;0")+SUMIFS(TransactionsView!$E:$E,TransactionsView!$C:$C,$B3,TransactionsView!$E:$E,"&lt;0"))</f>
        <v>22047.2</v>
      </c>
      <c r="J3" s="20">
        <f t="shared" si="3"/>
        <v>44250.1311</v>
      </c>
      <c r="K3" s="25">
        <f t="shared" si="4"/>
        <v>0</v>
      </c>
      <c r="L3" s="25">
        <f t="shared" si="5"/>
        <v>0</v>
      </c>
      <c r="M3" s="20">
        <f>IF($E3&lt;&gt;0,($I3-$F3*MAXIFS(Token!$C:$C,Token!$B:$B,$F$1))/$E3,0)</f>
        <v>56.09403623</v>
      </c>
      <c r="N3" s="21" t="str">
        <f t="shared" si="6"/>
        <v>https://xray.helius.xyz/account/BNnncdQZ9YokyQJX8of4K2YGw3pvLt2SVkXK131E1nFy</v>
      </c>
      <c r="O3" s="22" t="str">
        <f>IFERROR(__xludf.DUMMYFUNCTION("IF(AND($I3&lt;&gt;0,$B3&lt;&gt;$C3),TRANSPOSE(FLATTEN((ImportJSON(""https://wallet.fims.fi/api/solana/getAssets?address=""&amp;$C3&amp;""&amp;creator=CCLcWAJX6fubUqGyZWz8dyUGEddRj8h4XZZCNSDzMVx4""&amp;$O$1,""/name,/balance"",""noHeaders"")))),)"),"FiMs Token")</f>
        <v>FiMs Token</v>
      </c>
      <c r="P3" s="23" t="str">
        <f>IFERROR(__xludf.DUMMYFUNCTION("""COMPUTED_VALUE"""),"13000")</f>
        <v>13000</v>
      </c>
      <c r="Q3" s="23" t="str">
        <f>IFERROR(__xludf.DUMMYFUNCTION("""COMPUTED_VALUE"""),"FiMs SOL")</f>
        <v>FiMs SOL</v>
      </c>
      <c r="R3" s="23" t="str">
        <f>IFERROR(__xludf.DUMMYFUNCTION("""COMPUTED_VALUE"""),"393.04")</f>
        <v>393.04</v>
      </c>
      <c r="S3" s="23" t="str">
        <f>IFERROR(__xludf.DUMMYFUNCTION("""COMPUTED_VALUE"""),"Solana")</f>
        <v>Solana</v>
      </c>
      <c r="T3" s="23" t="str">
        <f>IFERROR(__xludf.DUMMYFUNCTION("""COMPUTED_VALUE"""),"0.010980264")</f>
        <v>0.010980264</v>
      </c>
      <c r="U3" s="23"/>
      <c r="V3" s="23"/>
    </row>
    <row r="4">
      <c r="A4" s="15" t="s">
        <v>32</v>
      </c>
      <c r="B4" s="15" t="s">
        <v>33</v>
      </c>
      <c r="C4" s="16" t="s">
        <v>34</v>
      </c>
      <c r="D4" s="16" t="s">
        <v>28</v>
      </c>
      <c r="E4" s="24">
        <f t="shared" ref="E4:G4" si="7">IFERROR(OFFSET($O4:$T4,0,MATCH(E$1,$O4:$T4,0),1,1)*1,0)</f>
        <v>0</v>
      </c>
      <c r="F4" s="24">
        <f t="shared" si="7"/>
        <v>555</v>
      </c>
      <c r="G4" s="24">
        <f t="shared" si="7"/>
        <v>70</v>
      </c>
      <c r="H4" s="24">
        <f t="array" ref="H4">IF(ROW()=2,SUMPRODUCT(Token!$D:$D,Token!$E:$E),SUMPRODUCT(OFFSET($A4,0,4,1,3),TRANSPOSE(OFFSET(Token!$D:$D,1,0,3))))</f>
        <v>650.8793727</v>
      </c>
      <c r="I4" s="20">
        <f>IF(ROW()=2,MAXIFS(Dashboard!$C:$C,Dashboard!$A:$A,"Transfered")-SUM(OFFSET($I:$I,2,0)),SUMIFS(TransactionsView!$D:$D,TransactionsView!$B:$B,$A4)-SUMIFS(TransactionsView!$E:$E,TransactionsView!$C:$C,$B4,TransactionsView!$E:$E,"&gt;0")+SUMIFS(TransactionsView!$E:$E,TransactionsView!$C:$C,$B4,TransactionsView!$E:$E,"&lt;0"))</f>
        <v>600</v>
      </c>
      <c r="J4" s="20">
        <f t="shared" si="3"/>
        <v>50.8793727</v>
      </c>
      <c r="K4" s="25">
        <f t="shared" si="4"/>
        <v>0</v>
      </c>
      <c r="L4" s="25">
        <f t="shared" si="5"/>
        <v>0</v>
      </c>
      <c r="M4" s="20">
        <f>IF($E4&lt;&gt;0,($I4-$F4*MAXIFS(Token!$C:$C,Token!$B:$B,$F$1))/$E4,0)</f>
        <v>0</v>
      </c>
      <c r="N4" s="21" t="str">
        <f t="shared" si="6"/>
        <v>https://xray.helius.xyz/account/7mcmWmVbCpFcVCL5Ef5T7oQsLSbmDV5sCVsGcT1p2RiF</v>
      </c>
      <c r="O4" s="22" t="str">
        <f>IFERROR(__xludf.DUMMYFUNCTION("IF(AND($I4&lt;&gt;0,$B4&lt;&gt;$C4),TRANSPOSE(FLATTEN((ImportJSON(""https://wallet.fims.fi/api/solana/getAssets?address=""&amp;$C4&amp;""&amp;creator=CCLcWAJX6fubUqGyZWz8dyUGEddRj8h4XZZCNSDzMVx4""&amp;$O$1,""/name,/balance"",""noHeaders"")))),) "),"FiMs Token")</f>
        <v>FiMs Token</v>
      </c>
      <c r="P4" s="23" t="str">
        <f>IFERROR(__xludf.DUMMYFUNCTION("""COMPUTED_VALUE"""),"555")</f>
        <v>555</v>
      </c>
      <c r="Q4" s="23" t="str">
        <f>IFERROR(__xludf.DUMMYFUNCTION("""COMPUTED_VALUE"""),"Euro")</f>
        <v>Euro</v>
      </c>
      <c r="R4" s="23" t="str">
        <f>IFERROR(__xludf.DUMMYFUNCTION("""COMPUTED_VALUE"""),"70")</f>
        <v>70</v>
      </c>
      <c r="S4" s="23" t="str">
        <f>IFERROR(__xludf.DUMMYFUNCTION("""COMPUTED_VALUE"""),"Solana")</f>
        <v>Solana</v>
      </c>
      <c r="T4" s="23" t="str">
        <f>IFERROR(__xludf.DUMMYFUNCTION("""COMPUTED_VALUE"""),"0.00098")</f>
        <v>0.00098</v>
      </c>
      <c r="U4" s="23"/>
      <c r="V4" s="23"/>
    </row>
    <row r="5">
      <c r="A5" s="15" t="s">
        <v>35</v>
      </c>
      <c r="B5" s="15" t="s">
        <v>36</v>
      </c>
      <c r="C5" s="16" t="s">
        <v>37</v>
      </c>
      <c r="D5" s="16" t="b">
        <v>0</v>
      </c>
      <c r="E5" s="24">
        <f t="shared" ref="E5:G5" si="8">IFERROR(OFFSET($O5:$T5,0,MATCH(E$1,$O5:$T5,0),1,1)*1,0)</f>
        <v>768.81</v>
      </c>
      <c r="F5" s="24">
        <f t="shared" si="8"/>
        <v>31000</v>
      </c>
      <c r="G5" s="24">
        <f t="shared" si="8"/>
        <v>0</v>
      </c>
      <c r="H5" s="24">
        <f t="array" ref="H5">IF(ROW()=2,SUMPRODUCT(Token!$D:$D,Token!$E:$E),SUMPRODUCT(OFFSET($A5,0,4,1,3),TRANSPOSE(OFFSET(Token!$D:$D,1,0,3))))</f>
        <v>135512.5845</v>
      </c>
      <c r="I5" s="20">
        <f>IF(ROW()=2,MAXIFS(Dashboard!$C:$C,Dashboard!$A:$A,"Transfered")-SUM(OFFSET($I:$I,2,0)),SUMIFS(TransactionsView!$D:$D,TransactionsView!$B:$B,$A5)-SUMIFS(TransactionsView!$E:$E,TransactionsView!$C:$C,$B5,TransactionsView!$E:$E,"&gt;0")+SUMIFS(TransactionsView!$E:$E,TransactionsView!$C:$C,$B5,TransactionsView!$E:$E,"&lt;0"))</f>
        <v>76977.99</v>
      </c>
      <c r="J5" s="20">
        <f t="shared" si="3"/>
        <v>58534.59448</v>
      </c>
      <c r="K5" s="25">
        <f t="shared" si="4"/>
        <v>0</v>
      </c>
      <c r="L5" s="25">
        <f t="shared" si="5"/>
        <v>0</v>
      </c>
      <c r="M5" s="20">
        <f>IF($E5&lt;&gt;0,($I5-$F5*MAXIFS(Token!$C:$C,Token!$B:$B,$F$1))/$E5,0)</f>
        <v>100.126156</v>
      </c>
      <c r="N5" s="21" t="str">
        <f t="shared" si="6"/>
        <v>https://xray.helius.xyz/account/95zAGXEF8ChywxAGpvEScqZLeyPoos7x82jVKMdw9NfB</v>
      </c>
      <c r="O5" s="22" t="str">
        <f>IFERROR(__xludf.DUMMYFUNCTION("IF(AND($I5&lt;&gt;0,$B5&lt;&gt;$C5),TRANSPOSE(FLATTEN((ImportJSON(""https://wallet.fims.fi/api/solana/getAssets?address=""&amp;$C5&amp;""&amp;creator=CCLcWAJX6fubUqGyZWz8dyUGEddRj8h4XZZCNSDzMVx4""&amp;$O$1,""/name,/balance"",""noHeaders"")))),)"),"FiMs Token")</f>
        <v>FiMs Token</v>
      </c>
      <c r="P5" s="23" t="str">
        <f>IFERROR(__xludf.DUMMYFUNCTION("""COMPUTED_VALUE"""),"31000")</f>
        <v>31000</v>
      </c>
      <c r="Q5" s="23" t="str">
        <f>IFERROR(__xludf.DUMMYFUNCTION("""COMPUTED_VALUE"""),"FiMs SOL")</f>
        <v>FiMs SOL</v>
      </c>
      <c r="R5" s="23" t="str">
        <f>IFERROR(__xludf.DUMMYFUNCTION("""COMPUTED_VALUE"""),"768.81")</f>
        <v>768.81</v>
      </c>
      <c r="S5" s="23" t="str">
        <f>IFERROR(__xludf.DUMMYFUNCTION("""COMPUTED_VALUE"""),"Solana")</f>
        <v>Solana</v>
      </c>
      <c r="T5" s="23" t="str">
        <f>IFERROR(__xludf.DUMMYFUNCTION("""COMPUTED_VALUE"""),"0.01782012")</f>
        <v>0.01782012</v>
      </c>
      <c r="U5" s="23"/>
      <c r="V5" s="23"/>
    </row>
    <row r="6">
      <c r="A6" s="15" t="s">
        <v>38</v>
      </c>
      <c r="B6" s="15" t="s">
        <v>39</v>
      </c>
      <c r="C6" s="16" t="s">
        <v>40</v>
      </c>
      <c r="D6" s="16" t="b">
        <v>0</v>
      </c>
      <c r="E6" s="24">
        <f t="shared" ref="E6:G6" si="9">IFERROR(OFFSET($O6:$T6,0,MATCH(E$1,$O6:$T6,0),1,1)*1,0)</f>
        <v>70.65</v>
      </c>
      <c r="F6" s="24">
        <f t="shared" si="9"/>
        <v>3500</v>
      </c>
      <c r="G6" s="24">
        <f t="shared" si="9"/>
        <v>0</v>
      </c>
      <c r="H6" s="24">
        <f t="array" ref="H6">IF(ROW()=2,SUMPRODUCT(Token!$D:$D,Token!$E:$E),SUMPRODUCT(OFFSET($A6,0,4,1,3),TRANSPOSE(OFFSET(Token!$D:$D,1,0,3))))</f>
        <v>13134.57913</v>
      </c>
      <c r="I6" s="20">
        <f>IF(ROW()=2,MAXIFS(Dashboard!$C:$C,Dashboard!$A:$A,"Transfered")-SUM(OFFSET($I:$I,2,0)),SUMIFS(TransactionsView!$D:$D,TransactionsView!$B:$B,$A6)-SUMIFS(TransactionsView!$E:$E,TransactionsView!$C:$C,$B6,TransactionsView!$E:$E,"&gt;0")+SUMIFS(TransactionsView!$E:$E,TransactionsView!$C:$C,$B6,TransactionsView!$E:$E,"&lt;0"))</f>
        <v>5999</v>
      </c>
      <c r="J6" s="20">
        <f t="shared" si="3"/>
        <v>7135.579135</v>
      </c>
      <c r="K6" s="25">
        <f t="shared" si="4"/>
        <v>0</v>
      </c>
      <c r="L6" s="25">
        <f t="shared" si="5"/>
        <v>0</v>
      </c>
      <c r="M6" s="20">
        <f>IF($E6&lt;&gt;0,($I6-$F6*MAXIFS(Token!$C:$C,Token!$B:$B,$F$1))/$E6,0)</f>
        <v>84.91153574</v>
      </c>
      <c r="N6" s="21" t="str">
        <f t="shared" si="6"/>
        <v>https://xray.helius.xyz/account/6RCYFxTFZ7M6ZUGEUQadybc3BeTMqtfyHfGKwVQrbmf7</v>
      </c>
      <c r="O6" s="22" t="str">
        <f>IFERROR(__xludf.DUMMYFUNCTION("IF(AND($I6&lt;&gt;0,$B6&lt;&gt;$C6),TRANSPOSE(FLATTEN((ImportJSON(""https://wallet.fims.fi/api/solana/getAssets?address=""&amp;$C6&amp;""&amp;creator=CCLcWAJX6fubUqGyZWz8dyUGEddRj8h4XZZCNSDzMVx4""&amp;$O$1,""/name,/balance"",""noHeaders"")))),) "),"FiMs Token")</f>
        <v>FiMs Token</v>
      </c>
      <c r="P6" s="23" t="str">
        <f>IFERROR(__xludf.DUMMYFUNCTION("""COMPUTED_VALUE"""),"3500")</f>
        <v>3500</v>
      </c>
      <c r="Q6" s="23" t="str">
        <f>IFERROR(__xludf.DUMMYFUNCTION("""COMPUTED_VALUE"""),"FiMs SOL")</f>
        <v>FiMs SOL</v>
      </c>
      <c r="R6" s="23" t="str">
        <f>IFERROR(__xludf.DUMMYFUNCTION("""COMPUTED_VALUE"""),"70.65")</f>
        <v>70.65</v>
      </c>
      <c r="S6" s="23" t="str">
        <f>IFERROR(__xludf.DUMMYFUNCTION("""COMPUTED_VALUE"""),"Solana")</f>
        <v>Solana</v>
      </c>
      <c r="T6" s="23" t="str">
        <f>IFERROR(__xludf.DUMMYFUNCTION("""COMPUTED_VALUE"""),"0.004958")</f>
        <v>0.004958</v>
      </c>
      <c r="U6" s="23"/>
      <c r="V6" s="23"/>
    </row>
    <row r="7">
      <c r="A7" s="15" t="s">
        <v>41</v>
      </c>
      <c r="B7" s="15" t="s">
        <v>42</v>
      </c>
      <c r="C7" s="16" t="s">
        <v>43</v>
      </c>
      <c r="D7" s="16" t="b">
        <v>0</v>
      </c>
      <c r="E7" s="24">
        <f t="shared" ref="E7:G7" si="10">IFERROR(OFFSET($O7:$T7,0,MATCH(E$1,$O7:$T7,0),1,1)*1,0)</f>
        <v>70.65</v>
      </c>
      <c r="F7" s="24">
        <f t="shared" si="10"/>
        <v>3500</v>
      </c>
      <c r="G7" s="24">
        <f t="shared" si="10"/>
        <v>0</v>
      </c>
      <c r="H7" s="24">
        <f t="array" ref="H7">IF(ROW()=2,SUMPRODUCT(Token!$D:$D,Token!$E:$E),SUMPRODUCT(OFFSET($A7,0,4,1,3),TRANSPOSE(OFFSET(Token!$D:$D,1,0,3))))</f>
        <v>13134.57913</v>
      </c>
      <c r="I7" s="20">
        <f>IF(ROW()=2,MAXIFS(Dashboard!$C:$C,Dashboard!$A:$A,"Transfered")-SUM(OFFSET($I:$I,2,0)),SUMIFS(TransactionsView!$D:$D,TransactionsView!$B:$B,$A7)-SUMIFS(TransactionsView!$E:$E,TransactionsView!$C:$C,$B7,TransactionsView!$E:$E,"&gt;0")+SUMIFS(TransactionsView!$E:$E,TransactionsView!$C:$C,$B7,TransactionsView!$E:$E,"&lt;0"))</f>
        <v>5999</v>
      </c>
      <c r="J7" s="20">
        <f t="shared" si="3"/>
        <v>7135.579135</v>
      </c>
      <c r="K7" s="25">
        <f t="shared" si="4"/>
        <v>0</v>
      </c>
      <c r="L7" s="25">
        <f t="shared" si="5"/>
        <v>0</v>
      </c>
      <c r="M7" s="20">
        <f>IF($E7&lt;&gt;0,($I7-$F7*MAXIFS(Token!$C:$C,Token!$B:$B,$F$1))/$E7,0)</f>
        <v>84.91153574</v>
      </c>
      <c r="N7" s="21" t="str">
        <f t="shared" si="6"/>
        <v>https://xray.helius.xyz/account/14n15dFbXyAbZcMqTJDMKRkBEQXhHw7i47vZWrbroePP</v>
      </c>
      <c r="O7" s="22" t="str">
        <f>IFERROR(__xludf.DUMMYFUNCTION("IF(AND($I7&lt;&gt;0,$B7&lt;&gt;$C7),TRANSPOSE(FLATTEN((ImportJSON(""https://wallet.fims.fi/api/solana/getAssets?address=""&amp;$C7&amp;""&amp;creator=CCLcWAJX6fubUqGyZWz8dyUGEddRj8h4XZZCNSDzMVx4""&amp;$O$1,""/name,/balance"",""noHeaders"")))),)"),"FiMs Token")</f>
        <v>FiMs Token</v>
      </c>
      <c r="P7" s="23" t="str">
        <f>IFERROR(__xludf.DUMMYFUNCTION("""COMPUTED_VALUE"""),"3500")</f>
        <v>3500</v>
      </c>
      <c r="Q7" s="23" t="str">
        <f>IFERROR(__xludf.DUMMYFUNCTION("""COMPUTED_VALUE"""),"FiMs SOL")</f>
        <v>FiMs SOL</v>
      </c>
      <c r="R7" s="23" t="str">
        <f>IFERROR(__xludf.DUMMYFUNCTION("""COMPUTED_VALUE"""),"70.65")</f>
        <v>70.65</v>
      </c>
      <c r="S7" s="23" t="str">
        <f>IFERROR(__xludf.DUMMYFUNCTION("""COMPUTED_VALUE"""),"Solana")</f>
        <v>Solana</v>
      </c>
      <c r="T7" s="23" t="str">
        <f>IFERROR(__xludf.DUMMYFUNCTION("""COMPUTED_VALUE"""),"0.004958")</f>
        <v>0.004958</v>
      </c>
      <c r="U7" s="23"/>
      <c r="V7" s="23"/>
    </row>
    <row r="8">
      <c r="A8" s="15" t="s">
        <v>44</v>
      </c>
      <c r="B8" s="15" t="s">
        <v>45</v>
      </c>
      <c r="C8" s="16" t="s">
        <v>46</v>
      </c>
      <c r="D8" s="16" t="b">
        <v>0</v>
      </c>
      <c r="E8" s="24">
        <f t="shared" ref="E8:G8" si="11">IFERROR(OFFSET($O8:$T8,0,MATCH(E$1,$O8:$T8,0),1,1)*1,0)</f>
        <v>63.3</v>
      </c>
      <c r="F8" s="24">
        <f t="shared" si="11"/>
        <v>1900</v>
      </c>
      <c r="G8" s="24">
        <f t="shared" si="11"/>
        <v>100</v>
      </c>
      <c r="H8" s="24">
        <f t="array" ref="H8">IF(ROW()=2,SUMPRODUCT(Token!$D:$D,Token!$E:$E),SUMPRODUCT(OFFSET($A8,0,4,1,3),TRANSPOSE(OFFSET(Token!$D:$D,1,0,3))))</f>
        <v>10574.6271</v>
      </c>
      <c r="I8" s="20">
        <f>IF(ROW()=2,MAXIFS(Dashboard!$C:$C,Dashboard!$A:$A,"Transfered")-SUM(OFFSET($I:$I,2,0)),SUMIFS(TransactionsView!$D:$D,TransactionsView!$B:$B,$A8)-SUMIFS(TransactionsView!$E:$E,TransactionsView!$C:$C,$B8,TransactionsView!$E:$E,"&gt;0")+SUMIFS(TransactionsView!$E:$E,TransactionsView!$C:$C,$B8,TransactionsView!$E:$E,"&lt;0"))</f>
        <v>4900</v>
      </c>
      <c r="J8" s="20">
        <f t="shared" si="3"/>
        <v>5674.627097</v>
      </c>
      <c r="K8" s="25">
        <f t="shared" si="4"/>
        <v>0</v>
      </c>
      <c r="L8" s="25">
        <f t="shared" si="5"/>
        <v>0</v>
      </c>
      <c r="M8" s="20">
        <f>IF($E8&lt;&gt;0,($I8-$F8*MAXIFS(Token!$C:$C,Token!$B:$B,$F$1))/$E8,0)</f>
        <v>77.40916272</v>
      </c>
      <c r="N8" s="21" t="str">
        <f t="shared" si="6"/>
        <v>https://xray.helius.xyz/account/14qHdNDDyZiV2uijXi951natMiucMQGXhfubucRsWaJu</v>
      </c>
      <c r="O8" s="22" t="str">
        <f>IFERROR(__xludf.DUMMYFUNCTION("IF(AND($I8&lt;&gt;0,$B8&lt;&gt;$C8),TRANSPOSE(FLATTEN((ImportJSON(""https://wallet.fims.fi/api/solana/getAssets?address=""&amp;$C8&amp;""&amp;creator=CCLcWAJX6fubUqGyZWz8dyUGEddRj8h4XZZCNSDzMVx4""&amp;$O$1,""/name,/balance"",""noHeaders"")))),)"),"FiMs Token")</f>
        <v>FiMs Token</v>
      </c>
      <c r="P8" s="23" t="str">
        <f>IFERROR(__xludf.DUMMYFUNCTION("""COMPUTED_VALUE"""),"1900")</f>
        <v>1900</v>
      </c>
      <c r="Q8" s="23" t="str">
        <f>IFERROR(__xludf.DUMMYFUNCTION("""COMPUTED_VALUE"""),"Euro")</f>
        <v>Euro</v>
      </c>
      <c r="R8" s="23" t="str">
        <f>IFERROR(__xludf.DUMMYFUNCTION("""COMPUTED_VALUE"""),"100")</f>
        <v>100</v>
      </c>
      <c r="S8" s="23" t="str">
        <f>IFERROR(__xludf.DUMMYFUNCTION("""COMPUTED_VALUE"""),"FiMs SOL")</f>
        <v>FiMs SOL</v>
      </c>
      <c r="T8" s="23" t="str">
        <f>IFERROR(__xludf.DUMMYFUNCTION("""COMPUTED_VALUE"""),"63.3")</f>
        <v>63.3</v>
      </c>
      <c r="U8" s="23" t="str">
        <f>IFERROR(__xludf.DUMMYFUNCTION("""COMPUTED_VALUE"""),"Solana")</f>
        <v>Solana</v>
      </c>
      <c r="V8" s="23" t="str">
        <f>IFERROR(__xludf.DUMMYFUNCTION("""COMPUTED_VALUE"""),"0.000958")</f>
        <v>0.000958</v>
      </c>
    </row>
    <row r="9">
      <c r="A9" s="26" t="s">
        <v>47</v>
      </c>
      <c r="B9" s="26" t="s">
        <v>48</v>
      </c>
      <c r="C9" s="27" t="s">
        <v>48</v>
      </c>
      <c r="D9" s="27" t="b">
        <v>0</v>
      </c>
      <c r="E9" s="28">
        <v>0.0</v>
      </c>
      <c r="F9" s="28">
        <v>7500.0</v>
      </c>
      <c r="G9" s="28">
        <v>0.0</v>
      </c>
      <c r="H9" s="28">
        <f t="array" ref="H9">IF(ROW()=2,SUMPRODUCT(Token!$D:$D,Token!$E:$E),SUMPRODUCT(OFFSET($A9,0,4,1,3),TRANSPOSE(OFFSET(Token!$D:$D,1,0,3))))</f>
        <v>7849.721253</v>
      </c>
      <c r="I9" s="29">
        <f>IF(ROW()=2,MAXIFS(Dashboard!$C:$C,Dashboard!$A:$A,"Transfered")-SUM(OFFSET($I:$I,2,0)),SUMIFS(TransactionsView!$D:$D,TransactionsView!$B:$B,$A9)-SUMIFS(TransactionsView!$E:$E,TransactionsView!$C:$C,$B9,TransactionsView!$E:$E,"&gt;0")+SUMIFS(TransactionsView!$E:$E,TransactionsView!$C:$C,$B9,TransactionsView!$E:$E,"&lt;0"))</f>
        <v>7500</v>
      </c>
      <c r="J9" s="29">
        <f t="shared" si="3"/>
        <v>349.7212526</v>
      </c>
      <c r="K9" s="30">
        <f t="shared" si="4"/>
        <v>0</v>
      </c>
      <c r="L9" s="30">
        <f t="shared" si="5"/>
        <v>0</v>
      </c>
      <c r="M9" s="29">
        <f>IF($E9&lt;&gt;0,($I9-$F9*MAXIFS(Token!$C:$C,Token!$B:$B,$F$1))/$E9,0)</f>
        <v>0</v>
      </c>
      <c r="N9" s="17" t="str">
        <f t="shared" si="6"/>
        <v/>
      </c>
      <c r="O9" s="22" t="str">
        <f>IFERROR(__xludf.DUMMYFUNCTION("IF(AND($I9&lt;&gt;0,$B9&lt;&gt;$C9),TRANSPOSE(FLATTEN((ImportJSON(""https://wallet.fims.fi/api/solana/getAssets?address=""&amp;$C9&amp;""&amp;creator=CCLcWAJX6fubUqGyZWz8dyUGEddRj8h4XZZCNSDzMVx4""&amp;$O$1,""/name,/balance"",""noHeaders"")))),)"),"")</f>
        <v/>
      </c>
      <c r="P9" s="23"/>
      <c r="Q9" s="23"/>
      <c r="R9" s="23"/>
      <c r="S9" s="23"/>
      <c r="T9" s="23"/>
      <c r="U9" s="23"/>
      <c r="V9" s="23"/>
    </row>
    <row r="10">
      <c r="A10" s="26" t="s">
        <v>49</v>
      </c>
      <c r="B10" s="26" t="s">
        <v>50</v>
      </c>
      <c r="C10" s="27" t="s">
        <v>51</v>
      </c>
      <c r="D10" s="27" t="s">
        <v>28</v>
      </c>
      <c r="E10" s="24">
        <f t="shared" ref="E10:G10" si="12">IFERROR(OFFSET($O10:$T10,0,MATCH(E$1,$O10:$T10,0),1,1)*1,0)</f>
        <v>254</v>
      </c>
      <c r="F10" s="24">
        <f t="shared" si="12"/>
        <v>0</v>
      </c>
      <c r="G10" s="24">
        <f t="shared" si="12"/>
        <v>0</v>
      </c>
      <c r="H10" s="24">
        <f t="array" ref="H10">IF(ROW()=2,SUMPRODUCT(Token!$D:$D,Token!$E:$E),SUMPRODUCT(OFFSET($A10,0,4,1,3),TRANSPOSE(OFFSET(Token!$D:$D,1,0,3))))</f>
        <v>34051.3726</v>
      </c>
      <c r="I10" s="20">
        <f>IF(ROW()=2,MAXIFS(Dashboard!$C:$C,Dashboard!$A:$A,"Transfered")-SUM(OFFSET($I:$I,2,0)),SUMIFS(TransactionsView!$D:$D,TransactionsView!$B:$B,$A10)-SUMIFS(TransactionsView!$E:$E,TransactionsView!$C:$C,$B10,TransactionsView!$E:$E,"&gt;0")+SUMIFS(TransactionsView!$E:$E,TransactionsView!$C:$C,$B10,TransactionsView!$E:$E,"&lt;0"))</f>
        <v>15000</v>
      </c>
      <c r="J10" s="20">
        <f t="shared" si="3"/>
        <v>19051.3726</v>
      </c>
      <c r="K10" s="25">
        <f t="shared" si="4"/>
        <v>0</v>
      </c>
      <c r="L10" s="25">
        <f t="shared" si="5"/>
        <v>0</v>
      </c>
      <c r="M10" s="20">
        <f>IF($E10&lt;&gt;0,($I10-$F10*MAXIFS(Token!$C:$C,Token!$B:$B,$F$1))/$E10,0)</f>
        <v>59.05511811</v>
      </c>
      <c r="N10" s="21" t="str">
        <f t="shared" si="6"/>
        <v>https://xray.helius.xyz/account/GsX2GFS91jPejP66cRASZUN8PxFa8wnbnAQcBPpkbSEo</v>
      </c>
      <c r="O10" s="22" t="str">
        <f>IFERROR(__xludf.DUMMYFUNCTION("IF(AND($I10&lt;&gt;0,$B10&lt;&gt;$C10),TRANSPOSE(FLATTEN((ImportJSON(""https://wallet.fims.fi/api/solana/getAssets?address=""&amp;$C10&amp;""&amp;creator=CCLcWAJX6fubUqGyZWz8dyUGEddRj8h4XZZCNSDzMVx4""&amp;$O$1,""/name,/balance"",""noHeaders"")))),)"),"FiMs SOL")</f>
        <v>FiMs SOL</v>
      </c>
      <c r="P10" s="23" t="str">
        <f>IFERROR(__xludf.DUMMYFUNCTION("""COMPUTED_VALUE"""),"254")</f>
        <v>254</v>
      </c>
      <c r="Q10" s="23" t="str">
        <f>IFERROR(__xludf.DUMMYFUNCTION("""COMPUTED_VALUE"""),"Solana")</f>
        <v>Solana</v>
      </c>
      <c r="R10" s="23" t="str">
        <f>IFERROR(__xludf.DUMMYFUNCTION("""COMPUTED_VALUE"""),"0.01390828")</f>
        <v>0.01390828</v>
      </c>
      <c r="S10" s="23"/>
      <c r="T10" s="23"/>
      <c r="U10" s="23"/>
      <c r="V10" s="23"/>
    </row>
    <row r="11">
      <c r="A11" s="26" t="s">
        <v>52</v>
      </c>
      <c r="B11" s="26" t="s">
        <v>53</v>
      </c>
      <c r="C11" s="27" t="s">
        <v>54</v>
      </c>
      <c r="D11" s="27" t="b">
        <v>0</v>
      </c>
      <c r="E11" s="24">
        <f t="shared" ref="E11:G11" si="13">IFERROR(OFFSET($O11:$T11,0,MATCH(E$1,$O11:$T11,0),1,1)*1,0)</f>
        <v>74</v>
      </c>
      <c r="F11" s="24">
        <f t="shared" si="13"/>
        <v>0</v>
      </c>
      <c r="G11" s="24">
        <f t="shared" si="13"/>
        <v>0</v>
      </c>
      <c r="H11" s="24">
        <f t="array" ref="H11">IF(ROW()=2,SUMPRODUCT(Token!$D:$D,Token!$E:$E),SUMPRODUCT(OFFSET($A11,0,4,1,3),TRANSPOSE(OFFSET(Token!$D:$D,1,0,3))))</f>
        <v>9920.478632</v>
      </c>
      <c r="I11" s="20">
        <f>IF(ROW()=2,MAXIFS(Dashboard!$C:$C,Dashboard!$A:$A,"Transfered")-SUM(OFFSET($I:$I,2,0)),SUMIFS(TransactionsView!$D:$D,TransactionsView!$B:$B,$A11)-SUMIFS(TransactionsView!$E:$E,TransactionsView!$C:$C,$B11,TransactionsView!$E:$E,"&gt;0")+SUMIFS(TransactionsView!$E:$E,TransactionsView!$C:$C,$B11,TransactionsView!$E:$E,"&lt;0"))</f>
        <v>6848.03</v>
      </c>
      <c r="J11" s="20">
        <f t="shared" si="3"/>
        <v>3072.448632</v>
      </c>
      <c r="K11" s="25">
        <f t="shared" si="4"/>
        <v>0</v>
      </c>
      <c r="L11" s="25">
        <f t="shared" si="5"/>
        <v>0</v>
      </c>
      <c r="M11" s="20">
        <f>IF($E11&lt;&gt;0,($I11-$F11*MAXIFS(Token!$C:$C,Token!$B:$B,$F$1))/$E11,0)</f>
        <v>92.54094595</v>
      </c>
      <c r="N11" s="21" t="str">
        <f t="shared" si="6"/>
        <v>https://xray.helius.xyz/account/9F3t89oU5PBC1g77C5rxxuseaDQyKUwvMkw5bDHLvfym</v>
      </c>
      <c r="O11" s="22" t="str">
        <f>IFERROR(__xludf.DUMMYFUNCTION("IF(AND($I11&lt;&gt;0,$B11&lt;&gt;$C11),TRANSPOSE(FLATTEN((ImportJSON(""https://wallet.fims.fi/api/solana/getAssets?address=""&amp;$C11&amp;""&amp;creator=CCLcWAJX6fubUqGyZWz8dyUGEddRj8h4XZZCNSDzMVx4""&amp;$O$1,""/name,/balance"",""noHeaders"")))),)"),"FiMs SOL")</f>
        <v>FiMs SOL</v>
      </c>
      <c r="P11" s="23" t="str">
        <f>IFERROR(__xludf.DUMMYFUNCTION("""COMPUTED_VALUE"""),"74")</f>
        <v>74</v>
      </c>
      <c r="Q11" s="23" t="str">
        <f>IFERROR(__xludf.DUMMYFUNCTION("""COMPUTED_VALUE"""),"Solana")</f>
        <v>Solana</v>
      </c>
      <c r="R11" s="23" t="str">
        <f>IFERROR(__xludf.DUMMYFUNCTION("""COMPUTED_VALUE"""),"0.000937")</f>
        <v>0.000937</v>
      </c>
      <c r="S11" s="23"/>
      <c r="T11" s="23"/>
      <c r="U11" s="23"/>
      <c r="V11" s="23"/>
    </row>
    <row r="12">
      <c r="A12" s="26" t="s">
        <v>55</v>
      </c>
      <c r="B12" s="26" t="s">
        <v>56</v>
      </c>
      <c r="C12" s="27" t="s">
        <v>57</v>
      </c>
      <c r="D12" s="27" t="s">
        <v>28</v>
      </c>
      <c r="E12" s="24">
        <f t="shared" ref="E12:G12" si="14">IFERROR(OFFSET($O12:$T12,0,MATCH(E$1,$O12:$T12,0),1,1)*1,0)</f>
        <v>8</v>
      </c>
      <c r="F12" s="24">
        <f t="shared" si="14"/>
        <v>0</v>
      </c>
      <c r="G12" s="24">
        <f t="shared" si="14"/>
        <v>0</v>
      </c>
      <c r="H12" s="24">
        <f t="array" ref="H12">IF(ROW()=2,SUMPRODUCT(Token!$D:$D,Token!$E:$E),SUMPRODUCT(OFFSET($A12,0,4,1,3),TRANSPOSE(OFFSET(Token!$D:$D,1,0,3))))</f>
        <v>1072.484176</v>
      </c>
      <c r="I12" s="20">
        <f>IF(ROW()=2,MAXIFS(Dashboard!$C:$C,Dashboard!$A:$A,"Transfered")-SUM(OFFSET($I:$I,2,0)),SUMIFS(TransactionsView!$D:$D,TransactionsView!$B:$B,$A12)-SUMIFS(TransactionsView!$E:$E,TransactionsView!$C:$C,$B12,TransactionsView!$E:$E,"&gt;0")+SUMIFS(TransactionsView!$E:$E,TransactionsView!$C:$C,$B12,TransactionsView!$E:$E,"&lt;0"))</f>
        <v>754.32</v>
      </c>
      <c r="J12" s="20">
        <f t="shared" si="3"/>
        <v>318.1641765</v>
      </c>
      <c r="K12" s="25">
        <f t="shared" si="4"/>
        <v>0</v>
      </c>
      <c r="L12" s="25">
        <f t="shared" si="5"/>
        <v>0</v>
      </c>
      <c r="M12" s="20">
        <f>IF($E12&lt;&gt;0,($I12-$F12*MAXIFS(Token!$C:$C,Token!$B:$B,$F$1))/$E12,0)</f>
        <v>94.29</v>
      </c>
      <c r="N12" s="21" t="str">
        <f t="shared" si="6"/>
        <v>https://xray.helius.xyz/account/64Yi74wnCgbXAzLJmZGtSGVAZuEb7Jd7wc5kCYX1KRHV</v>
      </c>
      <c r="O12" s="22" t="str">
        <f>IFERROR(__xludf.DUMMYFUNCTION("IF(AND($I12&lt;&gt;0,$B12&lt;&gt;$C12),TRANSPOSE(FLATTEN((ImportJSON(""https://wallet.fims.fi/api/solana/getAssets?address=""&amp;$C12&amp;""&amp;creator=CCLcWAJX6fubUqGyZWz8dyUGEddRj8h4XZZCNSDzMVx4""&amp;$O$1,""/name,/balance"",""noHeaders"")))),)"),"FiMs SOL")</f>
        <v>FiMs SOL</v>
      </c>
      <c r="P12" s="23" t="str">
        <f>IFERROR(__xludf.DUMMYFUNCTION("""COMPUTED_VALUE"""),"8")</f>
        <v>8</v>
      </c>
      <c r="Q12" s="23" t="str">
        <f>IFERROR(__xludf.DUMMYFUNCTION("""COMPUTED_VALUE"""),"Solana")</f>
        <v>Solana</v>
      </c>
      <c r="R12" s="23" t="str">
        <f>IFERROR(__xludf.DUMMYFUNCTION("""COMPUTED_VALUE"""),"0.014660814")</f>
        <v>0.014660814</v>
      </c>
      <c r="S12" s="23"/>
      <c r="T12" s="23"/>
      <c r="U12" s="23"/>
      <c r="V12" s="23"/>
    </row>
    <row r="13">
      <c r="A13" s="26" t="s">
        <v>58</v>
      </c>
      <c r="B13" s="26" t="s">
        <v>59</v>
      </c>
      <c r="C13" s="27" t="s">
        <v>60</v>
      </c>
      <c r="D13" s="27" t="s">
        <v>28</v>
      </c>
      <c r="E13" s="24">
        <f t="shared" ref="E13:G13" si="15">IFERROR(OFFSET($O13:$T13,0,MATCH(E$1,$O13:$T13,0),1,1)*1,0)</f>
        <v>0</v>
      </c>
      <c r="F13" s="24">
        <f t="shared" si="15"/>
        <v>0</v>
      </c>
      <c r="G13" s="24">
        <f t="shared" si="15"/>
        <v>0</v>
      </c>
      <c r="H13" s="24">
        <f t="array" ref="H13">IF(ROW()=2,SUMPRODUCT(Token!$D:$D,Token!$E:$E),SUMPRODUCT(OFFSET($A13,0,4,1,3),TRANSPOSE(OFFSET(Token!$D:$D,1,0,3))))</f>
        <v>0</v>
      </c>
      <c r="I13" s="20">
        <f>IF(ROW()=2,MAXIFS(Dashboard!$C:$C,Dashboard!$A:$A,"Transfered")-SUM(OFFSET($I:$I,2,0)),SUMIFS(TransactionsView!$D:$D,TransactionsView!$B:$B,$A13)-SUMIFS(TransactionsView!$E:$E,TransactionsView!$C:$C,$B13,TransactionsView!$E:$E,"&gt;0")+SUMIFS(TransactionsView!$E:$E,TransactionsView!$C:$C,$B13,TransactionsView!$E:$E,"&lt;0"))</f>
        <v>0</v>
      </c>
      <c r="J13" s="20">
        <f t="shared" si="3"/>
        <v>0</v>
      </c>
      <c r="K13" s="25">
        <f t="shared" si="4"/>
        <v>0</v>
      </c>
      <c r="L13" s="25">
        <f t="shared" si="5"/>
        <v>0</v>
      </c>
      <c r="M13" s="20">
        <f>IF($E13&lt;&gt;0,($I13-$F13*MAXIFS(Token!$C:$C,Token!$B:$B,$F$1))/$E13,0)</f>
        <v>0</v>
      </c>
      <c r="N13" s="21" t="str">
        <f t="shared" si="6"/>
        <v>https://xray.helius.xyz/account/58kZBjjtHShTtXFmygr3ZT8VSU4dH28PanRAdouHbToh</v>
      </c>
      <c r="O13" s="22" t="str">
        <f>IFERROR(__xludf.DUMMYFUNCTION("IF(AND($I13&lt;&gt;0,$B13&lt;&gt;$C13),TRANSPOSE(FLATTEN((ImportJSON(""https://wallet.fims.fi/api/solana/getAssets?address=""&amp;$C13&amp;""&amp;creator=CCLcWAJX6fubUqGyZWz8dyUGEddRj8h4XZZCNSDzMVx4""&amp;$O$1,""/name,/balance"",""noHeaders"")))),)"),"")</f>
        <v/>
      </c>
      <c r="P13" s="23"/>
      <c r="Q13" s="23"/>
      <c r="R13" s="23"/>
      <c r="S13" s="23"/>
      <c r="T13" s="23"/>
      <c r="U13" s="23"/>
      <c r="V13" s="23"/>
    </row>
  </sheetData>
  <conditionalFormatting sqref="A1:V13">
    <cfRule type="expression" dxfId="0" priority="1">
      <formula>$B1=$C1</formula>
    </cfRule>
  </conditionalFormatting>
  <conditionalFormatting sqref="E1:V13">
    <cfRule type="cellIs" dxfId="1" priority="2" operator="equal">
      <formula>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45.38"/>
    <col customWidth="1" min="4" max="4" width="12.0"/>
  </cols>
  <sheetData>
    <row r="1">
      <c r="A1" s="3" t="str">
        <f>IFERROR(__xludf.DUMMYFUNCTION("IMPORTRANGE(""https://docs.google.com/spreadsheets/d/1enXnuwZExO92B5FxPB8s2Rhqlxl1p9nUY9tRaHtV1kI"",""Token!A:I"")"),"Token")</f>
        <v>Token</v>
      </c>
      <c r="B1" s="5" t="str">
        <f>IFERROR(__xludf.DUMMYFUNCTION("""COMPUTED_VALUE"""),"Name")</f>
        <v>Name</v>
      </c>
      <c r="C1" s="5" t="str">
        <f>IFERROR(__xludf.DUMMYFUNCTION("""COMPUTED_VALUE"""),"MintAddress")</f>
        <v>MintAddress</v>
      </c>
      <c r="D1" s="31" t="str">
        <f>IFERROR(__xludf.DUMMYFUNCTION("""COMPUTED_VALUE"""),"Value")</f>
        <v>Value</v>
      </c>
      <c r="E1" s="32" t="str">
        <f>IFERROR(__xludf.DUMMYFUNCTION("""COMPUTED_VALUE"""),"Available")</f>
        <v>Available</v>
      </c>
      <c r="F1" s="5" t="str">
        <f>IFERROR(__xludf.DUMMYFUNCTION("""COMPUTED_VALUE"""),"Yearly Yield")</f>
        <v>Yearly Yield</v>
      </c>
      <c r="G1" s="5" t="str">
        <f>IFERROR(__xludf.DUMMYFUNCTION("""COMPUTED_VALUE"""),"Inception Yield")</f>
        <v>Inception Yield</v>
      </c>
      <c r="H1" s="32" t="str">
        <f>IFERROR(__xludf.DUMMYFUNCTION("""COMPUTED_VALUE"""),"Inception Price")</f>
        <v>Inception Price</v>
      </c>
      <c r="I1" s="5" t="str">
        <f>IFERROR(__xludf.DUMMYFUNCTION("""COMPUTED_VALUE"""),"Duration")</f>
        <v>Duration</v>
      </c>
    </row>
    <row r="2">
      <c r="A2" s="5" t="str">
        <f>IFERROR(__xludf.DUMMYFUNCTION("""COMPUTED_VALUE"""),"FSOL")</f>
        <v>FSOL</v>
      </c>
      <c r="B2" s="5" t="str">
        <f>IFERROR(__xludf.DUMMYFUNCTION("""COMPUTED_VALUE"""),"FiMs SOL")</f>
        <v>FiMs SOL</v>
      </c>
      <c r="C2" s="5" t="str">
        <f>IFERROR(__xludf.DUMMYFUNCTION("""COMPUTED_VALUE"""),"3ZHSygcxRck5XzBRqVnkm2s4NECKXzGyfCLXRqF4Dtmw")</f>
        <v>3ZHSygcxRck5XzBRqVnkm2s4NECKXzGyfCLXRqF4Dtmw</v>
      </c>
      <c r="D2" s="33">
        <f>IFERROR(__xludf.DUMMYFUNCTION("""COMPUTED_VALUE"""),134.06052206052206)</f>
        <v>134.0605221</v>
      </c>
      <c r="E2" s="32">
        <f>IFERROR(__xludf.DUMMYFUNCTION("""COMPUTED_VALUE"""),-1702.45)</f>
        <v>-1702.45</v>
      </c>
      <c r="F2" s="34">
        <f>IFERROR(__xludf.DUMMYFUNCTION("""COMPUTED_VALUE"""),2.0733523543561305)</f>
        <v>2.073352354</v>
      </c>
      <c r="G2" s="34">
        <f>IFERROR(__xludf.DUMMYFUNCTION("""COMPUTED_VALUE"""),2.9290891576940816)</f>
        <v>2.929089158</v>
      </c>
      <c r="H2" s="35">
        <f>IFERROR(__xludf.DUMMYFUNCTION("""COMPUTED_VALUE"""),34.12)</f>
        <v>34.12</v>
      </c>
      <c r="I2" s="36">
        <f>IFERROR(__xludf.DUMMYFUNCTION("""COMPUTED_VALUE"""),516.0)</f>
        <v>516</v>
      </c>
    </row>
    <row r="3">
      <c r="A3" s="5" t="str">
        <f>IFERROR(__xludf.DUMMYFUNCTION("""COMPUTED_VALUE"""),"FiMs")</f>
        <v>FiMs</v>
      </c>
      <c r="B3" s="5" t="str">
        <f>IFERROR(__xludf.DUMMYFUNCTION("""COMPUTED_VALUE"""),"FiMs Token")</f>
        <v>FiMs Token</v>
      </c>
      <c r="C3" s="5" t="str">
        <f>IFERROR(__xludf.DUMMYFUNCTION("""COMPUTED_VALUE"""),"D84wZMJRoievKkRaquXXrYSMuU5mA46RznCSrJ9HSK1u")</f>
        <v>D84wZMJRoievKkRaquXXrYSMuU5mA46RznCSrJ9HSK1u</v>
      </c>
      <c r="D3" s="37">
        <f>IFERROR(__xludf.DUMMYFUNCTION("""COMPUTED_VALUE"""),1.046629500351612)</f>
        <v>1.0466295</v>
      </c>
      <c r="E3" s="32">
        <f>IFERROR(__xludf.DUMMYFUNCTION("""COMPUTED_VALUE"""),-60955.0)</f>
        <v>-60955</v>
      </c>
      <c r="F3" s="34">
        <f>IFERROR(__xludf.DUMMYFUNCTION("""COMPUTED_VALUE"""),0.03300663760353927)</f>
        <v>0.0330066376</v>
      </c>
      <c r="G3" s="34">
        <f>IFERROR(__xludf.DUMMYFUNCTION("""COMPUTED_VALUE"""),0.04662950035161195)</f>
        <v>0.04662950035</v>
      </c>
      <c r="H3" s="35">
        <f>IFERROR(__xludf.DUMMYFUNCTION("""COMPUTED_VALUE"""),1.0)</f>
        <v>1</v>
      </c>
      <c r="I3" s="36">
        <f>IFERROR(__xludf.DUMMYFUNCTION("""COMPUTED_VALUE"""),516.0)</f>
        <v>516</v>
      </c>
    </row>
    <row r="4">
      <c r="A4" s="5" t="str">
        <f>IFERROR(__xludf.DUMMYFUNCTION("""COMPUTED_VALUE"""),"€")</f>
        <v>€</v>
      </c>
      <c r="B4" s="5" t="str">
        <f>IFERROR(__xludf.DUMMYFUNCTION("""COMPUTED_VALUE"""),"Euro")</f>
        <v>Euro</v>
      </c>
      <c r="C4" s="5" t="str">
        <f>IFERROR(__xludf.DUMMYFUNCTION("""COMPUTED_VALUE"""),"Pnsjp9dbenPeFZWqqPHDygzkCZ4Gr37G8mgdRK2KjQp")</f>
        <v>Pnsjp9dbenPeFZWqqPHDygzkCZ4Gr37G8mgdRK2KjQp</v>
      </c>
      <c r="D4" s="33">
        <f>IFERROR(__xludf.DUMMYFUNCTION("""COMPUTED_VALUE"""),1.0)</f>
        <v>1</v>
      </c>
      <c r="E4" s="32">
        <f>IFERROR(__xludf.DUMMYFUNCTION("""COMPUTED_VALUE"""),-170.0)</f>
        <v>-170</v>
      </c>
      <c r="F4" s="34">
        <f>IFERROR(__xludf.DUMMYFUNCTION("""COMPUTED_VALUE"""),0.0)</f>
        <v>0</v>
      </c>
      <c r="G4" s="5"/>
      <c r="H4" s="5"/>
      <c r="I4" s="5"/>
    </row>
    <row r="5">
      <c r="A5" s="5" t="str">
        <f>IFERROR(__xludf.DUMMYFUNCTION("""COMPUTED_VALUE"""),"NEXO")</f>
        <v>NEXO</v>
      </c>
      <c r="B5" s="5" t="str">
        <f>IFERROR(__xludf.DUMMYFUNCTION("""COMPUTED_VALUE"""),"Nexo")</f>
        <v>Nexo</v>
      </c>
      <c r="C5" s="5" t="str">
        <f>IFERROR(__xludf.DUMMYFUNCTION("""COMPUTED_VALUE"""),"0xb62132e35a6c13ee1ee0f84dc5d40bad8d815206")</f>
        <v>0xb62132e35a6c13ee1ee0f84dc5d40bad8d815206</v>
      </c>
      <c r="D5" s="33">
        <f>IFERROR(__xludf.DUMMYFUNCTION("""COMPUTED_VALUE"""),1.2842581289305244)</f>
        <v>1.284258129</v>
      </c>
      <c r="E5" s="32">
        <f>IFERROR(__xludf.DUMMYFUNCTION("""COMPUTED_VALUE"""),2209.0)</f>
        <v>2209</v>
      </c>
      <c r="F5" s="34">
        <f>IFERROR(__xludf.DUMMYFUNCTION("""COMPUTED_VALUE"""),0.3097338503933003)</f>
        <v>0.3097338504</v>
      </c>
      <c r="G5" s="34">
        <f>IFERROR(__xludf.DUMMYFUNCTION("""COMPUTED_VALUE"""),0.4375706141079889)</f>
        <v>0.4375706141</v>
      </c>
      <c r="H5" s="35">
        <f>IFERROR(__xludf.DUMMYFUNCTION("""COMPUTED_VALUE"""),0.8933530752)</f>
        <v>0.8933530752</v>
      </c>
      <c r="I5" s="36">
        <f>IFERROR(__xludf.DUMMYFUNCTION("""COMPUTED_VALUE"""),516.0)</f>
        <v>516</v>
      </c>
    </row>
    <row r="6">
      <c r="A6" s="5" t="str">
        <f>IFERROR(__xludf.DUMMYFUNCTION("""COMPUTED_VALUE"""),"BTC")</f>
        <v>BTC</v>
      </c>
      <c r="B6" s="5" t="str">
        <f>IFERROR(__xludf.DUMMYFUNCTION("""COMPUTED_VALUE"""),"Bitcoin")</f>
        <v>Bitcoin</v>
      </c>
      <c r="C6" s="5" t="str">
        <f>IFERROR(__xludf.DUMMYFUNCTION("""COMPUTED_VALUE"""),"3NZ9JMVBmGAqocybic2c7LQCJScmgsAZ6vQqTDzcqmJh")</f>
        <v>3NZ9JMVBmGAqocybic2c7LQCJScmgsAZ6vQqTDzcqmJh</v>
      </c>
      <c r="D6" s="33">
        <f>IFERROR(__xludf.DUMMYFUNCTION("""COMPUTED_VALUE"""),58120.941556941565)</f>
        <v>58120.94156</v>
      </c>
      <c r="E6" s="38">
        <f>IFERROR(__xludf.DUMMYFUNCTION("""COMPUTED_VALUE"""),0.27871636)</f>
        <v>0.27871636</v>
      </c>
      <c r="F6" s="34">
        <f>IFERROR(__xludf.DUMMYFUNCTION("""COMPUTED_VALUE"""),1.352707276820219)</f>
        <v>1.352707277</v>
      </c>
      <c r="G6" s="34">
        <f>IFERROR(__xludf.DUMMYFUNCTION("""COMPUTED_VALUE"""),1.9110115122224038)</f>
        <v>1.911011512</v>
      </c>
      <c r="H6" s="35">
        <f>IFERROR(__xludf.DUMMYFUNCTION("""COMPUTED_VALUE"""),19965.892032)</f>
        <v>19965.89203</v>
      </c>
      <c r="I6" s="36">
        <f>IFERROR(__xludf.DUMMYFUNCTION("""COMPUTED_VALUE"""),516.0)</f>
        <v>516</v>
      </c>
    </row>
    <row r="7">
      <c r="A7" s="5" t="str">
        <f>IFERROR(__xludf.DUMMYFUNCTION("""COMPUTED_VALUE"""),"SOL")</f>
        <v>SOL</v>
      </c>
      <c r="B7" s="5" t="str">
        <f>IFERROR(__xludf.DUMMYFUNCTION("""COMPUTED_VALUE"""),"Solana")</f>
        <v>Solana</v>
      </c>
      <c r="C7" s="5" t="str">
        <f>IFERROR(__xludf.DUMMYFUNCTION("""COMPUTED_VALUE"""),"So11111111111111111111111111111111111111112")</f>
        <v>So11111111111111111111111111111111111111112</v>
      </c>
      <c r="D7" s="33">
        <f>IFERROR(__xludf.DUMMYFUNCTION("""COMPUTED_VALUE"""),120.3982443982444)</f>
        <v>120.3982444</v>
      </c>
      <c r="E7" s="32">
        <f>IFERROR(__xludf.DUMMYFUNCTION("""COMPUTED_VALUE"""),6604.2409318152495)</f>
        <v>6604.240932</v>
      </c>
      <c r="F7" s="34">
        <f>IFERROR(__xludf.DUMMYFUNCTION("""COMPUTED_VALUE"""),1.7899166170503311)</f>
        <v>1.789916617</v>
      </c>
      <c r="G7" s="34">
        <f>IFERROR(__xludf.DUMMYFUNCTION("""COMPUTED_VALUE"""),2.528670703348312)</f>
        <v>2.528670703</v>
      </c>
      <c r="H7" s="35">
        <f>IFERROR(__xludf.DUMMYFUNCTION("""COMPUTED_VALUE"""),34.12)</f>
        <v>34.12</v>
      </c>
      <c r="I7" s="36">
        <f>IFERROR(__xludf.DUMMYFUNCTION("""COMPUTED_VALUE"""),516.0)</f>
        <v>516</v>
      </c>
    </row>
    <row r="8">
      <c r="A8" s="5" t="str">
        <f>IFERROR(__xludf.DUMMYFUNCTION("""COMPUTED_VALUE"""),"JUP")</f>
        <v>JUP</v>
      </c>
      <c r="B8" s="5" t="str">
        <f>IFERROR(__xludf.DUMMYFUNCTION("""COMPUTED_VALUE"""),"Jupiter")</f>
        <v>Jupiter</v>
      </c>
      <c r="C8" s="5" t="str">
        <f>IFERROR(__xludf.DUMMYFUNCTION("""COMPUTED_VALUE"""),"JUPyiwrYJFskUPiHa7hkeR8VUtAeFoSYbKedZNsDvCN")</f>
        <v>JUPyiwrYJFskUPiHa7hkeR8VUtAeFoSYbKedZNsDvCN</v>
      </c>
      <c r="D8" s="33">
        <f>IFERROR(__xludf.DUMMYFUNCTION("""COMPUTED_VALUE"""),0.583968583968584)</f>
        <v>0.583968584</v>
      </c>
      <c r="E8" s="32">
        <f>IFERROR(__xludf.DUMMYFUNCTION("""COMPUTED_VALUE"""),0.0)</f>
        <v>0</v>
      </c>
      <c r="F8" s="34">
        <f>IFERROR(__xludf.DUMMYFUNCTION("""COMPUTED_VALUE"""),-0.49752335758538235)</f>
        <v>-0.4975233576</v>
      </c>
      <c r="G8" s="34">
        <f>IFERROR(__xludf.DUMMYFUNCTION("""COMPUTED_VALUE"""),-0.04358863091781584)</f>
        <v>-0.04358863092</v>
      </c>
      <c r="H8" s="35">
        <f>IFERROR(__xludf.DUMMYFUNCTION("""COMPUTED_VALUE"""),0.610583063780376)</f>
        <v>0.6105830638</v>
      </c>
      <c r="I8" s="36">
        <f>IFERROR(__xludf.DUMMYFUNCTION("""COMPUTED_VALUE"""),32.0)</f>
        <v>32</v>
      </c>
    </row>
    <row r="9">
      <c r="A9" s="5" t="str">
        <f>IFERROR(__xludf.DUMMYFUNCTION("""COMPUTED_VALUE"""),"BLZE")</f>
        <v>BLZE</v>
      </c>
      <c r="B9" s="5" t="str">
        <f>IFERROR(__xludf.DUMMYFUNCTION("""COMPUTED_VALUE"""),"Blaze")</f>
        <v>Blaze</v>
      </c>
      <c r="C9" s="5" t="str">
        <f>IFERROR(__xludf.DUMMYFUNCTION("""COMPUTED_VALUE"""),"BLZEEuZUBVqFhj8adcCFPJvPVCiCyVmh3hkJMrU8KuJA")</f>
        <v>BLZEEuZUBVqFhj8adcCFPJvPVCiCyVmh3hkJMrU8KuJA</v>
      </c>
      <c r="D9" s="39">
        <f>IFERROR(__xludf.DUMMYFUNCTION("""COMPUTED_VALUE"""),0.002772002772002772)</f>
        <v>0.002772002772</v>
      </c>
      <c r="E9" s="32">
        <f>IFERROR(__xludf.DUMMYFUNCTION("""COMPUTED_VALUE"""),0.0)</f>
        <v>0</v>
      </c>
      <c r="F9" s="34">
        <f>IFERROR(__xludf.DUMMYFUNCTION("""COMPUTED_VALUE"""),49.3527496736291)</f>
        <v>49.35274967</v>
      </c>
      <c r="G9" s="34">
        <f>IFERROR(__xludf.DUMMYFUNCTION("""COMPUTED_VALUE"""),26.61873151459256)</f>
        <v>26.61873151</v>
      </c>
      <c r="H9" s="40">
        <f>IFERROR(__xludf.DUMMYFUNCTION("""COMPUTED_VALUE"""),1.00366766320827E-4)</f>
        <v>0.0001003667663</v>
      </c>
      <c r="I9" s="36">
        <f>IFERROR(__xludf.DUMMYFUNCTION("""COMPUTED_VALUE"""),197.0)</f>
        <v>197</v>
      </c>
    </row>
    <row r="10">
      <c r="A10" s="5" t="str">
        <f>IFERROR(__xludf.DUMMYFUNCTION("""COMPUTED_VALUE"""),"PYTH")</f>
        <v>PYTH</v>
      </c>
      <c r="B10" s="5" t="str">
        <f>IFERROR(__xludf.DUMMYFUNCTION("""COMPUTED_VALUE"""),"Pyth Network")</f>
        <v>Pyth Network</v>
      </c>
      <c r="C10" s="5" t="str">
        <f>IFERROR(__xludf.DUMMYFUNCTION("""COMPUTED_VALUE"""),"HZ1JovNiVvGrGNiiYvEozEVgZ58xaU3RKwX8eACQBCt3")</f>
        <v>HZ1JovNiVvGrGNiiYvEozEVgZ58xaU3RKwX8eACQBCt3</v>
      </c>
      <c r="D10" s="33">
        <f>IFERROR(__xludf.DUMMYFUNCTION("""COMPUTED_VALUE"""),0.6218526218526219)</f>
        <v>0.6218526219</v>
      </c>
      <c r="E10" s="32">
        <f>IFERROR(__xludf.DUMMYFUNCTION("""COMPUTED_VALUE"""),0.0)</f>
        <v>0</v>
      </c>
      <c r="F10" s="34">
        <f>IFERROR(__xludf.DUMMYFUNCTION("""COMPUTED_VALUE"""),4.824668766447412)</f>
        <v>4.824668766</v>
      </c>
      <c r="G10" s="34">
        <f>IFERROR(__xludf.DUMMYFUNCTION("""COMPUTED_VALUE"""),1.4133868802460592)</f>
        <v>1.41338688</v>
      </c>
      <c r="H10" s="35">
        <f>IFERROR(__xludf.DUMMYFUNCTION("""COMPUTED_VALUE"""),0.257668021212256)</f>
        <v>0.2576680212</v>
      </c>
      <c r="I10" s="36">
        <f>IFERROR(__xludf.DUMMYFUNCTION("""COMPUTED_VALUE"""),107.0)</f>
        <v>107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2.25"/>
    <col customWidth="1" min="2" max="2" width="13.0"/>
    <col customWidth="1" min="3" max="3" width="15.0"/>
    <col customWidth="1" min="4" max="4" width="14.88"/>
  </cols>
  <sheetData>
    <row r="1">
      <c r="A1" s="3" t="str">
        <f>IFERROR(__xludf.DUMMYFUNCTION("IMPORTRANGE(""https://docs.google.com/spreadsheets/d/1enXnuwZExO92B5FxPB8s2Rhqlxl1p9nUY9tRaHtV1kI"",""Dashboard!A:D"")"),"Currency")</f>
        <v>Currency</v>
      </c>
      <c r="B1" s="41" t="str">
        <f>IFERROR(__xludf.DUMMYFUNCTION("""COMPUTED_VALUE"""),"SOL")</f>
        <v>SOL</v>
      </c>
      <c r="C1" s="42" t="str">
        <f>IFERROR(__xludf.DUMMYFUNCTION("""COMPUTED_VALUE"""),"EUR")</f>
        <v>EUR</v>
      </c>
      <c r="D1" s="42" t="str">
        <f>IFERROR(__xludf.DUMMYFUNCTION("""COMPUTED_VALUE"""),"%")</f>
        <v>%</v>
      </c>
    </row>
    <row r="2">
      <c r="A2" s="5" t="str">
        <f>IFERROR(__xludf.DUMMYFUNCTION("""COMPUTED_VALUE"""),"Assets")</f>
        <v>Assets</v>
      </c>
      <c r="B2" s="43">
        <f>IFERROR(__xludf.DUMMYFUNCTION("""COMPUTED_VALUE"""),6762.351073474496)</f>
        <v>6762.351073</v>
      </c>
      <c r="C2" s="44">
        <f>IFERROR(__xludf.DUMMYFUNCTION("""COMPUTED_VALUE"""),814175.1972509128)</f>
        <v>814175.1973</v>
      </c>
      <c r="D2" s="45">
        <f>IFERROR(__xludf.DUMMYFUNCTION("""COMPUTED_VALUE"""),2.9938088588817715)</f>
        <v>2.993808859</v>
      </c>
    </row>
    <row r="3">
      <c r="A3" s="5" t="str">
        <f>IFERROR(__xludf.DUMMYFUNCTION("""COMPUTED_VALUE"""),"Gains")</f>
        <v>Gains</v>
      </c>
      <c r="B3" s="46">
        <f>IFERROR(__xludf.DUMMYFUNCTION("""COMPUTED_VALUE"""),2023.0727908305735)</f>
        <v>2023.072791</v>
      </c>
      <c r="C3" s="44">
        <f>IFERROR(__xludf.DUMMYFUNCTION("""COMPUTED_VALUE"""),542222.2317716742)</f>
        <v>542222.2318</v>
      </c>
      <c r="D3" s="45">
        <f>IFERROR(__xludf.DUMMYFUNCTION("""COMPUTED_VALUE"""),1.9938088588817715)</f>
        <v>1.993808859</v>
      </c>
    </row>
    <row r="4">
      <c r="A4" s="5" t="str">
        <f>IFERROR(__xludf.DUMMYFUNCTION("""COMPUTED_VALUE"""),"Transfered")</f>
        <v>Transfered</v>
      </c>
      <c r="B4" s="43">
        <f>IFERROR(__xludf.DUMMYFUNCTION("""COMPUTED_VALUE"""),4739.2782826439225)</f>
        <v>4739.278283</v>
      </c>
      <c r="C4" s="44">
        <f>IFERROR(__xludf.DUMMYFUNCTION("""COMPUTED_VALUE"""),271952.9654792385)</f>
        <v>271952.9655</v>
      </c>
      <c r="D4" s="45">
        <f>IFERROR(__xludf.DUMMYFUNCTION("""COMPUTED_VALUE"""),1.0)</f>
        <v>1</v>
      </c>
    </row>
    <row r="5">
      <c r="A5" s="5" t="str">
        <f>IFERROR(__xludf.DUMMYFUNCTION("""COMPUTED_VALUE"""),"Transfer cost")</f>
        <v>Transfer cost</v>
      </c>
      <c r="B5" s="43">
        <f>IFERROR(__xludf.DUMMYFUNCTION("""COMPUTED_VALUE"""),15.321914905954149)</f>
        <v>15.32191491</v>
      </c>
      <c r="C5" s="44">
        <f>IFERROR(__xludf.DUMMYFUNCTION("""COMPUTED_VALUE"""),1844.7316554961715)</f>
        <v>1844.731655</v>
      </c>
      <c r="D5" s="45">
        <f>IFERROR(__xludf.DUMMYFUNCTION("""COMPUTED_VALUE"""),0.006783274645471746)</f>
        <v>0.006783274645</v>
      </c>
    </row>
    <row r="6">
      <c r="A6" s="5" t="str">
        <f>IFERROR(__xludf.DUMMYFUNCTION("""COMPUTED_VALUE"""),"Strategy cost")</f>
        <v>Strategy cost</v>
      </c>
      <c r="B6" s="46">
        <f>IFERROR(__xludf.DUMMYFUNCTION("""COMPUTED_VALUE"""),-58.46938844121996)</f>
        <v>-58.46938844</v>
      </c>
      <c r="C6" s="44">
        <f>IFERROR(__xludf.DUMMYFUNCTION("""COMPUTED_VALUE"""),-4930.3968816281995)</f>
        <v>-4930.396882</v>
      </c>
      <c r="D6" s="45">
        <f>IFERROR(__xludf.DUMMYFUNCTION("""COMPUTED_VALUE"""),-0.018129594111760468)</f>
        <v>-0.01812959411</v>
      </c>
    </row>
    <row r="7">
      <c r="A7" s="5" t="str">
        <f>IFERROR(__xludf.DUMMYFUNCTION("""COMPUTED_VALUE"""),"Price change")</f>
        <v>Price change</v>
      </c>
      <c r="B7" s="43">
        <f>IFERROR(__xludf.DUMMYFUNCTION("""COMPUTED_VALUE"""),0.0)</f>
        <v>0</v>
      </c>
      <c r="C7" s="44">
        <f>IFERROR(__xludf.DUMMYFUNCTION("""COMPUTED_VALUE"""),296538.6046280826)</f>
        <v>296538.6046</v>
      </c>
      <c r="D7" s="45">
        <f>IFERROR(__xludf.DUMMYFUNCTION("""COMPUTED_VALUE"""),1.090404011978759)</f>
        <v>1.090404012</v>
      </c>
    </row>
    <row r="8">
      <c r="A8" s="5" t="str">
        <f>IFERROR(__xludf.DUMMYFUNCTION("""COMPUTED_VALUE"""),"Charity")</f>
        <v>Charity</v>
      </c>
      <c r="B8" s="43">
        <f>IFERROR(__xludf.DUMMYFUNCTION("""COMPUTED_VALUE"""),-166.11537900706824)</f>
        <v>-166.115379</v>
      </c>
      <c r="C8" s="44">
        <f>IFERROR(__xludf.DUMMYFUNCTION("""COMPUTED_VALUE"""),-20000.0)</f>
        <v>-20000</v>
      </c>
      <c r="D8" s="45">
        <f>IFERROR(__xludf.DUMMYFUNCTION("""COMPUTED_VALUE"""),-0.07354212874551959)</f>
        <v>-0.07354212875</v>
      </c>
    </row>
    <row r="9">
      <c r="A9" s="5" t="str">
        <f>IFERROR(__xludf.DUMMYFUNCTION("""COMPUTED_VALUE"""),"Solana (SOL)")</f>
        <v>Solana (SOL)</v>
      </c>
      <c r="B9" s="43">
        <f>IFERROR(__xludf.DUMMYFUNCTION("""COMPUTED_VALUE"""),4901.79093181525)</f>
        <v>4901.790932</v>
      </c>
      <c r="C9" s="44">
        <f>IFERROR(__xludf.DUMMYFUNCTION("""COMPUTED_VALUE"""),590167.0225977906)</f>
        <v>590167.0226</v>
      </c>
      <c r="D9" s="45">
        <f>IFERROR(__xludf.DUMMYFUNCTION("""COMPUTED_VALUE"""),2.170106957862334)</f>
        <v>2.170106958</v>
      </c>
    </row>
    <row r="10">
      <c r="A10" s="5" t="str">
        <f>IFERROR(__xludf.DUMMYFUNCTION("""COMPUTED_VALUE"""),"Bitcoin (BTC)")</f>
        <v>Bitcoin (BTC)</v>
      </c>
      <c r="B10" s="43">
        <f>IFERROR(__xludf.DUMMYFUNCTION("""COMPUTED_VALUE"""),134.54728805630074)</f>
        <v>134.5472881</v>
      </c>
      <c r="C10" s="44">
        <f>IFERROR(__xludf.DUMMYFUNCTION("""COMPUTED_VALUE"""),16199.257270523485)</f>
        <v>16199.25727</v>
      </c>
      <c r="D10" s="45">
        <f>IFERROR(__xludf.DUMMYFUNCTION("""COMPUTED_VALUE"""),0.059566393188531616)</f>
        <v>0.05956639319</v>
      </c>
    </row>
    <row r="11">
      <c r="A11" s="5" t="str">
        <f>IFERROR(__xludf.DUMMYFUNCTION("""COMPUTED_VALUE"""),"Nexo (NEXO)")</f>
        <v>Nexo (NEXO)</v>
      </c>
      <c r="B11" s="43">
        <f>IFERROR(__xludf.DUMMYFUNCTION("""COMPUTED_VALUE"""),23.56285360294585)</f>
        <v>23.5628536</v>
      </c>
      <c r="C11" s="44">
        <f>IFERROR(__xludf.DUMMYFUNCTION("""COMPUTED_VALUE"""),2836.926206807528)</f>
        <v>2836.926207</v>
      </c>
      <c r="D11" s="45">
        <f>IFERROR(__xludf.DUMMYFUNCTION("""COMPUTED_VALUE"""),0.010431679617128887)</f>
        <v>0.01043167962</v>
      </c>
    </row>
    <row r="12">
      <c r="A12" s="5" t="str">
        <f>IFERROR(__xludf.DUMMYFUNCTION("""COMPUTED_VALUE"""),"FiMs Token (FiMs)")</f>
        <v>FiMs Token (FiMs)</v>
      </c>
      <c r="B12" s="43">
        <f>IFERROR(__xludf.DUMMYFUNCTION("""COMPUTED_VALUE"""),-529.8856433729093)</f>
        <v>-529.8856434</v>
      </c>
      <c r="C12" s="44">
        <f>IFERROR(__xludf.DUMMYFUNCTION("""COMPUTED_VALUE"""),-63797.30119393251)</f>
        <v>-63797.30119</v>
      </c>
      <c r="D12" s="45">
        <f>IFERROR(__xludf.DUMMYFUNCTION("""COMPUTED_VALUE"""),-0.23458946690104374)</f>
        <v>-0.2345894669</v>
      </c>
    </row>
    <row r="13">
      <c r="A13" s="5" t="str">
        <f>IFERROR(__xludf.DUMMYFUNCTION("""COMPUTED_VALUE"""),"TOTAL")</f>
        <v>TOTAL</v>
      </c>
      <c r="B13" s="46">
        <f>IFERROR(__xludf.DUMMYFUNCTION("""COMPUTED_VALUE"""),4530.015430101588)</f>
        <v>4530.01543</v>
      </c>
      <c r="C13" s="44">
        <f>IFERROR(__xludf.DUMMYFUNCTION("""COMPUTED_VALUE"""),545405.904881189)</f>
        <v>545405.9049</v>
      </c>
      <c r="D13" s="45">
        <f>IFERROR(__xludf.DUMMYFUNCTION("""COMPUTED_VALUE"""),2.005515563766951)</f>
        <v>2.005515564</v>
      </c>
    </row>
    <row r="14">
      <c r="A14" s="5" t="str">
        <f>IFERROR(__xludf.DUMMYFUNCTION("""COMPUTED_VALUE"""),"Bought Price")</f>
        <v>Bought Price</v>
      </c>
      <c r="B14" s="47">
        <f>IFERROR(__xludf.DUMMYFUNCTION("""COMPUTED_VALUE"""),1.1134757215984528)</f>
        <v>1.113475722</v>
      </c>
      <c r="C14" s="44">
        <f>IFERROR(__xludf.DUMMYFUNCTION("""COMPUTED_VALUE"""),57.382780512209735)</f>
        <v>57.38278051</v>
      </c>
      <c r="D14" s="45">
        <f>IFERROR(__xludf.DUMMYFUNCTION("""COMPUTED_VALUE"""),1.0981598194361881)</f>
        <v>1.098159819</v>
      </c>
    </row>
    <row r="15">
      <c r="A15" s="5" t="str">
        <f>IFERROR(__xludf.DUMMYFUNCTION("""COMPUTED_VALUE"""),"Price @ 3/3/2024 18:41:58")</f>
        <v>Price @ 3/3/2024 18:41:58</v>
      </c>
      <c r="B15" s="47">
        <f>IFERROR(__xludf.DUMMYFUNCTION("""COMPUTED_VALUE"""),1.046629500351612)</f>
        <v>1.0466295</v>
      </c>
      <c r="C15" s="44">
        <f>IFERROR(__xludf.DUMMYFUNCTION("""COMPUTED_VALUE"""),120.3982443982444)</f>
        <v>120.3982444</v>
      </c>
      <c r="D15" s="45">
        <f>IFERROR(__xludf.DUMMYFUNCTION("""COMPUTED_VALUE"""),0.057080566917717235)</f>
        <v>0.05708056692</v>
      </c>
    </row>
    <row r="16">
      <c r="A16" s="5" t="str">
        <f>IFERROR(__xludf.DUMMYFUNCTION("""COMPUTED_VALUE"""),"Profit")</f>
        <v>Profit</v>
      </c>
      <c r="B16" s="46">
        <f>IFERROR(__xludf.DUMMYFUNCTION("""COMPUTED_VALUE"""),-209.26285254233426)</f>
        <v>-209.2628525</v>
      </c>
      <c r="C16" s="44">
        <f>IFERROR(__xludf.DUMMYFUNCTION("""COMPUTED_VALUE"""),273452.9394019505)</f>
        <v>273452.9394</v>
      </c>
      <c r="D16" s="45">
        <f>IFERROR(__xludf.DUMMYFUNCTION("""COMPUTED_VALUE"""),1.0055155637669508)</f>
        <v>1.005515564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3" t="str">
        <f>IFERROR(__xludf.DUMMYFUNCTION("IMPORTRANGE(""https://docs.google.com/spreadsheets/d/1enXnuwZExO92B5FxPB8s2Rhqlxl1p9nUY9tRaHtV1kI"",""Historic!A:L"")"),"Date")</f>
        <v>Date</v>
      </c>
      <c r="B1" s="5" t="str">
        <f>IFERROR(__xludf.DUMMYFUNCTION("""COMPUTED_VALUE"""),"Transfered")</f>
        <v>Transfered</v>
      </c>
      <c r="C1" s="5" t="str">
        <f>IFERROR(__xludf.DUMMYFUNCTION("""COMPUTED_VALUE"""),"Transfer cost")</f>
        <v>Transfer cost</v>
      </c>
      <c r="D1" s="5" t="str">
        <f>IFERROR(__xludf.DUMMYFUNCTION("""COMPUTED_VALUE"""),"Strategy cost")</f>
        <v>Strategy cost</v>
      </c>
      <c r="E1" s="5" t="str">
        <f>IFERROR(__xludf.DUMMYFUNCTION("""COMPUTED_VALUE"""),"Price change")</f>
        <v>Price change</v>
      </c>
      <c r="F1" s="5" t="str">
        <f>IFERROR(__xludf.DUMMYFUNCTION("""COMPUTED_VALUE"""),"TOTAL")</f>
        <v>TOTAL</v>
      </c>
      <c r="G1" s="5" t="str">
        <f>IFERROR(__xludf.DUMMYFUNCTION("""COMPUTED_VALUE"""),"Bought Price")</f>
        <v>Bought Price</v>
      </c>
      <c r="H1" s="5" t="str">
        <f>IFERROR(__xludf.DUMMYFUNCTION("""COMPUTED_VALUE"""),"Price")</f>
        <v>Price</v>
      </c>
      <c r="I1" s="5" t="str">
        <f>IFERROR(__xludf.DUMMYFUNCTION("""COMPUTED_VALUE"""),"Profit")</f>
        <v>Profit</v>
      </c>
      <c r="J1" s="5" t="str">
        <f>IFERROR(__xludf.DUMMYFUNCTION("""COMPUTED_VALUE"""),"Profit rate")</f>
        <v>Profit rate</v>
      </c>
      <c r="K1" s="5" t="str">
        <f>IFERROR(__xludf.DUMMYFUNCTION("""COMPUTED_VALUE"""),"Progress")</f>
        <v>Progress</v>
      </c>
      <c r="L1" s="5" t="str">
        <f>IFERROR(__xludf.DUMMYFUNCTION("""COMPUTED_VALUE"""),"Ratio")</f>
        <v>Ratio</v>
      </c>
    </row>
    <row r="2">
      <c r="A2" s="48">
        <f>IFERROR(__xludf.DUMMYFUNCTION("""COMPUTED_VALUE"""),45354.0)</f>
        <v>45354</v>
      </c>
      <c r="B2" s="49">
        <f>IFERROR(__xludf.DUMMYFUNCTION("""COMPUTED_VALUE"""),271952.9654792385)</f>
        <v>271952.9655</v>
      </c>
      <c r="C2" s="49">
        <f>IFERROR(__xludf.DUMMYFUNCTION("""COMPUTED_VALUE"""),1844.7316554961715)</f>
        <v>1844.731655</v>
      </c>
      <c r="D2" s="49">
        <f>IFERROR(__xludf.DUMMYFUNCTION("""COMPUTED_VALUE"""),-4930.3968816281995)</f>
        <v>-4930.396882</v>
      </c>
      <c r="E2" s="49">
        <f>IFERROR(__xludf.DUMMYFUNCTION("""COMPUTED_VALUE"""),296538.6046280826)</f>
        <v>296538.6046</v>
      </c>
      <c r="F2" s="49">
        <f>IFERROR(__xludf.DUMMYFUNCTION("""COMPUTED_VALUE"""),545405.904881189)</f>
        <v>545405.9049</v>
      </c>
      <c r="G2" s="49">
        <f>IFERROR(__xludf.DUMMYFUNCTION("""COMPUTED_VALUE"""),57.382780512209735)</f>
        <v>57.38278051</v>
      </c>
      <c r="H2" s="49">
        <f>IFERROR(__xludf.DUMMYFUNCTION("""COMPUTED_VALUE"""),120.3982443982444)</f>
        <v>120.3982444</v>
      </c>
      <c r="I2" s="49">
        <f>IFERROR(__xludf.DUMMYFUNCTION("""COMPUTED_VALUE"""),273452.9394019505)</f>
        <v>273452.9394</v>
      </c>
      <c r="J2" s="34">
        <f>IFERROR(__xludf.DUMMYFUNCTION("""COMPUTED_VALUE"""),1.0055155637669508)</f>
        <v>1.005515564</v>
      </c>
      <c r="K2" s="49">
        <f>IFERROR(__xludf.DUMMYFUNCTION("""COMPUTED_VALUE"""),30186.44995731389)</f>
        <v>30186.44996</v>
      </c>
      <c r="L2" s="34">
        <f>IFERROR(__xludf.DUMMYFUNCTION("""COMPUTED_VALUE"""),0.11099878945654829)</f>
        <v>0.1109987895</v>
      </c>
    </row>
    <row r="3">
      <c r="A3" s="48">
        <f>IFERROR(__xludf.DUMMYFUNCTION("""COMPUTED_VALUE"""),45352.0)</f>
        <v>45352</v>
      </c>
      <c r="B3" s="49">
        <f>IFERROR(__xludf.DUMMYFUNCTION("""COMPUTED_VALUE"""),271952.9654792385)</f>
        <v>271952.9655</v>
      </c>
      <c r="C3" s="49">
        <f>IFERROR(__xludf.DUMMYFUNCTION("""COMPUTED_VALUE"""),-1918.3283445038285)</f>
        <v>-1918.328345</v>
      </c>
      <c r="D3" s="49">
        <f>IFERROR(__xludf.DUMMYFUNCTION("""COMPUTED_VALUE"""),-12162.750017501588)</f>
        <v>-12162.75002</v>
      </c>
      <c r="E3" s="49">
        <f>IFERROR(__xludf.DUMMYFUNCTION("""COMPUTED_VALUE"""),278267.927806642)</f>
        <v>278267.9278</v>
      </c>
      <c r="F3" s="49">
        <f>IFERROR(__xludf.DUMMYFUNCTION("""COMPUTED_VALUE"""),515219.4549238751)</f>
        <v>515219.4549</v>
      </c>
      <c r="G3" s="49">
        <f>IFERROR(__xludf.DUMMYFUNCTION("""COMPUTED_VALUE"""),57.382780512209735)</f>
        <v>57.38278051</v>
      </c>
      <c r="H3" s="49">
        <f>IFERROR(__xludf.DUMMYFUNCTION("""COMPUTED_VALUE"""),116.51566331960576)</f>
        <v>116.5156633</v>
      </c>
      <c r="I3" s="49">
        <f>IFERROR(__xludf.DUMMYFUNCTION("""COMPUTED_VALUE"""),243266.48944463662)</f>
        <v>243266.4894</v>
      </c>
      <c r="J3" s="34">
        <f>IFERROR(__xludf.DUMMYFUNCTION("""COMPUTED_VALUE"""),0.8945167743104026)</f>
        <v>0.8945167743</v>
      </c>
      <c r="K3" s="49">
        <f>IFERROR(__xludf.DUMMYFUNCTION("""COMPUTED_VALUE"""),137417.67243023537)</f>
        <v>137417.6724</v>
      </c>
      <c r="L3" s="34">
        <f>IFERROR(__xludf.DUMMYFUNCTION("""COMPUTED_VALUE"""),0.5052994078887003)</f>
        <v>0.5052994079</v>
      </c>
    </row>
    <row r="4">
      <c r="A4" s="48">
        <f>IFERROR(__xludf.DUMMYFUNCTION("""COMPUTED_VALUE"""),45323.0)</f>
        <v>45323</v>
      </c>
      <c r="B4" s="49">
        <f>IFERROR(__xludf.DUMMYFUNCTION("""COMPUTED_VALUE"""),271952.9654792385)</f>
        <v>271952.9655</v>
      </c>
      <c r="C4" s="49">
        <f>IFERROR(__xludf.DUMMYFUNCTION("""COMPUTED_VALUE"""),-1903.5583445038285)</f>
        <v>-1903.558345</v>
      </c>
      <c r="D4" s="49">
        <f>IFERROR(__xludf.DUMMYFUNCTION("""COMPUTED_VALUE"""),-40906.63461164135)</f>
        <v>-40906.63461</v>
      </c>
      <c r="E4" s="49">
        <f>IFERROR(__xludf.DUMMYFUNCTION("""COMPUTED_VALUE"""),150464.66997054635)</f>
        <v>150464.67</v>
      </c>
      <c r="F4" s="49">
        <f>IFERROR(__xludf.DUMMYFUNCTION("""COMPUTED_VALUE"""),377801.78249363974)</f>
        <v>377801.7825</v>
      </c>
      <c r="G4" s="49">
        <f>IFERROR(__xludf.DUMMYFUNCTION("""COMPUTED_VALUE"""),57.382780512209735)</f>
        <v>57.38278051</v>
      </c>
      <c r="H4" s="49">
        <f>IFERROR(__xludf.DUMMYFUNCTION("""COMPUTED_VALUE"""),89.35703556255932)</f>
        <v>89.35703556</v>
      </c>
      <c r="I4" s="49">
        <f>IFERROR(__xludf.DUMMYFUNCTION("""COMPUTED_VALUE"""),105848.81701440125)</f>
        <v>105848.817</v>
      </c>
      <c r="J4" s="34">
        <f>IFERROR(__xludf.DUMMYFUNCTION("""COMPUTED_VALUE"""),0.38921736642170224)</f>
        <v>0.3892173664</v>
      </c>
      <c r="K4" s="49">
        <f>IFERROR(__xludf.DUMMYFUNCTION("""COMPUTED_VALUE"""),30479.65399812447)</f>
        <v>30479.654</v>
      </c>
      <c r="L4" s="34">
        <f>IFERROR(__xludf.DUMMYFUNCTION("""COMPUTED_VALUE"""),0.11207693192244794)</f>
        <v>0.1120769319</v>
      </c>
    </row>
    <row r="5">
      <c r="A5" s="48">
        <f>IFERROR(__xludf.DUMMYFUNCTION("""COMPUTED_VALUE"""),45292.0)</f>
        <v>45292</v>
      </c>
      <c r="B5" s="49">
        <f>IFERROR(__xludf.DUMMYFUNCTION("""COMPUTED_VALUE"""),271952.9654792385)</f>
        <v>271952.9655</v>
      </c>
      <c r="C5" s="49">
        <f>IFERROR(__xludf.DUMMYFUNCTION("""COMPUTED_VALUE"""),-1903.5603945038285)</f>
        <v>-1903.560395</v>
      </c>
      <c r="D5" s="49">
        <f>IFERROR(__xludf.DUMMYFUNCTION("""COMPUTED_VALUE"""),-83436.28008801304)</f>
        <v>-83436.28009</v>
      </c>
      <c r="E5" s="49">
        <f>IFERROR(__xludf.DUMMYFUNCTION("""COMPUTED_VALUE"""),162514.66349879358)</f>
        <v>162514.6635</v>
      </c>
      <c r="F5" s="49">
        <f>IFERROR(__xludf.DUMMYFUNCTION("""COMPUTED_VALUE"""),347322.12849551527)</f>
        <v>347322.1285</v>
      </c>
      <c r="G5" s="49">
        <f>IFERROR(__xludf.DUMMYFUNCTION("""COMPUTED_VALUE"""),57.382780512209735)</f>
        <v>57.38278051</v>
      </c>
      <c r="H5" s="49">
        <f>IFERROR(__xludf.DUMMYFUNCTION("""COMPUTED_VALUE"""),91.91770024552217)</f>
        <v>91.91770025</v>
      </c>
      <c r="I5" s="49">
        <f>IFERROR(__xludf.DUMMYFUNCTION("""COMPUTED_VALUE"""),75369.16301627678)</f>
        <v>75369.16302</v>
      </c>
      <c r="J5" s="34">
        <f>IFERROR(__xludf.DUMMYFUNCTION("""COMPUTED_VALUE"""),0.2771404344992543)</f>
        <v>0.2771404345</v>
      </c>
      <c r="K5" s="49">
        <f>IFERROR(__xludf.DUMMYFUNCTION("""COMPUTED_VALUE"""),154400.02286777063)</f>
        <v>154400.0229</v>
      </c>
      <c r="L5" s="34">
        <f>IFERROR(__xludf.DUMMYFUNCTION("""COMPUTED_VALUE"""),0.5653818017055965)</f>
        <v>0.5653818017</v>
      </c>
    </row>
    <row r="6">
      <c r="A6" s="48">
        <f>IFERROR(__xludf.DUMMYFUNCTION("""COMPUTED_VALUE"""),45261.0)</f>
        <v>45261</v>
      </c>
      <c r="B6" s="49">
        <f>IFERROR(__xludf.DUMMYFUNCTION("""COMPUTED_VALUE"""),261952.96547923854)</f>
        <v>261952.9655</v>
      </c>
      <c r="C6" s="49">
        <f>IFERROR(__xludf.DUMMYFUNCTION("""COMPUTED_VALUE"""),-1958.6399806274294)</f>
        <v>-1958.639981</v>
      </c>
      <c r="D6" s="49">
        <f>IFERROR(__xludf.DUMMYFUNCTION("""COMPUTED_VALUE"""),-74330.3944844539)</f>
        <v>-74330.39448</v>
      </c>
      <c r="E6" s="49">
        <f>IFERROR(__xludf.DUMMYFUNCTION("""COMPUTED_VALUE"""),-2741.825386412517)</f>
        <v>-2741.825386</v>
      </c>
      <c r="F6" s="49">
        <f>IFERROR(__xludf.DUMMYFUNCTION("""COMPUTED_VALUE"""),182922.1056277447)</f>
        <v>182922.1056</v>
      </c>
      <c r="G6" s="49">
        <f>IFERROR(__xludf.DUMMYFUNCTION("""COMPUTED_VALUE"""),54.939862036157734)</f>
        <v>54.93986204</v>
      </c>
      <c r="H6" s="49">
        <f>IFERROR(__xludf.DUMMYFUNCTION("""COMPUTED_VALUE"""),54.349423260598044)</f>
        <v>54.34942326</v>
      </c>
      <c r="I6" s="49">
        <f>IFERROR(__xludf.DUMMYFUNCTION("""COMPUTED_VALUE"""),-79030.85985149385)</f>
        <v>-79030.85985</v>
      </c>
      <c r="J6" s="34">
        <f>IFERROR(__xludf.DUMMYFUNCTION("""COMPUTED_VALUE"""),-0.2882413672063422)</f>
        <v>-0.2882413672</v>
      </c>
      <c r="K6" s="49">
        <f>IFERROR(__xludf.DUMMYFUNCTION("""COMPUTED_VALUE"""),80012.03290835267)</f>
        <v>80012.03291</v>
      </c>
      <c r="L6" s="34">
        <f>IFERROR(__xludf.DUMMYFUNCTION("""COMPUTED_VALUE"""),0.2855485466057084)</f>
        <v>0.2855485466</v>
      </c>
    </row>
    <row r="7">
      <c r="A7" s="48">
        <f>IFERROR(__xludf.DUMMYFUNCTION("""COMPUTED_VALUE"""),45231.0)</f>
        <v>45231</v>
      </c>
      <c r="B7" s="49">
        <f>IFERROR(__xludf.DUMMYFUNCTION("""COMPUTED_VALUE"""),278098.39559610985)</f>
        <v>278098.3956</v>
      </c>
      <c r="C7" s="49">
        <f>IFERROR(__xludf.DUMMYFUNCTION("""COMPUTED_VALUE"""),-1964.4508044630536)</f>
        <v>-1964.450804</v>
      </c>
      <c r="D7" s="49">
        <f>IFERROR(__xludf.DUMMYFUNCTION("""COMPUTED_VALUE"""),-61309.375364432795)</f>
        <v>-61309.37536</v>
      </c>
      <c r="E7" s="49">
        <f>IFERROR(__xludf.DUMMYFUNCTION("""COMPUTED_VALUE"""),-95769.06659095068)</f>
        <v>-95769.06659</v>
      </c>
      <c r="F7" s="49">
        <f>IFERROR(__xludf.DUMMYFUNCTION("""COMPUTED_VALUE"""),119055.50283626332)</f>
        <v>119055.5028</v>
      </c>
      <c r="G7" s="49">
        <f>IFERROR(__xludf.DUMMYFUNCTION("""COMPUTED_VALUE"""),55.54204071641654)</f>
        <v>55.54204072</v>
      </c>
      <c r="H7" s="49">
        <f>IFERROR(__xludf.DUMMYFUNCTION("""COMPUTED_VALUE"""),36.36673096561897)</f>
        <v>36.36673097</v>
      </c>
      <c r="I7" s="49">
        <f>IFERROR(__xludf.DUMMYFUNCTION("""COMPUTED_VALUE"""),-159042.89275984652)</f>
        <v>-159042.8928</v>
      </c>
      <c r="J7" s="34">
        <f>IFERROR(__xludf.DUMMYFUNCTION("""COMPUTED_VALUE"""),-0.5737899138120506)</f>
        <v>-0.5737899138</v>
      </c>
      <c r="K7" s="49">
        <f>IFERROR(__xludf.DUMMYFUNCTION("""COMPUTED_VALUE"""),80939.12634783873)</f>
        <v>80939.12635</v>
      </c>
      <c r="L7" s="34">
        <f>IFERROR(__xludf.DUMMYFUNCTION("""COMPUTED_VALUE"""),0.2830510686523682)</f>
        <v>0.2830510687</v>
      </c>
    </row>
    <row r="8">
      <c r="A8" s="48">
        <f>IFERROR(__xludf.DUMMYFUNCTION("""COMPUTED_VALUE"""),45200.0)</f>
        <v>45200</v>
      </c>
      <c r="B8" s="49">
        <f>IFERROR(__xludf.DUMMYFUNCTION("""COMPUTED_VALUE"""),280235.69559610984)</f>
        <v>280235.6956</v>
      </c>
      <c r="C8" s="49">
        <f>IFERROR(__xludf.DUMMYFUNCTION("""COMPUTED_VALUE"""),-1962.3409013071223)</f>
        <v>-1962.340901</v>
      </c>
      <c r="D8" s="49">
        <f>IFERROR(__xludf.DUMMYFUNCTION("""COMPUTED_VALUE"""),-61008.52057535169)</f>
        <v>-61008.52058</v>
      </c>
      <c r="E8" s="49">
        <f>IFERROR(__xludf.DUMMYFUNCTION("""COMPUTED_VALUE"""),-177011.15763102644)</f>
        <v>-177011.1576</v>
      </c>
      <c r="F8" s="49">
        <f>IFERROR(__xludf.DUMMYFUNCTION("""COMPUTED_VALUE"""),40253.67648842459)</f>
        <v>40253.67649</v>
      </c>
      <c r="G8" s="49">
        <f>IFERROR(__xludf.DUMMYFUNCTION("""COMPUTED_VALUE"""),55.16223434349872)</f>
        <v>55.16223434</v>
      </c>
      <c r="H8" s="49">
        <f>IFERROR(__xludf.DUMMYFUNCTION("""COMPUTED_VALUE"""),20.195341280486648)</f>
        <v>20.19534128</v>
      </c>
      <c r="I8" s="49">
        <f>IFERROR(__xludf.DUMMYFUNCTION("""COMPUTED_VALUE"""),-239982.01910768525)</f>
        <v>-239982.0191</v>
      </c>
      <c r="J8" s="34">
        <f>IFERROR(__xludf.DUMMYFUNCTION("""COMPUTED_VALUE"""),-0.8568409824644188)</f>
        <v>-0.8568409825</v>
      </c>
      <c r="K8" s="49">
        <f>IFERROR(__xludf.DUMMYFUNCTION("""COMPUTED_VALUE"""),9093.761591617164)</f>
        <v>9093.761592</v>
      </c>
      <c r="L8" s="34">
        <f>IFERROR(__xludf.DUMMYFUNCTION("""COMPUTED_VALUE"""),0.029656268806194874)</f>
        <v>0.02965626881</v>
      </c>
    </row>
    <row r="9">
      <c r="A9" s="48">
        <f>IFERROR(__xludf.DUMMYFUNCTION("""COMPUTED_VALUE"""),45170.0)</f>
        <v>45170</v>
      </c>
      <c r="B9" s="49">
        <f>IFERROR(__xludf.DUMMYFUNCTION("""COMPUTED_VALUE"""),280235.69559610984)</f>
        <v>280235.6956</v>
      </c>
      <c r="C9" s="49">
        <f>IFERROR(__xludf.DUMMYFUNCTION("""COMPUTED_VALUE"""),-1962.3409013071223)</f>
        <v>-1962.340901</v>
      </c>
      <c r="D9" s="49">
        <f>IFERROR(__xludf.DUMMYFUNCTION("""COMPUTED_VALUE"""),-66726.39431563969)</f>
        <v>-66726.39432</v>
      </c>
      <c r="E9" s="49">
        <f>IFERROR(__xludf.DUMMYFUNCTION("""COMPUTED_VALUE"""),-180387.0454823556)</f>
        <v>-180387.0455</v>
      </c>
      <c r="F9" s="49">
        <f>IFERROR(__xludf.DUMMYFUNCTION("""COMPUTED_VALUE"""),31159.914896807422)</f>
        <v>31159.9149</v>
      </c>
      <c r="G9" s="49">
        <f>IFERROR(__xludf.DUMMYFUNCTION("""COMPUTED_VALUE"""),53.85733877773733)</f>
        <v>53.85733878</v>
      </c>
      <c r="H9" s="49">
        <f>IFERROR(__xludf.DUMMYFUNCTION("""COMPUTED_VALUE"""),18.223570750062255)</f>
        <v>18.22357075</v>
      </c>
      <c r="I9" s="49">
        <f>IFERROR(__xludf.DUMMYFUNCTION("""COMPUTED_VALUE"""),-249075.7806993024)</f>
        <v>-249075.7807</v>
      </c>
      <c r="J9" s="34">
        <f>IFERROR(__xludf.DUMMYFUNCTION("""COMPUTED_VALUE"""),-0.8864972512706136)</f>
        <v>-0.8864972513</v>
      </c>
      <c r="K9" s="49">
        <f>IFERROR(__xludf.DUMMYFUNCTION("""COMPUTED_VALUE"""),-11225.715365327167)</f>
        <v>-11225.71537</v>
      </c>
      <c r="L9" s="34">
        <f>IFERROR(__xludf.DUMMYFUNCTION("""COMPUTED_VALUE"""),-0.04325431326555873)</f>
        <v>-0.04325431327</v>
      </c>
    </row>
    <row r="10">
      <c r="A10" s="48">
        <f>IFERROR(__xludf.DUMMYFUNCTION("""COMPUTED_VALUE"""),45139.0)</f>
        <v>45139</v>
      </c>
      <c r="B10" s="49">
        <f>IFERROR(__xludf.DUMMYFUNCTION("""COMPUTED_VALUE"""),280235.69559610984)</f>
        <v>280235.6956</v>
      </c>
      <c r="C10" s="49">
        <f>IFERROR(__xludf.DUMMYFUNCTION("""COMPUTED_VALUE"""),-1962.3409013071223)</f>
        <v>-1962.340901</v>
      </c>
      <c r="D10" s="49">
        <f>IFERROR(__xludf.DUMMYFUNCTION("""COMPUTED_VALUE"""),-76659.58188024937)</f>
        <v>-76659.58188</v>
      </c>
      <c r="E10" s="49">
        <f>IFERROR(__xludf.DUMMYFUNCTION("""COMPUTED_VALUE"""),-159228.14255241875)</f>
        <v>-159228.1426</v>
      </c>
      <c r="F10" s="49">
        <f>IFERROR(__xludf.DUMMYFUNCTION("""COMPUTED_VALUE"""),42385.63026213459)</f>
        <v>42385.63026</v>
      </c>
      <c r="G10" s="49">
        <f>IFERROR(__xludf.DUMMYFUNCTION("""COMPUTED_VALUE"""),53.04525438963072)</f>
        <v>53.04525439</v>
      </c>
      <c r="H10" s="49">
        <f>IFERROR(__xludf.DUMMYFUNCTION("""COMPUTED_VALUE"""),21.591229074129583)</f>
        <v>21.59122907</v>
      </c>
      <c r="I10" s="49">
        <f>IFERROR(__xludf.DUMMYFUNCTION("""COMPUTED_VALUE"""),-237850.06533397525)</f>
        <v>-237850.0653</v>
      </c>
      <c r="J10" s="34">
        <f>IFERROR(__xludf.DUMMYFUNCTION("""COMPUTED_VALUE"""),-0.8432429380050549)</f>
        <v>-0.843242938</v>
      </c>
      <c r="K10" s="49">
        <f>IFERROR(__xludf.DUMMYFUNCTION("""COMPUTED_VALUE"""),18241.80686849117)</f>
        <v>18241.80687</v>
      </c>
      <c r="L10" s="34">
        <f>IFERROR(__xludf.DUMMYFUNCTION("""COMPUTED_VALUE"""),0.06822869362218709)</f>
        <v>0.06822869362</v>
      </c>
    </row>
    <row r="11">
      <c r="A11" s="48">
        <f>IFERROR(__xludf.DUMMYFUNCTION("""COMPUTED_VALUE"""),45108.0)</f>
        <v>45108</v>
      </c>
      <c r="B11" s="49">
        <f>IFERROR(__xludf.DUMMYFUNCTION("""COMPUTED_VALUE"""),280235.69559610984)</f>
        <v>280235.6956</v>
      </c>
      <c r="C11" s="49">
        <f>IFERROR(__xludf.DUMMYFUNCTION("""COMPUTED_VALUE"""),-1962.3409013071223)</f>
        <v>-1962.340901</v>
      </c>
      <c r="D11" s="49">
        <f>IFERROR(__xludf.DUMMYFUNCTION("""COMPUTED_VALUE"""),-72656.51750155067)</f>
        <v>-72656.5175</v>
      </c>
      <c r="E11" s="49">
        <f>IFERROR(__xludf.DUMMYFUNCTION("""COMPUTED_VALUE"""),-181473.01379960863)</f>
        <v>-181473.0138</v>
      </c>
      <c r="F11" s="49">
        <f>IFERROR(__xludf.DUMMYFUNCTION("""COMPUTED_VALUE"""),24143.823393643434)</f>
        <v>24143.82339</v>
      </c>
      <c r="G11" s="49">
        <f>IFERROR(__xludf.DUMMYFUNCTION("""COMPUTED_VALUE"""),53.50305638172439)</f>
        <v>53.50305638</v>
      </c>
      <c r="H11" s="49">
        <f>IFERROR(__xludf.DUMMYFUNCTION("""COMPUTED_VALUE"""),17.654765504035765)</f>
        <v>17.6547655</v>
      </c>
      <c r="I11" s="49">
        <f>IFERROR(__xludf.DUMMYFUNCTION("""COMPUTED_VALUE"""),-256091.87220246642)</f>
        <v>-256091.8722</v>
      </c>
      <c r="J11" s="34">
        <f>IFERROR(__xludf.DUMMYFUNCTION("""COMPUTED_VALUE"""),-0.911471631627242)</f>
        <v>-0.9114716316</v>
      </c>
      <c r="K11" s="49">
        <f>IFERROR(__xludf.DUMMYFUNCTION("""COMPUTED_VALUE"""),-6167.7379842097)</f>
        <v>-6167.737984</v>
      </c>
      <c r="L11" s="34">
        <f>IFERROR(__xludf.DUMMYFUNCTION("""COMPUTED_VALUE"""),-0.02018162222734665)</f>
        <v>-0.02018162223</v>
      </c>
    </row>
    <row r="12">
      <c r="A12" s="48">
        <f>IFERROR(__xludf.DUMMYFUNCTION("""COMPUTED_VALUE"""),45078.0)</f>
        <v>45078</v>
      </c>
      <c r="B12" s="49">
        <f>IFERROR(__xludf.DUMMYFUNCTION("""COMPUTED_VALUE"""),280235.69559610984)</f>
        <v>280235.6956</v>
      </c>
      <c r="C12" s="49">
        <f>IFERROR(__xludf.DUMMYFUNCTION("""COMPUTED_VALUE"""),-1962.3409013071223)</f>
        <v>-1962.340901</v>
      </c>
      <c r="D12" s="49">
        <f>IFERROR(__xludf.DUMMYFUNCTION("""COMPUTED_VALUE"""),-69586.21636984192)</f>
        <v>-69586.21637</v>
      </c>
      <c r="E12" s="49">
        <f>IFERROR(__xludf.DUMMYFUNCTION("""COMPUTED_VALUE"""),-178375.57694710768)</f>
        <v>-178375.5769</v>
      </c>
      <c r="F12" s="49">
        <f>IFERROR(__xludf.DUMMYFUNCTION("""COMPUTED_VALUE"""),30311.561377853133)</f>
        <v>30311.56138</v>
      </c>
      <c r="G12" s="49">
        <f>IFERROR(__xludf.DUMMYFUNCTION("""COMPUTED_VALUE"""),54.70082242254833)</f>
        <v>54.70082242</v>
      </c>
      <c r="H12" s="49">
        <f>IFERROR(__xludf.DUMMYFUNCTION("""COMPUTED_VALUE"""),19.464401127773776)</f>
        <v>19.46440113</v>
      </c>
      <c r="I12" s="49">
        <f>IFERROR(__xludf.DUMMYFUNCTION("""COMPUTED_VALUE"""),-249924.13421825672)</f>
        <v>-249924.1342</v>
      </c>
      <c r="J12" s="34">
        <f>IFERROR(__xludf.DUMMYFUNCTION("""COMPUTED_VALUE"""),-0.8912900093998953)</f>
        <v>-0.8912900094</v>
      </c>
      <c r="K12" s="49">
        <f>IFERROR(__xludf.DUMMYFUNCTION("""COMPUTED_VALUE"""),-6845.232352649822)</f>
        <v>-6845.232353</v>
      </c>
      <c r="L12" s="34">
        <f>IFERROR(__xludf.DUMMYFUNCTION("""COMPUTED_VALUE"""),-0.02899482813762211)</f>
        <v>-0.02899482814</v>
      </c>
    </row>
    <row r="13">
      <c r="A13" s="48">
        <f>IFERROR(__xludf.DUMMYFUNCTION("""COMPUTED_VALUE"""),45047.0)</f>
        <v>45047</v>
      </c>
      <c r="B13" s="49">
        <f>IFERROR(__xludf.DUMMYFUNCTION("""COMPUTED_VALUE"""),280235.69559610984)</f>
        <v>280235.6956</v>
      </c>
      <c r="C13" s="49">
        <f>IFERROR(__xludf.DUMMYFUNCTION("""COMPUTED_VALUE"""),-1962.3409013071223)</f>
        <v>-1962.340901</v>
      </c>
      <c r="D13" s="49">
        <f>IFERROR(__xludf.DUMMYFUNCTION("""COMPUTED_VALUE"""),-79419.83600635448)</f>
        <v>-79419.83601</v>
      </c>
      <c r="E13" s="49">
        <f>IFERROR(__xludf.DUMMYFUNCTION("""COMPUTED_VALUE"""),-161696.7249579453)</f>
        <v>-161696.725</v>
      </c>
      <c r="F13" s="49">
        <f>IFERROR(__xludf.DUMMYFUNCTION("""COMPUTED_VALUE"""),37156.79373050295)</f>
        <v>37156.79373</v>
      </c>
      <c r="G13" s="49">
        <f>IFERROR(__xludf.DUMMYFUNCTION("""COMPUTED_VALUE"""),52.93514413532303)</f>
        <v>52.93514414</v>
      </c>
      <c r="H13" s="49">
        <f>IFERROR(__xludf.DUMMYFUNCTION("""COMPUTED_VALUE"""),20.9934735315446)</f>
        <v>20.99347353</v>
      </c>
      <c r="I13" s="49">
        <f>IFERROR(__xludf.DUMMYFUNCTION("""COMPUTED_VALUE"""),-243078.9018656069)</f>
        <v>-243078.9019</v>
      </c>
      <c r="J13" s="34">
        <f>IFERROR(__xludf.DUMMYFUNCTION("""COMPUTED_VALUE"""),-0.8622951812622732)</f>
        <v>-0.8622951813</v>
      </c>
      <c r="K13" s="49">
        <f>IFERROR(__xludf.DUMMYFUNCTION("""COMPUTED_VALUE"""),6724.6460740320035)</f>
        <v>6724.646074</v>
      </c>
      <c r="L13" s="34">
        <f>IFERROR(__xludf.DUMMYFUNCTION("""COMPUTED_VALUE"""),0.026807021959476596)</f>
        <v>0.02680702196</v>
      </c>
    </row>
    <row r="14">
      <c r="A14" s="48">
        <f>IFERROR(__xludf.DUMMYFUNCTION("""COMPUTED_VALUE"""),45017.0)</f>
        <v>45017</v>
      </c>
      <c r="B14" s="49">
        <f>IFERROR(__xludf.DUMMYFUNCTION("""COMPUTED_VALUE"""),280235.69559610984)</f>
        <v>280235.6956</v>
      </c>
      <c r="C14" s="49">
        <f>IFERROR(__xludf.DUMMYFUNCTION("""COMPUTED_VALUE"""),-1962.3409013071223)</f>
        <v>-1962.340901</v>
      </c>
      <c r="D14" s="49">
        <f>IFERROR(__xludf.DUMMYFUNCTION("""COMPUTED_VALUE"""),-75182.3819195782)</f>
        <v>-75182.38192</v>
      </c>
      <c r="E14" s="49">
        <f>IFERROR(__xludf.DUMMYFUNCTION("""COMPUTED_VALUE"""),-172658.82511875356)</f>
        <v>-172658.8251</v>
      </c>
      <c r="F14" s="49">
        <f>IFERROR(__xludf.DUMMYFUNCTION("""COMPUTED_VALUE"""),30432.14765647096)</f>
        <v>30432.14766</v>
      </c>
      <c r="G14" s="49">
        <f>IFERROR(__xludf.DUMMYFUNCTION("""COMPUTED_VALUE"""),53.83499669059364)</f>
        <v>53.83499669</v>
      </c>
      <c r="H14" s="49">
        <f>IFERROR(__xludf.DUMMYFUNCTION("""COMPUTED_VALUE"""),19.72786607175781)</f>
        <v>19.72786607</v>
      </c>
      <c r="I14" s="49">
        <f>IFERROR(__xludf.DUMMYFUNCTION("""COMPUTED_VALUE"""),-249803.5479396389)</f>
        <v>-249803.5479</v>
      </c>
      <c r="J14" s="34">
        <f>IFERROR(__xludf.DUMMYFUNCTION("""COMPUTED_VALUE"""),-0.8891022032217498)</f>
        <v>-0.8891022032</v>
      </c>
      <c r="K14" s="49">
        <f>IFERROR(__xludf.DUMMYFUNCTION("""COMPUTED_VALUE"""),-2135.587513897801)</f>
        <v>-2135.587514</v>
      </c>
      <c r="L14" s="34">
        <f>IFERROR(__xludf.DUMMYFUNCTION("""COMPUTED_VALUE"""),-0.004843629046207831)</f>
        <v>-0.004843629046</v>
      </c>
    </row>
    <row r="15">
      <c r="A15" s="48">
        <f>IFERROR(__xludf.DUMMYFUNCTION("""COMPUTED_VALUE"""),44986.0)</f>
        <v>44986</v>
      </c>
      <c r="B15" s="49">
        <f>IFERROR(__xludf.DUMMYFUNCTION("""COMPUTED_VALUE"""),280235.69559610984)</f>
        <v>280235.6956</v>
      </c>
      <c r="C15" s="49">
        <f>IFERROR(__xludf.DUMMYFUNCTION("""COMPUTED_VALUE"""),-1962.3409013071223)</f>
        <v>-1962.340901</v>
      </c>
      <c r="D15" s="49">
        <f>IFERROR(__xludf.DUMMYFUNCTION("""COMPUTED_VALUE"""),-71151.29767180876)</f>
        <v>-71151.29767</v>
      </c>
      <c r="E15" s="49">
        <f>IFERROR(__xludf.DUMMYFUNCTION("""COMPUTED_VALUE"""),-174554.32185262523)</f>
        <v>-174554.3219</v>
      </c>
      <c r="F15" s="49">
        <f>IFERROR(__xludf.DUMMYFUNCTION("""COMPUTED_VALUE"""),32567.73517036873)</f>
        <v>32567.73517</v>
      </c>
      <c r="G15" s="49">
        <f>IFERROR(__xludf.DUMMYFUNCTION("""COMPUTED_VALUE"""),55.201863134595285)</f>
        <v>55.20186313</v>
      </c>
      <c r="H15" s="49">
        <f>IFERROR(__xludf.DUMMYFUNCTION("""COMPUTED_VALUE"""),20.72029492390585)</f>
        <v>20.72029492</v>
      </c>
      <c r="I15" s="49">
        <f>IFERROR(__xludf.DUMMYFUNCTION("""COMPUTED_VALUE"""),-247667.9604257411)</f>
        <v>-247667.9604</v>
      </c>
      <c r="J15" s="34">
        <f>IFERROR(__xludf.DUMMYFUNCTION("""COMPUTED_VALUE"""),-0.884258574175542)</f>
        <v>-0.8842585742</v>
      </c>
      <c r="K15" s="49">
        <f>IFERROR(__xludf.DUMMYFUNCTION("""COMPUTED_VALUE"""),-5487.079488605843)</f>
        <v>-5487.079489</v>
      </c>
      <c r="L15" s="34">
        <f>IFERROR(__xludf.DUMMYFUNCTION("""COMPUTED_VALUE"""),-0.023197483755256654)</f>
        <v>-0.02319748376</v>
      </c>
    </row>
    <row r="16">
      <c r="A16" s="48">
        <f>IFERROR(__xludf.DUMMYFUNCTION("""COMPUTED_VALUE"""),44958.0)</f>
        <v>44958</v>
      </c>
      <c r="B16" s="49">
        <f>IFERROR(__xludf.DUMMYFUNCTION("""COMPUTED_VALUE"""),280235.69559610984)</f>
        <v>280235.6956</v>
      </c>
      <c r="C16" s="49">
        <f>IFERROR(__xludf.DUMMYFUNCTION("""COMPUTED_VALUE"""),-1962.3409013071223)</f>
        <v>-1962.340901</v>
      </c>
      <c r="D16" s="49">
        <f>IFERROR(__xludf.DUMMYFUNCTION("""COMPUTED_VALUE"""),-79764.50956087066)</f>
        <v>-79764.50956</v>
      </c>
      <c r="E16" s="49">
        <f>IFERROR(__xludf.DUMMYFUNCTION("""COMPUTED_VALUE"""),-160454.0304749575)</f>
        <v>-160454.0305</v>
      </c>
      <c r="F16" s="49">
        <f>IFERROR(__xludf.DUMMYFUNCTION("""COMPUTED_VALUE"""),38054.814658974574)</f>
        <v>38054.81466</v>
      </c>
      <c r="G16" s="49">
        <f>IFERROR(__xludf.DUMMYFUNCTION("""COMPUTED_VALUE"""),53.732955788528336)</f>
        <v>53.73295579</v>
      </c>
      <c r="H16" s="49">
        <f>IFERROR(__xludf.DUMMYFUNCTION("""COMPUTED_VALUE"""),22.036767818037948)</f>
        <v>22.03676782</v>
      </c>
      <c r="I16" s="49">
        <f>IFERROR(__xludf.DUMMYFUNCTION("""COMPUTED_VALUE"""),-242180.88093713525)</f>
        <v>-242180.8809</v>
      </c>
      <c r="J16" s="34">
        <f>IFERROR(__xludf.DUMMYFUNCTION("""COMPUTED_VALUE"""),-0.8610610904202853)</f>
        <v>-0.8610610904</v>
      </c>
      <c r="K16" s="49">
        <f>IFERROR(__xludf.DUMMYFUNCTION("""COMPUTED_VALUE"""),-8647.412007981271)</f>
        <v>-8647.412008</v>
      </c>
      <c r="L16" s="34">
        <f>IFERROR(__xludf.DUMMYFUNCTION("""COMPUTED_VALUE"""),-0.029359734979498953)</f>
        <v>-0.02935973498</v>
      </c>
    </row>
    <row r="17">
      <c r="A17" s="48">
        <f>IFERROR(__xludf.DUMMYFUNCTION("""COMPUTED_VALUE"""),44927.0)</f>
        <v>44927</v>
      </c>
      <c r="B17" s="49">
        <f>IFERROR(__xludf.DUMMYFUNCTION("""COMPUTED_VALUE"""),280235.69559610984)</f>
        <v>280235.6956</v>
      </c>
      <c r="C17" s="49">
        <f>IFERROR(__xludf.DUMMYFUNCTION("""COMPUTED_VALUE"""),-1962.3409013071223)</f>
        <v>-1962.340901</v>
      </c>
      <c r="D17" s="49">
        <f>IFERROR(__xludf.DUMMYFUNCTION("""COMPUTED_VALUE"""),-3035.344515571647)</f>
        <v>-3035.344516</v>
      </c>
      <c r="E17" s="49">
        <f>IFERROR(__xludf.DUMMYFUNCTION("""COMPUTED_VALUE"""),-228535.78351227523)</f>
        <v>-228535.7835</v>
      </c>
      <c r="F17" s="49">
        <f>IFERROR(__xludf.DUMMYFUNCTION("""COMPUTED_VALUE"""),46702.226666955845)</f>
        <v>46702.22667</v>
      </c>
      <c r="G17" s="49">
        <f>IFERROR(__xludf.DUMMYFUNCTION("""COMPUTED_VALUE"""),54.43923019062603)</f>
        <v>54.43923019</v>
      </c>
      <c r="H17" s="49">
        <f>IFERROR(__xludf.DUMMYFUNCTION("""COMPUTED_VALUE"""),9.294130807666493)</f>
        <v>9.294130808</v>
      </c>
      <c r="I17" s="49">
        <f>IFERROR(__xludf.DUMMYFUNCTION("""COMPUTED_VALUE"""),-233533.46892915398)</f>
        <v>-233533.4689</v>
      </c>
      <c r="J17" s="34">
        <f>IFERROR(__xludf.DUMMYFUNCTION("""COMPUTED_VALUE"""),-0.8317013554407864)</f>
        <v>-0.8317013554</v>
      </c>
      <c r="K17" s="49">
        <f>IFERROR(__xludf.DUMMYFUNCTION("""COMPUTED_VALUE"""),-22371.02874457842)</f>
        <v>-22371.02874</v>
      </c>
      <c r="L17" s="34">
        <f>IFERROR(__xludf.DUMMYFUNCTION("""COMPUTED_VALUE"""),-0.0732129771369513)</f>
        <v>-0.07321297714</v>
      </c>
    </row>
    <row r="18">
      <c r="A18" s="48">
        <f>IFERROR(__xludf.DUMMYFUNCTION("""COMPUTED_VALUE"""),44896.0)</f>
        <v>44896</v>
      </c>
      <c r="B18" s="49">
        <f>IFERROR(__xludf.DUMMYFUNCTION("""COMPUTED_VALUE"""),280235.69559610984)</f>
        <v>280235.6956</v>
      </c>
      <c r="C18" s="49">
        <f>IFERROR(__xludf.DUMMYFUNCTION("""COMPUTED_VALUE"""),-1962.3409013071223)</f>
        <v>-1962.340901</v>
      </c>
      <c r="D18" s="49">
        <f>IFERROR(__xludf.DUMMYFUNCTION("""COMPUTED_VALUE"""),5768.615275028991)</f>
        <v>5768.615275</v>
      </c>
      <c r="E18" s="49">
        <f>IFERROR(__xludf.DUMMYFUNCTION("""COMPUTED_VALUE"""),-214968.71455829742)</f>
        <v>-214968.7146</v>
      </c>
      <c r="F18" s="49">
        <f>IFERROR(__xludf.DUMMYFUNCTION("""COMPUTED_VALUE"""),69073.2554115343)</f>
        <v>69073.25541</v>
      </c>
      <c r="G18" s="49">
        <f>IFERROR(__xludf.DUMMYFUNCTION("""COMPUTED_VALUE"""),56.10827241291721)</f>
        <v>56.10827241</v>
      </c>
      <c r="H18" s="49">
        <f>IFERROR(__xludf.DUMMYFUNCTION("""COMPUTED_VALUE"""),13.643220184279551)</f>
        <v>13.64322018</v>
      </c>
      <c r="I18" s="49">
        <f>IFERROR(__xludf.DUMMYFUNCTION("""COMPUTED_VALUE"""),-211162.44018457556)</f>
        <v>-211162.4402</v>
      </c>
      <c r="J18" s="34">
        <f>IFERROR(__xludf.DUMMYFUNCTION("""COMPUTED_VALUE"""),-0.7584883783038351)</f>
        <v>-0.7584883783</v>
      </c>
      <c r="K18" s="49">
        <f>IFERROR(__xludf.DUMMYFUNCTION("""COMPUTED_VALUE"""),-81175.66344571201)</f>
        <v>-81175.66345</v>
      </c>
      <c r="L18" s="34">
        <f>IFERROR(__xludf.DUMMYFUNCTION("""COMPUTED_VALUE"""),-0.2759342365364451)</f>
        <v>-0.2759342365</v>
      </c>
    </row>
    <row r="19">
      <c r="A19" s="48">
        <f>IFERROR(__xludf.DUMMYFUNCTION("""COMPUTED_VALUE"""),44866.0)</f>
        <v>44866</v>
      </c>
      <c r="B19" s="49">
        <f>IFERROR(__xludf.DUMMYFUNCTION("""COMPUTED_VALUE"""),291999.99999999994)</f>
        <v>292000</v>
      </c>
      <c r="C19" s="49">
        <f>IFERROR(__xludf.DUMMYFUNCTION("""COMPUTED_VALUE"""),-1939.0069367545923)</f>
        <v>-1939.006937</v>
      </c>
      <c r="D19" s="49">
        <f>IFERROR(__xludf.DUMMYFUNCTION("""COMPUTED_VALUE"""),4310.3327443073795)</f>
        <v>4310.332744</v>
      </c>
      <c r="E19" s="49">
        <f>IFERROR(__xludf.DUMMYFUNCTION("""COMPUTED_VALUE"""),-132358.10254641637)</f>
        <v>-132358.1025</v>
      </c>
      <c r="F19" s="49">
        <f>IFERROR(__xludf.DUMMYFUNCTION("""COMPUTED_VALUE"""),162013.2232611364)</f>
        <v>162013.2233</v>
      </c>
      <c r="G19" s="49">
        <f>IFERROR(__xludf.DUMMYFUNCTION("""COMPUTED_VALUE"""),57.48452891396124)</f>
        <v>57.48452891</v>
      </c>
      <c r="H19" s="49">
        <f>IFERROR(__xludf.DUMMYFUNCTION("""COMPUTED_VALUE"""),33.021541950113374)</f>
        <v>33.02154195</v>
      </c>
      <c r="I19" s="49">
        <f>IFERROR(__xludf.DUMMYFUNCTION("""COMPUTED_VALUE"""),-129986.77673886355)</f>
        <v>-129986.7767</v>
      </c>
      <c r="J19" s="34">
        <f>IFERROR(__xludf.DUMMYFUNCTION("""COMPUTED_VALUE"""),-0.48255414176739)</f>
        <v>-0.4825541418</v>
      </c>
      <c r="K19" s="49">
        <f>IFERROR(__xludf.DUMMYFUNCTION("""COMPUTED_VALUE"""),-1414.1141732034448)</f>
        <v>-1414.114173</v>
      </c>
      <c r="L19" s="34">
        <f>IFERROR(__xludf.DUMMYFUNCTION("""COMPUTED_VALUE"""),-4.6901950791033986E-4)</f>
        <v>-0.0004690195079</v>
      </c>
    </row>
    <row r="20">
      <c r="A20" s="48">
        <f>IFERROR(__xludf.DUMMYFUNCTION("""COMPUTED_VALUE"""),44835.0)</f>
        <v>44835</v>
      </c>
      <c r="B20" s="49">
        <f>IFERROR(__xludf.DUMMYFUNCTION("""COMPUTED_VALUE"""),291999.99999999994)</f>
        <v>292000</v>
      </c>
      <c r="C20" s="49">
        <f>IFERROR(__xludf.DUMMYFUNCTION("""COMPUTED_VALUE"""),-1939.0069367545923)</f>
        <v>-1939.006937</v>
      </c>
      <c r="D20" s="49">
        <f>IFERROR(__xludf.DUMMYFUNCTION("""COMPUTED_VALUE"""),6206.815994196426)</f>
        <v>6206.815994</v>
      </c>
      <c r="E20" s="49">
        <f>IFERROR(__xludf.DUMMYFUNCTION("""COMPUTED_VALUE"""),-132840.47162310197)</f>
        <v>-132840.4716</v>
      </c>
      <c r="F20" s="49">
        <f>IFERROR(__xludf.DUMMYFUNCTION("""COMPUTED_VALUE"""),163427.33743433983)</f>
        <v>163427.3374</v>
      </c>
      <c r="G20" s="49">
        <f>IFERROR(__xludf.DUMMYFUNCTION("""COMPUTED_VALUE"""),57.933764249798486)</f>
        <v>57.93376425</v>
      </c>
      <c r="H20" s="49">
        <f>IFERROR(__xludf.DUMMYFUNCTION("""COMPUTED_VALUE"""),33.38162378338673)</f>
        <v>33.38162378</v>
      </c>
      <c r="I20" s="49">
        <f>IFERROR(__xludf.DUMMYFUNCTION("""COMPUTED_VALUE"""),-128572.66256566011)</f>
        <v>-128572.6626</v>
      </c>
      <c r="J20" s="34">
        <f>IFERROR(__xludf.DUMMYFUNCTION("""COMPUTED_VALUE"""),-0.48208512225947964)</f>
        <v>-0.4820851223</v>
      </c>
      <c r="K20" s="49">
        <f>IFERROR(__xludf.DUMMYFUNCTION("""COMPUTED_VALUE"""),11050.934597037092)</f>
        <v>11050.9346</v>
      </c>
      <c r="L20" s="34">
        <f>IFERROR(__xludf.DUMMYFUNCTION("""COMPUTED_VALUE"""),0.02236219768558667)</f>
        <v>0.02236219769</v>
      </c>
    </row>
    <row r="21">
      <c r="A21" s="48">
        <f>IFERROR(__xludf.DUMMYFUNCTION("""COMPUTED_VALUE"""),44805.0)</f>
        <v>44805</v>
      </c>
      <c r="B21" s="49">
        <f>IFERROR(__xludf.DUMMYFUNCTION("""COMPUTED_VALUE"""),291999.99999999994)</f>
        <v>292000</v>
      </c>
      <c r="C21" s="49">
        <f>IFERROR(__xludf.DUMMYFUNCTION("""COMPUTED_VALUE"""),-1951.7104465482175)</f>
        <v>-1951.710447</v>
      </c>
      <c r="D21" s="49">
        <f>IFERROR(__xludf.DUMMYFUNCTION("""COMPUTED_VALUE"""),-4184.634839658072)</f>
        <v>-4184.63484</v>
      </c>
      <c r="E21" s="49">
        <f>IFERROR(__xludf.DUMMYFUNCTION("""COMPUTED_VALUE"""),-133487.2518764909)</f>
        <v>-133487.2519</v>
      </c>
      <c r="F21" s="49">
        <f>IFERROR(__xludf.DUMMYFUNCTION("""COMPUTED_VALUE"""),152389.9353858489)</f>
        <v>152389.9354</v>
      </c>
      <c r="G21" s="49">
        <f>IFERROR(__xludf.DUMMYFUNCTION("""COMPUTED_VALUE"""),56.45637636814121)</f>
        <v>56.45637637</v>
      </c>
      <c r="H21" s="49">
        <f>IFERROR(__xludf.DUMMYFUNCTION("""COMPUTED_VALUE"""),31.784695226827594)</f>
        <v>31.78469523</v>
      </c>
      <c r="I21" s="49">
        <f>IFERROR(__xludf.DUMMYFUNCTION("""COMPUTED_VALUE"""),-139623.5971626972)</f>
        <v>-139623.5972</v>
      </c>
      <c r="J21" s="34">
        <f>IFERROR(__xludf.DUMMYFUNCTION("""COMPUTED_VALUE"""),-0.5044473199450663)</f>
        <v>-0.5044473199</v>
      </c>
      <c r="K21" s="49">
        <f>IFERROR(__xludf.DUMMYFUNCTION("""COMPUTED_VALUE"""),-40421.353766746135)</f>
        <v>-40421.35377</v>
      </c>
      <c r="L21" s="34">
        <f>IFERROR(__xludf.DUMMYFUNCTION("""COMPUTED_VALUE"""),0.022661156325193055)</f>
        <v>0.02266115633</v>
      </c>
    </row>
    <row r="22">
      <c r="A22" s="48">
        <f>IFERROR(__xludf.DUMMYFUNCTION("""COMPUTED_VALUE"""),44774.0)</f>
        <v>44774</v>
      </c>
      <c r="B22" s="49">
        <f>IFERROR(__xludf.DUMMYFUNCTION("""COMPUTED_VALUE"""),197000.0)</f>
        <v>197000</v>
      </c>
      <c r="C22" s="49">
        <f>IFERROR(__xludf.DUMMYFUNCTION("""COMPUTED_VALUE"""),-1532.0308276763358)</f>
        <v>-1532.030828</v>
      </c>
      <c r="D22" s="49">
        <f>IFERROR(__xludf.DUMMYFUNCTION("""COMPUTED_VALUE"""),-20444.985510717568)</f>
        <v>-20444.98551</v>
      </c>
      <c r="E22" s="49">
        <f>IFERROR(__xludf.DUMMYFUNCTION("""COMPUTED_VALUE"""),-77225.22705755717)</f>
        <v>-77225.22706</v>
      </c>
      <c r="F22" s="49">
        <f>IFERROR(__xludf.DUMMYFUNCTION("""COMPUTED_VALUE"""),97797.75660404893)</f>
        <v>97797.7566</v>
      </c>
      <c r="G22" s="49">
        <f>IFERROR(__xludf.DUMMYFUNCTION("""COMPUTED_VALUE"""),66.57615531626674)</f>
        <v>66.57615532</v>
      </c>
      <c r="H22" s="49">
        <f>IFERROR(__xludf.DUMMYFUNCTION("""COMPUTED_VALUE"""),41.52076527318609)</f>
        <v>41.52076527</v>
      </c>
      <c r="I22" s="49">
        <f>IFERROR(__xludf.DUMMYFUNCTION("""COMPUTED_VALUE"""),-99202.24339595107)</f>
        <v>-99202.2434</v>
      </c>
      <c r="J22" s="34">
        <f>IFERROR(__xludf.DUMMYFUNCTION("""COMPUTED_VALUE"""),-0.5271084762702594)</f>
        <v>-0.5271084763</v>
      </c>
      <c r="K22" s="49">
        <f>IFERROR(__xludf.DUMMYFUNCTION("""COMPUTED_VALUE"""),19431.409007061957)</f>
        <v>19431.40901</v>
      </c>
      <c r="L22" s="34">
        <f>IFERROR(__xludf.DUMMYFUNCTION("""COMPUTED_VALUE"""),0.18032721372491833)</f>
        <v>0.1803272137</v>
      </c>
    </row>
    <row r="23">
      <c r="A23" s="48">
        <f>IFERROR(__xludf.DUMMYFUNCTION("""COMPUTED_VALUE"""),44743.0)</f>
        <v>44743</v>
      </c>
      <c r="B23" s="49">
        <f>IFERROR(__xludf.DUMMYFUNCTION("""COMPUTED_VALUE"""),170700.0)</f>
        <v>170700</v>
      </c>
      <c r="C23" s="49">
        <f>IFERROR(__xludf.DUMMYFUNCTION("""COMPUTED_VALUE"""),-1526.6259547250622)</f>
        <v>-1526.625955</v>
      </c>
      <c r="D23" s="49">
        <f>IFERROR(__xludf.DUMMYFUNCTION("""COMPUTED_VALUE"""),-24229.34283282014)</f>
        <v>-24229.34283</v>
      </c>
      <c r="E23" s="49">
        <f>IFERROR(__xludf.DUMMYFUNCTION("""COMPUTED_VALUE"""),-91534.60523428526)</f>
        <v>-91534.60523</v>
      </c>
      <c r="F23" s="49">
        <f>IFERROR(__xludf.DUMMYFUNCTION("""COMPUTED_VALUE"""),52066.34759698697)</f>
        <v>52066.3476</v>
      </c>
      <c r="G23" s="49">
        <f>IFERROR(__xludf.DUMMYFUNCTION("""COMPUTED_VALUE"""),71.44891332932649)</f>
        <v>71.44891333</v>
      </c>
      <c r="H23" s="49">
        <f>IFERROR(__xludf.DUMMYFUNCTION("""COMPUTED_VALUE"""),31.552348651531023)</f>
        <v>31.55234865</v>
      </c>
      <c r="I23" s="49">
        <f>IFERROR(__xludf.DUMMYFUNCTION("""COMPUTED_VALUE"""),-118633.65240301302)</f>
        <v>-118633.6524</v>
      </c>
      <c r="J23" s="34">
        <f>IFERROR(__xludf.DUMMYFUNCTION("""COMPUTED_VALUE"""),-0.7074356899951777)</f>
        <v>-0.70743569</v>
      </c>
      <c r="K23" s="49">
        <f>IFERROR(__xludf.DUMMYFUNCTION("""COMPUTED_VALUE"""),-4291.13240301302)</f>
        <v>-4291.132403</v>
      </c>
      <c r="L23" s="34">
        <f>IFERROR(__xludf.DUMMYFUNCTION("""COMPUTED_VALUE"""),0.16986431000482227)</f>
        <v>0.16986431</v>
      </c>
    </row>
    <row r="24">
      <c r="A24" s="48">
        <f>IFERROR(__xludf.DUMMYFUNCTION("""COMPUTED_VALUE"""),44713.0)</f>
        <v>44713</v>
      </c>
      <c r="B24" s="49">
        <f>IFERROR(__xludf.DUMMYFUNCTION("""COMPUTED_VALUE"""),130700.0)</f>
        <v>130700</v>
      </c>
      <c r="C24" s="49">
        <f>IFERROR(__xludf.DUMMYFUNCTION("""COMPUTED_VALUE"""),-1368.8953791232839)</f>
        <v>-1368.895379</v>
      </c>
      <c r="D24" s="49">
        <f>IFERROR(__xludf.DUMMYFUNCTION("""COMPUTED_VALUE"""),-39087.8)</f>
        <v>-39087.8</v>
      </c>
      <c r="E24" s="49">
        <f>IFERROR(__xludf.DUMMYFUNCTION("""COMPUTED_VALUE"""),-72447.83)</f>
        <v>-72447.83</v>
      </c>
      <c r="F24" s="49">
        <f>IFERROR(__xludf.DUMMYFUNCTION("""COMPUTED_VALUE"""),16357.48)</f>
        <v>16357.48</v>
      </c>
      <c r="G24" s="49">
        <f>IFERROR(__xludf.DUMMYFUNCTION("""COMPUTED_VALUE"""),98.18)</f>
        <v>98.18</v>
      </c>
      <c r="H24" s="49">
        <f>IFERROR(__xludf.DUMMYFUNCTION("""COMPUTED_VALUE"""),42.56)</f>
        <v>42.56</v>
      </c>
      <c r="I24" s="49">
        <f>IFERROR(__xludf.DUMMYFUNCTION("""COMPUTED_VALUE"""),-114342.52)</f>
        <v>-114342.52</v>
      </c>
      <c r="J24" s="34">
        <f>IFERROR(__xludf.DUMMYFUNCTION("""COMPUTED_VALUE"""),-0.8773)</f>
        <v>-0.8773</v>
      </c>
      <c r="K24" s="49">
        <f>IFERROR(__xludf.DUMMYFUNCTION("""COMPUTED_VALUE"""),-95721.89)</f>
        <v>-95721.89</v>
      </c>
      <c r="L24" s="34">
        <f>IFERROR(__xludf.DUMMYFUNCTION("""COMPUTED_VALUE"""),-0.7256)</f>
        <v>-0.7256</v>
      </c>
    </row>
    <row r="25">
      <c r="A25" s="48">
        <f>IFERROR(__xludf.DUMMYFUNCTION("""COMPUTED_VALUE"""),44682.0)</f>
        <v>44682</v>
      </c>
      <c r="B25" s="49">
        <f>IFERROR(__xludf.DUMMYFUNCTION("""COMPUTED_VALUE"""),128000.0)</f>
        <v>128000</v>
      </c>
      <c r="C25" s="49">
        <f>IFERROR(__xludf.DUMMYFUNCTION("""COMPUTED_VALUE"""),-1356.938015007654)</f>
        <v>-1356.938015</v>
      </c>
      <c r="D25" s="49">
        <f>IFERROR(__xludf.DUMMYFUNCTION("""COMPUTED_VALUE"""),739.0)</f>
        <v>739</v>
      </c>
      <c r="E25" s="49">
        <f>IFERROR(__xludf.DUMMYFUNCTION("""COMPUTED_VALUE"""),-16523.37)</f>
        <v>-16523.37</v>
      </c>
      <c r="F25" s="49">
        <f>IFERROR(__xludf.DUMMYFUNCTION("""COMPUTED_VALUE"""),109379.37)</f>
        <v>109379.37</v>
      </c>
      <c r="G25" s="49">
        <f>IFERROR(__xludf.DUMMYFUNCTION("""COMPUTED_VALUE"""),99.3)</f>
        <v>99.3</v>
      </c>
      <c r="H25" s="49">
        <f>IFERROR(__xludf.DUMMYFUNCTION("""COMPUTED_VALUE"""),86.2)</f>
        <v>86.2</v>
      </c>
      <c r="I25" s="49">
        <f>IFERROR(__xludf.DUMMYFUNCTION("""COMPUTED_VALUE"""),-18620.63)</f>
        <v>-18620.63</v>
      </c>
      <c r="J25" s="34">
        <f>IFERROR(__xludf.DUMMYFUNCTION("""COMPUTED_VALUE"""),-0.1517)</f>
        <v>-0.1517</v>
      </c>
      <c r="K25" s="49">
        <f>IFERROR(__xludf.DUMMYFUNCTION("""COMPUTED_VALUE"""),-20833.21)</f>
        <v>-20833.21</v>
      </c>
      <c r="L25" s="34">
        <f>IFERROR(__xludf.DUMMYFUNCTION("""COMPUTED_VALUE"""),-0.3106)</f>
        <v>-0.3106</v>
      </c>
    </row>
    <row r="26">
      <c r="A26" s="48">
        <f>IFERROR(__xludf.DUMMYFUNCTION("""COMPUTED_VALUE"""),44652.0)</f>
        <v>44652</v>
      </c>
      <c r="B26" s="49">
        <f>IFERROR(__xludf.DUMMYFUNCTION("""COMPUTED_VALUE"""),14000.0)</f>
        <v>14000</v>
      </c>
      <c r="C26" s="49">
        <f>IFERROR(__xludf.DUMMYFUNCTION("""COMPUTED_VALUE"""),-307.0412585692232)</f>
        <v>-307.0412586</v>
      </c>
      <c r="D26" s="49">
        <f>IFERROR(__xludf.DUMMYFUNCTION("""COMPUTED_VALUE"""),135.78)</f>
        <v>135.78</v>
      </c>
      <c r="E26" s="49">
        <f>IFERROR(__xludf.DUMMYFUNCTION("""COMPUTED_VALUE"""),2378.11)</f>
        <v>2378.11</v>
      </c>
      <c r="F26" s="49">
        <f>IFERROR(__xludf.DUMMYFUNCTION("""COMPUTED_VALUE"""),16212.58)</f>
        <v>16212.58</v>
      </c>
      <c r="G26" s="49">
        <f>IFERROR(__xludf.DUMMYFUNCTION("""COMPUTED_VALUE"""),92.76)</f>
        <v>92.76</v>
      </c>
      <c r="H26" s="49">
        <f>IFERROR(__xludf.DUMMYFUNCTION("""COMPUTED_VALUE"""),79.04)</f>
        <v>79.04</v>
      </c>
      <c r="I26" s="49">
        <f>IFERROR(__xludf.DUMMYFUNCTION("""COMPUTED_VALUE"""),2212.58)</f>
        <v>2212.58</v>
      </c>
      <c r="J26" s="34">
        <f>IFERROR(__xludf.DUMMYFUNCTION("""COMPUTED_VALUE"""),0.1589)</f>
        <v>0.1589</v>
      </c>
      <c r="K26" s="49">
        <f>IFERROR(__xludf.DUMMYFUNCTION("""COMPUTED_VALUE"""),2259.7799999999997)</f>
        <v>2259.78</v>
      </c>
      <c r="L26" s="34">
        <f>IFERROR(__xludf.DUMMYFUNCTION("""COMPUTED_VALUE"""),0.3805)</f>
        <v>0.3805</v>
      </c>
    </row>
    <row r="27">
      <c r="A27" s="48">
        <f>IFERROR(__xludf.DUMMYFUNCTION("""COMPUTED_VALUE"""),44621.0)</f>
        <v>44621</v>
      </c>
      <c r="B27" s="49">
        <f>IFERROR(__xludf.DUMMYFUNCTION("""COMPUTED_VALUE"""),213.02)</f>
        <v>213.02</v>
      </c>
      <c r="C27" s="49">
        <f>IFERROR(__xludf.DUMMYFUNCTION("""COMPUTED_VALUE"""),-7.334737408137676)</f>
        <v>-7.334737408</v>
      </c>
      <c r="D27" s="49">
        <f>IFERROR(__xludf.DUMMYFUNCTION("""COMPUTED_VALUE"""),-14.9)</f>
        <v>-14.9</v>
      </c>
      <c r="E27" s="49">
        <f>IFERROR(__xludf.DUMMYFUNCTION("""COMPUTED_VALUE"""),-12.86)</f>
        <v>-12.86</v>
      </c>
      <c r="F27" s="49">
        <f>IFERROR(__xludf.DUMMYFUNCTION("""COMPUTED_VALUE"""),165.82)</f>
        <v>165.82</v>
      </c>
      <c r="G27" s="49">
        <f>IFERROR(__xludf.DUMMYFUNCTION("""COMPUTED_VALUE"""),76.38)</f>
        <v>76.38</v>
      </c>
      <c r="H27" s="49">
        <f>IFERROR(__xludf.DUMMYFUNCTION("""COMPUTED_VALUE"""),81.81)</f>
        <v>81.81</v>
      </c>
      <c r="I27" s="49">
        <f>IFERROR(__xludf.DUMMYFUNCTION("""COMPUTED_VALUE"""),-47.2)</f>
        <v>-47.2</v>
      </c>
      <c r="J27" s="34">
        <f>IFERROR(__xludf.DUMMYFUNCTION("""COMPUTED_VALUE"""),-0.2216)</f>
        <v>-0.2216</v>
      </c>
      <c r="K27" s="49">
        <f>IFERROR(__xludf.DUMMYFUNCTION("""COMPUTED_VALUE"""),-47.2)</f>
        <v>-47.2</v>
      </c>
      <c r="L27" s="34">
        <f>IFERROR(__xludf.DUMMYFUNCTION("""COMPUTED_VALUE"""),-0.2216)</f>
        <v>-0.2216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88"/>
    <col customWidth="1" min="4" max="4" width="17.25"/>
    <col customWidth="1" min="10" max="10" width="23.25"/>
  </cols>
  <sheetData>
    <row r="1">
      <c r="A1" s="10" t="str">
        <f>OFFSET(Portfolio!$A:$A,0,0)</f>
        <v>Id</v>
      </c>
      <c r="B1" s="10" t="str">
        <f>OFFSET(Portfolio!$B:$B,0,0)</f>
        <v>Name</v>
      </c>
      <c r="C1" s="11" t="s">
        <v>61</v>
      </c>
      <c r="D1" s="11" t="s">
        <v>62</v>
      </c>
      <c r="E1" s="11" t="s">
        <v>63</v>
      </c>
      <c r="F1" s="11" t="s">
        <v>64</v>
      </c>
      <c r="G1" s="11" t="s">
        <v>65</v>
      </c>
      <c r="H1" s="11" t="s">
        <v>66</v>
      </c>
      <c r="I1" s="11" t="s">
        <v>17</v>
      </c>
      <c r="J1" s="50" t="str">
        <f>IFERROR(__xludf.DUMMYFUNCTION("IMPORTRANGE(""https://docs.google.com/spreadsheets/d/1_3xkbHqUd8_WE7W39l9YM097EKIFRe_ZVYNR6he5J80/edit#gid=838843478"",""Associate!C:C"")"),"Loading...")</f>
        <v>Loading...</v>
      </c>
    </row>
    <row r="2">
      <c r="A2" s="15" t="s">
        <v>25</v>
      </c>
      <c r="B2" s="15" t="s">
        <v>26</v>
      </c>
      <c r="C2" s="51">
        <f>SUMIFS(TransactionsView!$D:$D,TransactionsView!$B:$B,$A2,TransactionsView!$E:$E,"&gt;0")</f>
        <v>0</v>
      </c>
      <c r="D2" s="51" t="str">
        <f>IF(ISREF(INDIRECT($B2&amp;"!$A$1")),ROUNDUP((DateTime!$B$2-MIN(INDIRECT($B2&amp;"!$A:$A")))/365.25*12) &amp; " months (" &amp; ROUNDUP((DateTime!$B$2-MIN(INDIRECT($B2&amp;"!$A:$A")))/365.25,1) &amp;  " years)",)</f>
        <v/>
      </c>
      <c r="E2" s="51">
        <f>SUMIFS(TransactionsView!$D:$D,TransactionsView!$A:$A,"&lt;&gt;",TransactionsView!$B:$B,$A2,TransactionsView!$D:$D,"&gt;0")</f>
        <v>137000</v>
      </c>
      <c r="F2" s="51">
        <f>SUMIFS(TransactionsView!$D:$D,TransactionsView!$B:$B,$A2,TransactionsView!$D:$D,"&lt;0",TransactionsView!$E:$E,"&lt;=0")+SUMIFS(TransactionsView!$E:$E,TransactionsView!$C:$C,$B2,TransactionsView!$D:$D,"&lt;0",TransactionsView!$E:$E,"&lt;=0")</f>
        <v>0</v>
      </c>
      <c r="G2" s="51" t="str">
        <f t="shared" ref="G2:G13" si="1">IF(ISREF(INDIRECT($B2&amp;"!$A$1")),INDIRECT($B2&amp;"!H2"),"#ERROR!")</f>
        <v>#ERROR!</v>
      </c>
      <c r="H2" s="25" t="str">
        <f t="shared" ref="H2:H13" si="2">IF(ISREF(INDIRECT($B2&amp;"!$A$1")),INDIRECT($B2&amp;"!F2"),"#ERROR!")</f>
        <v>#ERROR!</v>
      </c>
      <c r="I2" s="52">
        <f t="shared" ref="I2:I13" si="3">SUM($E2:$G2)</f>
        <v>137000</v>
      </c>
      <c r="J2" s="53"/>
    </row>
    <row r="3">
      <c r="A3" s="15" t="s">
        <v>29</v>
      </c>
      <c r="B3" s="15" t="s">
        <v>30</v>
      </c>
      <c r="C3" s="51">
        <f>SUMIFS(TransactionsView!$D:$D,TransactionsView!$B:$B,$A3,TransactionsView!$E:$E,"&gt;0")</f>
        <v>5374.31</v>
      </c>
      <c r="D3" s="51" t="str">
        <f>IF(ISREF(INDIRECT($B3&amp;"!$A$1")),ROUNDUP((DateTime!$B$2-MIN(INDIRECT($B3&amp;"!$A:$A")))/365.25*12) &amp; " months (" &amp; ROUNDUP((DateTime!$B$2-MIN(INDIRECT($B3&amp;"!$A:$A")))/365.25,1) &amp;  " years)",)</f>
        <v/>
      </c>
      <c r="E3" s="51">
        <f>SUMIFS(TransactionsView!$D:$D,TransactionsView!$A:$A,"&lt;&gt;",TransactionsView!$B:$B,$A3,TransactionsView!$D:$D,"&gt;0")</f>
        <v>52874.31</v>
      </c>
      <c r="F3" s="51">
        <f>SUMIFS(TransactionsView!$D:$D,TransactionsView!$B:$B,$A3,TransactionsView!$D:$D,"&lt;0",TransactionsView!$E:$E,"&lt;=0")+SUMIFS(TransactionsView!$E:$E,TransactionsView!$C:$C,$B3,TransactionsView!$D:$D,"&lt;0",TransactionsView!$E:$E,"&lt;=0")</f>
        <v>-25452.8</v>
      </c>
      <c r="G3" s="51" t="str">
        <f t="shared" si="1"/>
        <v>#ERROR!</v>
      </c>
      <c r="H3" s="25" t="str">
        <f t="shared" si="2"/>
        <v>#ERROR!</v>
      </c>
      <c r="I3" s="52">
        <f t="shared" si="3"/>
        <v>27421.51</v>
      </c>
      <c r="J3" s="53"/>
    </row>
    <row r="4">
      <c r="A4" s="15" t="s">
        <v>32</v>
      </c>
      <c r="B4" s="15" t="s">
        <v>33</v>
      </c>
      <c r="C4" s="51">
        <f>SUMIFS(TransactionsView!$D:$D,TransactionsView!$B:$B,$A4,TransactionsView!$E:$E,"&gt;0")</f>
        <v>25.65</v>
      </c>
      <c r="D4" s="51" t="str">
        <f>IF(ISREF(INDIRECT($B4&amp;"!$A$1")),ROUNDUP((DateTime!$B$2-MIN(INDIRECT($B4&amp;"!$A:$A")))/365.25*12) &amp; " months (" &amp; ROUNDUP((DateTime!$B$2-MIN(INDIRECT($B4&amp;"!$A:$A")))/365.25,1) &amp;  " years)",)</f>
        <v/>
      </c>
      <c r="E4" s="51">
        <f>SUMIFS(TransactionsView!$D:$D,TransactionsView!$A:$A,"&lt;&gt;",TransactionsView!$B:$B,$A4,TransactionsView!$D:$D,"&gt;0")</f>
        <v>625.65</v>
      </c>
      <c r="F4" s="51">
        <f>SUMIFS(TransactionsView!$D:$D,TransactionsView!$B:$B,$A4,TransactionsView!$D:$D,"&lt;0",TransactionsView!$E:$E,"&lt;=0")+SUMIFS(TransactionsView!$E:$E,TransactionsView!$C:$C,$B4,TransactionsView!$D:$D,"&lt;0",TransactionsView!$E:$E,"&lt;=0")</f>
        <v>0</v>
      </c>
      <c r="G4" s="51" t="str">
        <f t="shared" si="1"/>
        <v>#ERROR!</v>
      </c>
      <c r="H4" s="25" t="str">
        <f t="shared" si="2"/>
        <v>#ERROR!</v>
      </c>
      <c r="I4" s="52">
        <f t="shared" si="3"/>
        <v>625.65</v>
      </c>
      <c r="J4" s="53"/>
    </row>
    <row r="5">
      <c r="A5" s="15" t="s">
        <v>35</v>
      </c>
      <c r="B5" s="15" t="s">
        <v>36</v>
      </c>
      <c r="C5" s="51">
        <f>SUMIFS(TransactionsView!$D:$D,TransactionsView!$B:$B,$A5,TransactionsView!$E:$E,"&gt;0")</f>
        <v>9683.01</v>
      </c>
      <c r="D5" s="51" t="str">
        <f>IF(ISREF(INDIRECT($B5&amp;"!$A$1")),ROUNDUP((DateTime!$B$2-MIN(INDIRECT($B5&amp;"!$A:$A")))/365.25*12) &amp; " months (" &amp; ROUNDUP((DateTime!$B$2-MIN(INDIRECT($B5&amp;"!$A:$A")))/365.25,1) &amp;  " years)",)</f>
        <v/>
      </c>
      <c r="E5" s="51">
        <f>SUMIFS(TransactionsView!$D:$D,TransactionsView!$A:$A,"&lt;&gt;",TransactionsView!$B:$B,$A5,TransactionsView!$D:$D,"&gt;0")</f>
        <v>89683.01</v>
      </c>
      <c r="F5" s="51">
        <f>SUMIFS(TransactionsView!$D:$D,TransactionsView!$B:$B,$A5,TransactionsView!$D:$D,"&lt;0",TransactionsView!$E:$E,"&lt;=0")+SUMIFS(TransactionsView!$E:$E,TransactionsView!$C:$C,$B5,TransactionsView!$D:$D,"&lt;0",TransactionsView!$E:$E,"&lt;=0")</f>
        <v>-3022.01</v>
      </c>
      <c r="G5" s="51" t="str">
        <f t="shared" si="1"/>
        <v>#ERROR!</v>
      </c>
      <c r="H5" s="25" t="str">
        <f t="shared" si="2"/>
        <v>#ERROR!</v>
      </c>
      <c r="I5" s="52">
        <f t="shared" si="3"/>
        <v>86661</v>
      </c>
      <c r="J5" s="53"/>
    </row>
    <row r="6">
      <c r="A6" s="15" t="s">
        <v>38</v>
      </c>
      <c r="B6" s="15" t="s">
        <v>39</v>
      </c>
      <c r="C6" s="51">
        <f>SUMIFS(TransactionsView!$D:$D,TransactionsView!$B:$B,$A6,TransactionsView!$E:$E,"&gt;0")</f>
        <v>877.64</v>
      </c>
      <c r="D6" s="51" t="str">
        <f>IF(ISREF(INDIRECT($B6&amp;"!$A$1")),ROUNDUP((DateTime!$B$2-MIN(INDIRECT($B6&amp;"!$A:$A")))/365.25*12) &amp; " months (" &amp; ROUNDUP((DateTime!$B$2-MIN(INDIRECT($B6&amp;"!$A:$A")))/365.25,1) &amp;  " years)",)</f>
        <v/>
      </c>
      <c r="E6" s="51">
        <f>SUMIFS(TransactionsView!$D:$D,TransactionsView!$A:$A,"&lt;&gt;",TransactionsView!$B:$B,$A6,TransactionsView!$D:$D,"&gt;0")</f>
        <v>6876.64</v>
      </c>
      <c r="F6" s="51">
        <f>SUMIFS(TransactionsView!$D:$D,TransactionsView!$B:$B,$A6,TransactionsView!$D:$D,"&lt;0",TransactionsView!$E:$E,"&lt;=0")+SUMIFS(TransactionsView!$E:$E,TransactionsView!$C:$C,$B6,TransactionsView!$D:$D,"&lt;0",TransactionsView!$E:$E,"&lt;=0")</f>
        <v>0</v>
      </c>
      <c r="G6" s="51" t="str">
        <f t="shared" si="1"/>
        <v>#ERROR!</v>
      </c>
      <c r="H6" s="25" t="str">
        <f t="shared" si="2"/>
        <v>#ERROR!</v>
      </c>
      <c r="I6" s="52">
        <f t="shared" si="3"/>
        <v>6876.64</v>
      </c>
      <c r="J6" s="53"/>
    </row>
    <row r="7">
      <c r="A7" s="15" t="s">
        <v>41</v>
      </c>
      <c r="B7" s="15" t="s">
        <v>42</v>
      </c>
      <c r="C7" s="51">
        <f>SUMIFS(TransactionsView!$D:$D,TransactionsView!$B:$B,$A7,TransactionsView!$E:$E,"&gt;0")</f>
        <v>877.64</v>
      </c>
      <c r="D7" s="51" t="str">
        <f>IF(ISREF(INDIRECT($B7&amp;"!$A$1")),ROUNDUP((DateTime!$B$2-MIN(INDIRECT($B7&amp;"!$A:$A")))/365.25*12) &amp; " months (" &amp; ROUNDUP((DateTime!$B$2-MIN(INDIRECT($B7&amp;"!$A:$A")))/365.25,1) &amp;  " years)",)</f>
        <v/>
      </c>
      <c r="E7" s="51">
        <f>SUMIFS(TransactionsView!$D:$D,TransactionsView!$A:$A,"&lt;&gt;",TransactionsView!$B:$B,$A7,TransactionsView!$D:$D,"&gt;0")</f>
        <v>6876.64</v>
      </c>
      <c r="F7" s="51">
        <f>SUMIFS(TransactionsView!$D:$D,TransactionsView!$B:$B,$A7,TransactionsView!$D:$D,"&lt;0",TransactionsView!$E:$E,"&lt;=0")+SUMIFS(TransactionsView!$E:$E,TransactionsView!$C:$C,$B7,TransactionsView!$D:$D,"&lt;0",TransactionsView!$E:$E,"&lt;=0")</f>
        <v>0</v>
      </c>
      <c r="G7" s="51" t="str">
        <f t="shared" si="1"/>
        <v>#ERROR!</v>
      </c>
      <c r="H7" s="25" t="str">
        <f t="shared" si="2"/>
        <v>#ERROR!</v>
      </c>
      <c r="I7" s="52">
        <f t="shared" si="3"/>
        <v>6876.64</v>
      </c>
      <c r="J7" s="53"/>
    </row>
    <row r="8">
      <c r="A8" s="15" t="s">
        <v>44</v>
      </c>
      <c r="B8" s="15" t="s">
        <v>45</v>
      </c>
      <c r="C8" s="51">
        <f>SUMIFS(TransactionsView!$D:$D,TransactionsView!$B:$B,$A8,TransactionsView!$E:$E,"&gt;0")</f>
        <v>782.11</v>
      </c>
      <c r="D8" s="51" t="str">
        <f>IF(ISREF(INDIRECT($B8&amp;"!$A$1")),ROUNDUP((DateTime!$B$2-MIN(INDIRECT($B8&amp;"!$A:$A")))/365.25*12) &amp; " months (" &amp; ROUNDUP((DateTime!$B$2-MIN(INDIRECT($B8&amp;"!$A:$A")))/365.25,1) &amp;  " years)",)</f>
        <v/>
      </c>
      <c r="E8" s="51">
        <f>SUMIFS(TransactionsView!$D:$D,TransactionsView!$A:$A,"&lt;&gt;",TransactionsView!$B:$B,$A8,TransactionsView!$D:$D,"&gt;0")</f>
        <v>5782.11</v>
      </c>
      <c r="F8" s="51">
        <f>SUMIFS(TransactionsView!$D:$D,TransactionsView!$B:$B,$A8,TransactionsView!$D:$D,"&lt;0",TransactionsView!$E:$E,"&lt;=0")+SUMIFS(TransactionsView!$E:$E,TransactionsView!$C:$C,$B8,TransactionsView!$D:$D,"&lt;0",TransactionsView!$E:$E,"&lt;=0")</f>
        <v>-100</v>
      </c>
      <c r="G8" s="51" t="str">
        <f t="shared" si="1"/>
        <v>#ERROR!</v>
      </c>
      <c r="H8" s="25" t="str">
        <f t="shared" si="2"/>
        <v>#ERROR!</v>
      </c>
      <c r="I8" s="52">
        <f t="shared" si="3"/>
        <v>5682.11</v>
      </c>
      <c r="J8" s="53"/>
    </row>
    <row r="9">
      <c r="A9" s="15" t="s">
        <v>47</v>
      </c>
      <c r="B9" s="15" t="s">
        <v>48</v>
      </c>
      <c r="C9" s="51">
        <f>SUMIFS(TransactionsView!$D:$D,TransactionsView!$B:$B,$A9,TransactionsView!$E:$E,"&gt;0")</f>
        <v>300</v>
      </c>
      <c r="D9" s="51" t="str">
        <f>IF(ISREF(INDIRECT($B9&amp;"!$A$1")),ROUNDUP((DateTime!$B$2-MIN(INDIRECT($B9&amp;"!$A:$A")))/365.25*12) &amp; " months (" &amp; ROUNDUP((DateTime!$B$2-MIN(INDIRECT($B9&amp;"!$A:$A")))/365.25,1) &amp;  " years)",)</f>
        <v/>
      </c>
      <c r="E9" s="51">
        <f>SUMIFS(TransactionsView!$D:$D,TransactionsView!$A:$A,"&lt;&gt;",TransactionsView!$B:$B,$A9,TransactionsView!$D:$D,"&gt;0")</f>
        <v>7800</v>
      </c>
      <c r="F9" s="51">
        <f>SUMIFS(TransactionsView!$D:$D,TransactionsView!$B:$B,$A9,TransactionsView!$D:$D,"&lt;0",TransactionsView!$E:$E,"&lt;=0")+SUMIFS(TransactionsView!$E:$E,TransactionsView!$C:$C,$B9,TransactionsView!$D:$D,"&lt;0",TransactionsView!$E:$E,"&lt;=0")</f>
        <v>0</v>
      </c>
      <c r="G9" s="51" t="str">
        <f t="shared" si="1"/>
        <v>#ERROR!</v>
      </c>
      <c r="H9" s="25" t="str">
        <f t="shared" si="2"/>
        <v>#ERROR!</v>
      </c>
      <c r="I9" s="52">
        <f t="shared" si="3"/>
        <v>7800</v>
      </c>
      <c r="J9" s="53"/>
    </row>
    <row r="10">
      <c r="A10" s="15" t="s">
        <v>49</v>
      </c>
      <c r="B10" s="15" t="s">
        <v>50</v>
      </c>
      <c r="C10" s="51">
        <f>SUMIFS(TransactionsView!$D:$D,TransactionsView!$B:$B,$A10,TransactionsView!$E:$E,"&gt;0")</f>
        <v>2100</v>
      </c>
      <c r="D10" s="51" t="str">
        <f>IF(ISREF(INDIRECT($B10&amp;"!$A$1")),ROUNDUP((DateTime!$B$2-MIN(INDIRECT($B10&amp;"!$A:$A")))/365.25*12) &amp; " months (" &amp; ROUNDUP((DateTime!$B$2-MIN(INDIRECT($B10&amp;"!$A:$A")))/365.25,1) &amp;  " years)",)</f>
        <v/>
      </c>
      <c r="E10" s="51">
        <f>SUMIFS(TransactionsView!$D:$D,TransactionsView!$A:$A,"&lt;&gt;",TransactionsView!$B:$B,$A10,TransactionsView!$D:$D,"&gt;0")</f>
        <v>17100</v>
      </c>
      <c r="F10" s="51">
        <f>SUMIFS(TransactionsView!$D:$D,TransactionsView!$B:$B,$A10,TransactionsView!$D:$D,"&lt;0",TransactionsView!$E:$E,"&lt;=0")+SUMIFS(TransactionsView!$E:$E,TransactionsView!$C:$C,$B10,TransactionsView!$D:$D,"&lt;0",TransactionsView!$E:$E,"&lt;=0")</f>
        <v>0</v>
      </c>
      <c r="G10" s="51" t="str">
        <f t="shared" si="1"/>
        <v>#ERROR!</v>
      </c>
      <c r="H10" s="25" t="str">
        <f t="shared" si="2"/>
        <v>#ERROR!</v>
      </c>
      <c r="I10" s="52">
        <f t="shared" si="3"/>
        <v>17100</v>
      </c>
      <c r="J10" s="53"/>
    </row>
    <row r="11">
      <c r="A11" s="15" t="s">
        <v>52</v>
      </c>
      <c r="B11" s="15" t="s">
        <v>53</v>
      </c>
      <c r="C11" s="51">
        <f>SUMIFS(TransactionsView!$D:$D,TransactionsView!$B:$B,$A11,TransactionsView!$E:$E,"&gt;0")</f>
        <v>830</v>
      </c>
      <c r="D11" s="51" t="str">
        <f>IF(ISREF(INDIRECT($B11&amp;"!$A$1")),ROUNDUP((DateTime!$B$2-MIN(INDIRECT($B11&amp;"!$A:$A")))/365.25*12) &amp; " months (" &amp; ROUNDUP((DateTime!$B$2-MIN(INDIRECT($B11&amp;"!$A:$A")))/365.25,1) &amp;  " years)",)</f>
        <v/>
      </c>
      <c r="E11" s="51">
        <f>SUMIFS(TransactionsView!$D:$D,TransactionsView!$A:$A,"&lt;&gt;",TransactionsView!$B:$B,$A11,TransactionsView!$D:$D,"&gt;0")</f>
        <v>10830</v>
      </c>
      <c r="F11" s="51">
        <f>SUMIFS(TransactionsView!$D:$D,TransactionsView!$B:$B,$A11,TransactionsView!$D:$D,"&lt;0",TransactionsView!$E:$E,"&lt;=0")+SUMIFS(TransactionsView!$E:$E,TransactionsView!$C:$C,$B11,TransactionsView!$D:$D,"&lt;0",TransactionsView!$E:$E,"&lt;=0")</f>
        <v>-3151.97</v>
      </c>
      <c r="G11" s="51" t="str">
        <f t="shared" si="1"/>
        <v>#ERROR!</v>
      </c>
      <c r="H11" s="25" t="str">
        <f t="shared" si="2"/>
        <v>#ERROR!</v>
      </c>
      <c r="I11" s="52">
        <f t="shared" si="3"/>
        <v>7678.03</v>
      </c>
      <c r="J11" s="53" t="s">
        <v>67</v>
      </c>
    </row>
    <row r="12">
      <c r="A12" s="15" t="s">
        <v>55</v>
      </c>
      <c r="B12" s="15" t="s">
        <v>56</v>
      </c>
      <c r="C12" s="51">
        <f>SUMIFS(TransactionsView!$D:$D,TransactionsView!$B:$B,$A12,TransactionsView!$E:$E,"&gt;0")</f>
        <v>70</v>
      </c>
      <c r="D12" s="51" t="str">
        <f>IF(ISREF(INDIRECT($B12&amp;"!$A$1")),ROUNDUP((DateTime!$B$2-MIN(INDIRECT($B12&amp;"!$A:$A")))/365.25*12) &amp; " months (" &amp; ROUNDUP((DateTime!$B$2-MIN(INDIRECT($B12&amp;"!$A:$A")))/365.25,1) &amp;  " years)",)</f>
        <v/>
      </c>
      <c r="E12" s="51">
        <f>SUMIFS(TransactionsView!$D:$D,TransactionsView!$A:$A,"&lt;&gt;",TransactionsView!$B:$B,$A12,TransactionsView!$D:$D,"&gt;0")</f>
        <v>824.32</v>
      </c>
      <c r="F12" s="51">
        <f>SUMIFS(TransactionsView!$D:$D,TransactionsView!$B:$B,$A12,TransactionsView!$D:$D,"&lt;0",TransactionsView!$E:$E,"&lt;=0")+SUMIFS(TransactionsView!$E:$E,TransactionsView!$C:$C,$B12,TransactionsView!$D:$D,"&lt;0",TransactionsView!$E:$E,"&lt;=0")</f>
        <v>0</v>
      </c>
      <c r="G12" s="51" t="str">
        <f t="shared" si="1"/>
        <v>#ERROR!</v>
      </c>
      <c r="H12" s="25" t="str">
        <f t="shared" si="2"/>
        <v>#ERROR!</v>
      </c>
      <c r="I12" s="52">
        <f t="shared" si="3"/>
        <v>824.32</v>
      </c>
      <c r="J12" s="53"/>
    </row>
    <row r="13">
      <c r="A13" s="15" t="s">
        <v>58</v>
      </c>
      <c r="B13" s="15" t="s">
        <v>59</v>
      </c>
      <c r="C13" s="51">
        <f>SUMIFS(TransactionsView!$D:$D,TransactionsView!$B:$B,$A13,TransactionsView!$E:$E,"&gt;0")</f>
        <v>0</v>
      </c>
      <c r="D13" s="51" t="str">
        <f>IF(ISREF(INDIRECT($B13&amp;"!$A$1")),ROUNDUP((DateTime!$B$2-MIN(INDIRECT($B13&amp;"!$A:$A")))/365.25*12) &amp; " months (" &amp; ROUNDUP((DateTime!$B$2-MIN(INDIRECT($B13&amp;"!$A:$A")))/365.25,1) &amp;  " years)",)</f>
        <v/>
      </c>
      <c r="E13" s="51">
        <f>SUMIFS(TransactionsView!$D:$D,TransactionsView!$A:$A,"&lt;&gt;",TransactionsView!$B:$B,$A13,TransactionsView!$D:$D,"&gt;0")</f>
        <v>0</v>
      </c>
      <c r="F13" s="51">
        <f>SUMIFS(TransactionsView!$D:$D,TransactionsView!$B:$B,$A13,TransactionsView!$D:$D,"&lt;0",TransactionsView!$E:$E,"&lt;=0")+SUMIFS(TransactionsView!$E:$E,TransactionsView!$C:$C,$B13,TransactionsView!$D:$D,"&lt;0",TransactionsView!$E:$E,"&lt;=0")</f>
        <v>0</v>
      </c>
      <c r="G13" s="51" t="str">
        <f t="shared" si="1"/>
        <v>#ERROR!</v>
      </c>
      <c r="H13" s="25" t="str">
        <f t="shared" si="2"/>
        <v>#ERROR!</v>
      </c>
      <c r="I13" s="52">
        <f t="shared" si="3"/>
        <v>0</v>
      </c>
      <c r="J13" s="53"/>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8.63"/>
    <col customWidth="1" min="3" max="3" width="11.38"/>
    <col customWidth="1" min="4" max="4" width="12.63"/>
    <col customWidth="1" min="5" max="5" width="8.88"/>
    <col customWidth="1" min="6" max="6" width="10.88"/>
  </cols>
  <sheetData>
    <row r="1">
      <c r="A1" s="54" t="str">
        <f>Transactions!B$1</f>
        <v>Date</v>
      </c>
      <c r="B1" s="54" t="str">
        <f>Transactions!C$1</f>
        <v>Userid</v>
      </c>
      <c r="C1" s="54" t="s">
        <v>68</v>
      </c>
      <c r="D1" s="54" t="str">
        <f>Transactions!E$1</f>
        <v>Movement</v>
      </c>
      <c r="E1" s="54" t="str">
        <f>Transactions!F$1</f>
        <v>Cost</v>
      </c>
      <c r="F1" s="54" t="s">
        <v>69</v>
      </c>
    </row>
    <row r="2">
      <c r="A2" s="55">
        <f>IF(Transactions!$B2&lt;&gt;"",DATE(LEFT(Transactions!$B2,4),MID(Transactions!$B2,6,2),MID(Transactions!$B2,9,2)),)</f>
        <v>45352</v>
      </c>
      <c r="B2" s="56" t="str">
        <f>Transactions!$C2</f>
        <v>4</v>
      </c>
      <c r="C2" s="51" t="str">
        <f t="array" ref="C2">IFERROR(INDEX(Portfolio!$B:$B, MATCH($B2, Portfolio!$A:$A, 0)),Transactions!$B2)</f>
        <v>Philo</v>
      </c>
      <c r="D2" s="51">
        <f>IF($B2&lt;&gt;"",Transactions!$E2*1,)</f>
        <v>-312</v>
      </c>
      <c r="E2" s="51">
        <f>IF($B2&lt;&gt;"",Transactions!$F2*1,)</f>
        <v>0</v>
      </c>
      <c r="F2" s="42" t="str">
        <f>IF(Transactions!$G2&lt;&gt;"",Transactions!$H2&amp;" "&amp;Transactions!$G2,)</f>
        <v>-300 FiMs</v>
      </c>
    </row>
    <row r="3">
      <c r="A3" s="55">
        <f>IF(Transactions!$B3&lt;&gt;"",DATE(LEFT(Transactions!$B3,4),MID(Transactions!$B3,6,2),MID(Transactions!$B3,9,2)),)</f>
        <v>45351</v>
      </c>
      <c r="B3" s="56" t="str">
        <f>Transactions!$C3</f>
        <v>10</v>
      </c>
      <c r="C3" s="51" t="str">
        <f t="array" ref="C3">IFERROR(INDEX(Portfolio!$B:$B, MATCH($B3, Portfolio!$A:$A, 0)),Transactions!$B3)</f>
        <v>Manusavin</v>
      </c>
      <c r="D3" s="51">
        <f>IF($B3&lt;&gt;"",Transactions!$E3*1,)</f>
        <v>-1102.14</v>
      </c>
      <c r="E3" s="51">
        <f>IF($B3&lt;&gt;"",Transactions!$F3*1,)</f>
        <v>-5.51</v>
      </c>
      <c r="F3" s="42" t="str">
        <f>IF(Transactions!$G3&lt;&gt;"",Transactions!$H3&amp;" "&amp;Transactions!$G3,)</f>
        <v>-9 FSOL</v>
      </c>
    </row>
    <row r="4">
      <c r="A4" s="55">
        <f>IF(Transactions!$B4&lt;&gt;"",DATE(LEFT(Transactions!$B4,4),MID(Transactions!$B4,6,2),MID(Transactions!$B4,9,2)),)</f>
        <v>45351</v>
      </c>
      <c r="B4" s="56" t="str">
        <f>Transactions!$C4</f>
        <v>11</v>
      </c>
      <c r="C4" s="51" t="str">
        <f t="array" ref="C4">IFERROR(INDEX(Portfolio!$B:$B, MATCH($B4, Portfolio!$A:$A, 0)),Transactions!$B4)</f>
        <v>Valentin</v>
      </c>
      <c r="D4" s="51">
        <f>IF($B4&lt;&gt;"",Transactions!$E4*1,)</f>
        <v>126.55</v>
      </c>
      <c r="E4" s="51">
        <f>IF($B4&lt;&gt;"",Transactions!$F4*1,)</f>
        <v>0</v>
      </c>
      <c r="F4" s="42" t="str">
        <f>IF(Transactions!$G4&lt;&gt;"",Transactions!$H4&amp;" "&amp;Transactions!$G4,)</f>
        <v>1 FSOL</v>
      </c>
    </row>
    <row r="5">
      <c r="A5" s="55">
        <f>IF(Transactions!$B5&lt;&gt;"",DATE(LEFT(Transactions!$B5,4),MID(Transactions!$B5,6,2),MID(Transactions!$B5,9,2)),)</f>
        <v>45342</v>
      </c>
      <c r="B5" s="56" t="str">
        <f>Transactions!$C5</f>
        <v>9</v>
      </c>
      <c r="C5" s="51" t="str">
        <f t="array" ref="C5">IFERROR(INDEX(Portfolio!$B:$B, MATCH($B5, Portfolio!$A:$A, 0)),Transactions!$B5)</f>
        <v>Christine</v>
      </c>
      <c r="D5" s="51">
        <f>IF($B5&lt;&gt;"",Transactions!$E5*1,)</f>
        <v>5000</v>
      </c>
      <c r="E5" s="51">
        <f>IF($B5&lt;&gt;"",Transactions!$F5*1,)</f>
        <v>0</v>
      </c>
      <c r="F5" s="42" t="str">
        <f>IF(Transactions!$G5&lt;&gt;"",Transactions!$H5&amp;" "&amp;Transactions!$G5,)</f>
        <v>44 FSOL</v>
      </c>
    </row>
    <row r="6">
      <c r="A6" s="55">
        <f>IF(Transactions!$B6&lt;&gt;"",DATE(LEFT(Transactions!$B6,4),MID(Transactions!$B6,6,2),MID(Transactions!$B6,9,2)),)</f>
        <v>45337</v>
      </c>
      <c r="B6" s="56" t="str">
        <f>Transactions!$C6</f>
        <v>10</v>
      </c>
      <c r="C6" s="51" t="str">
        <f t="array" ref="C6">IFERROR(INDEX(Portfolio!$B:$B, MATCH($B6, Portfolio!$A:$A, 0)),Transactions!$B6)</f>
        <v>Manusavin</v>
      </c>
      <c r="D6" s="51">
        <f>IF($B6&lt;&gt;"",Transactions!$E6*1,)</f>
        <v>-805</v>
      </c>
      <c r="E6" s="51">
        <f>IF($B6&lt;&gt;"",Transactions!$F6*1,)</f>
        <v>-4.02</v>
      </c>
      <c r="F6" s="42" t="str">
        <f>IF(Transactions!$G6&lt;&gt;"",Transactions!$H6&amp;" "&amp;Transactions!$G6,)</f>
        <v>-7 FSOL</v>
      </c>
    </row>
    <row r="7">
      <c r="A7" s="55">
        <f>IF(Transactions!$B7&lt;&gt;"",DATE(LEFT(Transactions!$B7,4),MID(Transactions!$B7,6,2),MID(Transactions!$B7,9,2)),)</f>
        <v>45336</v>
      </c>
      <c r="B7" s="56" t="str">
        <f>Transactions!$C7</f>
        <v>9</v>
      </c>
      <c r="C7" s="51" t="str">
        <f t="array" ref="C7">IFERROR(INDEX(Portfolio!$B:$B, MATCH($B7, Portfolio!$A:$A, 0)),Transactions!$B7)</f>
        <v>Christine</v>
      </c>
      <c r="D7" s="51">
        <f>IF($B7&lt;&gt;"",Transactions!$E7*1,)</f>
        <v>2100</v>
      </c>
      <c r="E7" s="51">
        <f>IF($B7&lt;&gt;"",Transactions!$F7*1,)</f>
        <v>2100</v>
      </c>
      <c r="F7" s="42" t="str">
        <f>IF(Transactions!$G7&lt;&gt;"",Transactions!$H7&amp;" "&amp;Transactions!$G7,)</f>
        <v/>
      </c>
    </row>
    <row r="8">
      <c r="A8" s="55">
        <f>IF(Transactions!$B8&lt;&gt;"",DATE(LEFT(Transactions!$B8,4),MID(Transactions!$B8,6,2),MID(Transactions!$B8,9,2)),)</f>
        <v>45336</v>
      </c>
      <c r="B8" s="56" t="str">
        <f>Transactions!$C8</f>
        <v>8</v>
      </c>
      <c r="C8" s="51" t="str">
        <f t="array" ref="C8">IFERROR(INDEX(Portfolio!$B:$B, MATCH($B8, Portfolio!$A:$A, 0)),Transactions!$B8)</f>
        <v>Jeremie</v>
      </c>
      <c r="D8" s="51">
        <f>IF($B8&lt;&gt;"",Transactions!$E8*1,)</f>
        <v>300</v>
      </c>
      <c r="E8" s="51">
        <f>IF($B8&lt;&gt;"",Transactions!$F8*1,)</f>
        <v>300</v>
      </c>
      <c r="F8" s="42" t="str">
        <f>IF(Transactions!$G8&lt;&gt;"",Transactions!$H8&amp;" "&amp;Transactions!$G8,)</f>
        <v/>
      </c>
    </row>
    <row r="9">
      <c r="A9" s="55">
        <f>IF(Transactions!$B9&lt;&gt;"",DATE(LEFT(Transactions!$B9,4),MID(Transactions!$B9,6,2),MID(Transactions!$B9,9,2)),)</f>
        <v>45336</v>
      </c>
      <c r="B9" s="56" t="str">
        <f>Transactions!$C9</f>
        <v>7</v>
      </c>
      <c r="C9" s="51" t="str">
        <f t="array" ref="C9">IFERROR(INDEX(Portfolio!$B:$B, MATCH($B9, Portfolio!$A:$A, 0)),Transactions!$B9)</f>
        <v>CyrilleV</v>
      </c>
      <c r="D9" s="51">
        <f>IF($B9&lt;&gt;"",Transactions!$E9*1,)</f>
        <v>709</v>
      </c>
      <c r="E9" s="51">
        <f>IF($B9&lt;&gt;"",Transactions!$F9*1,)</f>
        <v>709</v>
      </c>
      <c r="F9" s="42" t="str">
        <f>IF(Transactions!$G9&lt;&gt;"",Transactions!$H9&amp;" "&amp;Transactions!$G9,)</f>
        <v/>
      </c>
    </row>
    <row r="10">
      <c r="A10" s="55">
        <f>IF(Transactions!$B10&lt;&gt;"",DATE(LEFT(Transactions!$B10,4),MID(Transactions!$B10,6,2),MID(Transactions!$B10,9,2)),)</f>
        <v>45336</v>
      </c>
      <c r="B10" s="56" t="str">
        <f>Transactions!$C10</f>
        <v>6</v>
      </c>
      <c r="C10" s="51" t="str">
        <f t="array" ref="C10">IFERROR(INDEX(Portfolio!$B:$B, MATCH($B10, Portfolio!$A:$A, 0)),Transactions!$B10)</f>
        <v>Joséd</v>
      </c>
      <c r="D10" s="51">
        <f>IF($B10&lt;&gt;"",Transactions!$E10*1,)</f>
        <v>846.5</v>
      </c>
      <c r="E10" s="51">
        <f>IF($B10&lt;&gt;"",Transactions!$F10*1,)</f>
        <v>846.5</v>
      </c>
      <c r="F10" s="42" t="str">
        <f>IF(Transactions!$G10&lt;&gt;"",Transactions!$H10&amp;" "&amp;Transactions!$G10,)</f>
        <v/>
      </c>
    </row>
    <row r="11">
      <c r="A11" s="55">
        <f>IF(Transactions!$B11&lt;&gt;"",DATE(LEFT(Transactions!$B11,4),MID(Transactions!$B11,6,2),MID(Transactions!$B11,9,2)),)</f>
        <v>45336</v>
      </c>
      <c r="B11" s="56" t="str">
        <f>Transactions!$C11</f>
        <v>11</v>
      </c>
      <c r="C11" s="51" t="str">
        <f t="array" ref="C11">IFERROR(INDEX(Portfolio!$B:$B, MATCH($B11, Portfolio!$A:$A, 0)),Transactions!$B11)</f>
        <v>Valentin</v>
      </c>
      <c r="D11" s="51">
        <f>IF($B11&lt;&gt;"",Transactions!$E11*1,)</f>
        <v>70</v>
      </c>
      <c r="E11" s="51">
        <f>IF($B11&lt;&gt;"",Transactions!$F11*1,)</f>
        <v>70</v>
      </c>
      <c r="F11" s="42" t="str">
        <f>IF(Transactions!$G11&lt;&gt;"",Transactions!$H11&amp;" "&amp;Transactions!$G11,)</f>
        <v/>
      </c>
    </row>
    <row r="12">
      <c r="A12" s="55">
        <f>IF(Transactions!$B12&lt;&gt;"",DATE(LEFT(Transactions!$B12,4),MID(Transactions!$B12,6,2),MID(Transactions!$B12,9,2)),)</f>
        <v>45336</v>
      </c>
      <c r="B12" s="56" t="str">
        <f>Transactions!$C12</f>
        <v>4</v>
      </c>
      <c r="C12" s="51" t="str">
        <f t="array" ref="C12">IFERROR(INDEX(Portfolio!$B:$B, MATCH($B12, Portfolio!$A:$A, 0)),Transactions!$B12)</f>
        <v>Philo</v>
      </c>
      <c r="D12" s="51">
        <f>IF($B12&lt;&gt;"",Transactions!$E12*1,)</f>
        <v>8940.1</v>
      </c>
      <c r="E12" s="51">
        <f>IF($B12&lt;&gt;"",Transactions!$F12*1,)</f>
        <v>8940.1</v>
      </c>
      <c r="F12" s="42" t="str">
        <f>IF(Transactions!$G12&lt;&gt;"",Transactions!$H12&amp;" "&amp;Transactions!$G12,)</f>
        <v/>
      </c>
    </row>
    <row r="13">
      <c r="A13" s="55">
        <f>IF(Transactions!$B13&lt;&gt;"",DATE(LEFT(Transactions!$B13,4),MID(Transactions!$B13,6,2),MID(Transactions!$B13,9,2)),)</f>
        <v>45336</v>
      </c>
      <c r="B13" s="56" t="str">
        <f>Transactions!$C13</f>
        <v>3</v>
      </c>
      <c r="C13" s="51" t="str">
        <f t="array" ref="C13">IFERROR(INDEX(Portfolio!$B:$B, MATCH($B13, Portfolio!$A:$A, 0)),Transactions!$B13)</f>
        <v>Paclone</v>
      </c>
      <c r="D13" s="51">
        <f>IF($B13&lt;&gt;"",Transactions!$E13*1,)</f>
        <v>22.2</v>
      </c>
      <c r="E13" s="51">
        <f>IF($B13&lt;&gt;"",Transactions!$F13*1,)</f>
        <v>22.2</v>
      </c>
      <c r="F13" s="42" t="str">
        <f>IF(Transactions!$G13&lt;&gt;"",Transactions!$H13&amp;" "&amp;Transactions!$G13,)</f>
        <v/>
      </c>
    </row>
    <row r="14">
      <c r="A14" s="55">
        <f>IF(Transactions!$B14&lt;&gt;"",DATE(LEFT(Transactions!$B14,4),MID(Transactions!$B14,6,2),MID(Transactions!$B14,9,2)),)</f>
        <v>45336</v>
      </c>
      <c r="B14" s="56" t="str">
        <f>Transactions!$C14</f>
        <v>2</v>
      </c>
      <c r="C14" s="51" t="str">
        <f t="array" ref="C14">IFERROR(INDEX(Portfolio!$B:$B, MATCH($B14, Portfolio!$A:$A, 0)),Transactions!$B14)</f>
        <v>Bloopsy</v>
      </c>
      <c r="D14" s="51">
        <f>IF($B14&lt;&gt;"",Transactions!$E14*1,)</f>
        <v>4450.4</v>
      </c>
      <c r="E14" s="51">
        <f>IF($B14&lt;&gt;"",Transactions!$F14*1,)</f>
        <v>4450.4</v>
      </c>
      <c r="F14" s="42" t="str">
        <f>IF(Transactions!$G14&lt;&gt;"",Transactions!$H14&amp;" "&amp;Transactions!$G14,)</f>
        <v/>
      </c>
    </row>
    <row r="15">
      <c r="A15" s="55">
        <f>IF(Transactions!$B15&lt;&gt;"",DATE(LEFT(Transactions!$B15,4),MID(Transactions!$B15,6,2),MID(Transactions!$B15,9,2)),)</f>
        <v>45336</v>
      </c>
      <c r="B15" s="56" t="str">
        <f>Transactions!$C15</f>
        <v>5</v>
      </c>
      <c r="C15" s="51" t="str">
        <f t="array" ref="C15">IFERROR(INDEX(Portfolio!$B:$B, MATCH($B15, Portfolio!$A:$A, 0)),Transactions!$B15)</f>
        <v>Lizzz</v>
      </c>
      <c r="D15" s="51">
        <f>IF($B15&lt;&gt;"",Transactions!$E15*1,)</f>
        <v>846.5</v>
      </c>
      <c r="E15" s="51">
        <f>IF($B15&lt;&gt;"",Transactions!$F15*1,)</f>
        <v>846.5</v>
      </c>
      <c r="F15" s="42" t="str">
        <f>IF(Transactions!$G15&lt;&gt;"",Transactions!$H15&amp;" "&amp;Transactions!$G15,)</f>
        <v/>
      </c>
    </row>
    <row r="16">
      <c r="A16" s="55">
        <f>IF(Transactions!$B16&lt;&gt;"",DATE(LEFT(Transactions!$B16,4),MID(Transactions!$B16,6,2),MID(Transactions!$B16,9,2)),)</f>
        <v>45336</v>
      </c>
      <c r="B16" s="56" t="str">
        <f>Transactions!$C16</f>
        <v>10</v>
      </c>
      <c r="C16" s="51" t="str">
        <f t="array" ref="C16">IFERROR(INDEX(Portfolio!$B:$B, MATCH($B16, Portfolio!$A:$A, 0)),Transactions!$B16)</f>
        <v>Manusavin</v>
      </c>
      <c r="D16" s="51">
        <f>IF($B16&lt;&gt;"",Transactions!$E16*1,)</f>
        <v>830</v>
      </c>
      <c r="E16" s="51">
        <f>IF($B16&lt;&gt;"",Transactions!$F16*1,)</f>
        <v>830</v>
      </c>
      <c r="F16" s="42" t="str">
        <f>IF(Transactions!$G16&lt;&gt;"",Transactions!$H16&amp;" "&amp;Transactions!$G16,)</f>
        <v/>
      </c>
    </row>
    <row r="17">
      <c r="A17" s="55">
        <f>IF(Transactions!$B17&lt;&gt;"",DATE(LEFT(Transactions!$B17,4),MID(Transactions!$B17,6,2),MID(Transactions!$B17,9,2)),)</f>
        <v>45332</v>
      </c>
      <c r="B17" s="56" t="str">
        <f>Transactions!$C17</f>
        <v>10</v>
      </c>
      <c r="C17" s="51" t="str">
        <f t="array" ref="C17">IFERROR(INDEX(Portfolio!$B:$B, MATCH($B17, Portfolio!$A:$A, 0)),Transactions!$B17)</f>
        <v>Manusavin</v>
      </c>
      <c r="D17" s="51">
        <f>IF($B17&lt;&gt;"",Transactions!$E17*1,)</f>
        <v>-1229.16</v>
      </c>
      <c r="E17" s="51">
        <f>IF($B17&lt;&gt;"",Transactions!$F17*1,)</f>
        <v>-6.14</v>
      </c>
      <c r="F17" s="42" t="str">
        <f>IF(Transactions!$G17&lt;&gt;"",Transactions!$H17&amp;" "&amp;Transactions!$G17,)</f>
        <v>-12 FSOL</v>
      </c>
    </row>
    <row r="18">
      <c r="A18" s="55">
        <f>IF(Transactions!$B18&lt;&gt;"",DATE(LEFT(Transactions!$B18,4),MID(Transactions!$B18,6,2),MID(Transactions!$B18,9,2)),)</f>
        <v>45323</v>
      </c>
      <c r="B18" s="56" t="str">
        <f>Transactions!$C18</f>
        <v>11</v>
      </c>
      <c r="C18" s="51" t="str">
        <f t="array" ref="C18">IFERROR(INDEX(Portfolio!$B:$B, MATCH($B18, Portfolio!$A:$A, 0)),Transactions!$B18)</f>
        <v>Valentin</v>
      </c>
      <c r="D18" s="51">
        <f>IF($B18&lt;&gt;"",Transactions!$E18*1,)</f>
        <v>43.95</v>
      </c>
      <c r="E18" s="51">
        <f>IF($B18&lt;&gt;"",Transactions!$F18*1,)</f>
        <v>0</v>
      </c>
      <c r="F18" s="42" t="str">
        <f>IF(Transactions!$G18&lt;&gt;"",Transactions!$H18&amp;" "&amp;Transactions!$G18,)</f>
        <v>0.5 FSOL</v>
      </c>
    </row>
    <row r="19">
      <c r="A19" s="55">
        <f>IF(Transactions!$B19&lt;&gt;"",DATE(LEFT(Transactions!$B19,4),MID(Transactions!$B19,6,2),MID(Transactions!$B19,9,2)),)</f>
        <v>45323</v>
      </c>
      <c r="B19" s="56" t="str">
        <f>Transactions!$C19</f>
        <v>4</v>
      </c>
      <c r="C19" s="51" t="str">
        <f t="array" ref="C19">IFERROR(INDEX(Portfolio!$B:$B, MATCH($B19, Portfolio!$A:$A, 0)),Transactions!$B19)</f>
        <v>Philo</v>
      </c>
      <c r="D19" s="51">
        <f>IF($B19&lt;&gt;"",Transactions!$E19*1,)</f>
        <v>-305.1</v>
      </c>
      <c r="E19" s="51">
        <f>IF($B19&lt;&gt;"",Transactions!$F19*1,)</f>
        <v>0</v>
      </c>
      <c r="F19" s="42" t="str">
        <f>IF(Transactions!$G19&lt;&gt;"",Transactions!$H19&amp;" "&amp;Transactions!$G19,)</f>
        <v>-300 FiMs</v>
      </c>
    </row>
    <row r="20">
      <c r="A20" s="55">
        <f>IF(Transactions!$B20&lt;&gt;"",DATE(LEFT(Transactions!$B20,4),MID(Transactions!$B20,6,2),MID(Transactions!$B20,9,2)),)</f>
        <v>45315</v>
      </c>
      <c r="B20" s="56" t="str">
        <f>Transactions!$C20</f>
        <v>11</v>
      </c>
      <c r="C20" s="51" t="str">
        <f t="array" ref="C20">IFERROR(INDEX(Portfolio!$B:$B, MATCH($B20, Portfolio!$A:$A, 0)),Transactions!$B20)</f>
        <v>Valentin</v>
      </c>
      <c r="D20" s="51">
        <f>IF($B20&lt;&gt;"",Transactions!$E20*1,)</f>
        <v>80.83</v>
      </c>
      <c r="E20" s="51">
        <f>IF($B20&lt;&gt;"",Transactions!$F20*1,)</f>
        <v>0</v>
      </c>
      <c r="F20" s="42" t="str">
        <f>IF(Transactions!$G20&lt;&gt;"",Transactions!$H20&amp;" "&amp;Transactions!$G20,)</f>
        <v>1 FSOL</v>
      </c>
    </row>
    <row r="21">
      <c r="A21" s="55">
        <f>IF(Transactions!$B21&lt;&gt;"",DATE(LEFT(Transactions!$B21,4),MID(Transactions!$B21,6,2),MID(Transactions!$B21,9,2)),)</f>
        <v>45302</v>
      </c>
      <c r="B21" s="56" t="str">
        <f>Transactions!$C21</f>
        <v>11</v>
      </c>
      <c r="C21" s="51" t="str">
        <f t="array" ref="C21">IFERROR(INDEX(Portfolio!$B:$B, MATCH($B21, Portfolio!$A:$A, 0)),Transactions!$B21)</f>
        <v>Valentin</v>
      </c>
      <c r="D21" s="51">
        <f>IF($B21&lt;&gt;"",Transactions!$E21*1,)</f>
        <v>457.55</v>
      </c>
      <c r="E21" s="51">
        <f>IF($B21&lt;&gt;"",Transactions!$F21*1,)</f>
        <v>0</v>
      </c>
      <c r="F21" s="42" t="str">
        <f>IF(Transactions!$G21&lt;&gt;"",Transactions!$H21&amp;" "&amp;Transactions!$G21,)</f>
        <v>5 FSOL</v>
      </c>
    </row>
    <row r="22">
      <c r="A22" s="55">
        <f>IF(Transactions!$B22&lt;&gt;"",DATE(LEFT(Transactions!$B22,4),MID(Transactions!$B22,6,2),MID(Transactions!$B22,9,2)),)</f>
        <v>45300</v>
      </c>
      <c r="B22" s="56" t="str">
        <f>Transactions!$C22</f>
        <v>11</v>
      </c>
      <c r="C22" s="51" t="str">
        <f t="array" ref="C22">IFERROR(INDEX(Portfolio!$B:$B, MATCH($B22, Portfolio!$A:$A, 0)),Transactions!$B22)</f>
        <v>Valentin</v>
      </c>
      <c r="D22" s="51">
        <f>IF($B22&lt;&gt;"",Transactions!$E22*1,)</f>
        <v>45.44</v>
      </c>
      <c r="E22" s="51">
        <f>IF($B22&lt;&gt;"",Transactions!$F22*1,)</f>
        <v>0</v>
      </c>
      <c r="F22" s="42" t="str">
        <f>IF(Transactions!$G22&lt;&gt;"",Transactions!$H22&amp;" "&amp;Transactions!$G22,)</f>
        <v>0.5 FSOL</v>
      </c>
    </row>
    <row r="23">
      <c r="A23" s="55">
        <f>IF(Transactions!$B23&lt;&gt;"",DATE(LEFT(Transactions!$B23,4),MID(Transactions!$B23,6,2),MID(Transactions!$B23,9,2)),)</f>
        <v>45295</v>
      </c>
      <c r="B23" s="56" t="str">
        <f>Transactions!$C23</f>
        <v>4</v>
      </c>
      <c r="C23" s="51" t="str">
        <f t="array" ref="C23">IFERROR(INDEX(Portfolio!$B:$B, MATCH($B23, Portfolio!$A:$A, 0)),Transactions!$B23)</f>
        <v>Philo</v>
      </c>
      <c r="D23" s="51">
        <f>IF($B23&lt;&gt;"",Transactions!$E23*1,)</f>
        <v>-304.71</v>
      </c>
      <c r="E23" s="51">
        <f>IF($B23&lt;&gt;"",Transactions!$F23*1,)</f>
        <v>0</v>
      </c>
      <c r="F23" s="42" t="str">
        <f>IF(Transactions!$G23&lt;&gt;"",Transactions!$H23&amp;" "&amp;Transactions!$G23,)</f>
        <v>-300 FiMs</v>
      </c>
    </row>
    <row r="24">
      <c r="A24" s="55">
        <f>IF(Transactions!$B24&lt;&gt;"",DATE(LEFT(Transactions!$B24,4),MID(Transactions!$B24,6,2),MID(Transactions!$B24,9,2)),)</f>
        <v>45287</v>
      </c>
      <c r="B24" s="56" t="str">
        <f>Transactions!$C24</f>
        <v>10</v>
      </c>
      <c r="C24" s="51" t="str">
        <f t="array" ref="C24">IFERROR(INDEX(Portfolio!$B:$B, MATCH($B24, Portfolio!$A:$A, 0)),Transactions!$B24)</f>
        <v>Manusavin</v>
      </c>
      <c r="D24" s="51">
        <f>IF($B24&lt;&gt;"",Transactions!$E24*1,)</f>
        <v>10000</v>
      </c>
      <c r="E24" s="51">
        <f>IF($B24&lt;&gt;"",Transactions!$F24*1,)</f>
        <v>0</v>
      </c>
      <c r="F24" s="42" t="str">
        <f>IF(Transactions!$G24&lt;&gt;"",Transactions!$H24&amp;" "&amp;Transactions!$G24,)</f>
        <v>102 FSOL</v>
      </c>
    </row>
    <row r="25">
      <c r="A25" s="55">
        <f>IF(Transactions!$B25&lt;&gt;"",DATE(LEFT(Transactions!$B25,4),MID(Transactions!$B25,6,2),MID(Transactions!$B25,9,2)),)</f>
        <v>45262</v>
      </c>
      <c r="B25" s="56" t="str">
        <f>Transactions!$C25</f>
        <v>4</v>
      </c>
      <c r="C25" s="51" t="str">
        <f t="array" ref="C25">IFERROR(INDEX(Portfolio!$B:$B, MATCH($B25, Portfolio!$A:$A, 0)),Transactions!$B25)</f>
        <v>Philo</v>
      </c>
      <c r="D25" s="51">
        <f>IF($B25&lt;&gt;"",Transactions!$E25*1,)</f>
        <v>-300.2</v>
      </c>
      <c r="E25" s="51">
        <f>IF($B25&lt;&gt;"",Transactions!$F25*1,)</f>
        <v>0</v>
      </c>
      <c r="F25" s="42" t="str">
        <f>IF(Transactions!$G25&lt;&gt;"",Transactions!$H25&amp;" "&amp;Transactions!$G25,)</f>
        <v>-300 FiMs</v>
      </c>
    </row>
    <row r="26">
      <c r="A26" s="55">
        <f>IF(Transactions!$B26&lt;&gt;"",DATE(LEFT(Transactions!$B26,4),MID(Transactions!$B26,6,2),MID(Transactions!$B26,9,2)),)</f>
        <v>45240</v>
      </c>
      <c r="B26" s="56" t="str">
        <f>Transactions!$C26</f>
        <v>9</v>
      </c>
      <c r="C26" s="51" t="str">
        <f t="array" ref="C26">IFERROR(INDEX(Portfolio!$B:$B, MATCH($B26, Portfolio!$A:$A, 0)),Transactions!$B26)</f>
        <v>Christine</v>
      </c>
      <c r="D26" s="51">
        <f>IF($B26&lt;&gt;"",Transactions!$E26*1,)</f>
        <v>10000</v>
      </c>
      <c r="E26" s="51">
        <f>IF($B26&lt;&gt;"",Transactions!$F26*1,)</f>
        <v>0</v>
      </c>
      <c r="F26" s="42" t="str">
        <f>IF(Transactions!$G26&lt;&gt;"",Transactions!$H26&amp;" "&amp;Transactions!$G26,)</f>
        <v>210 FSOL</v>
      </c>
    </row>
    <row r="27">
      <c r="A27" s="55">
        <f>IF(Transactions!$B27&lt;&gt;"",DATE(LEFT(Transactions!$B27,4),MID(Transactions!$B27,6,2),MID(Transactions!$B27,9,2)),)</f>
        <v>45230</v>
      </c>
      <c r="B27" s="56" t="str">
        <f>Transactions!$C27</f>
        <v>4</v>
      </c>
      <c r="C27" s="51" t="str">
        <f t="array" ref="C27">IFERROR(INDEX(Portfolio!$B:$B, MATCH($B27, Portfolio!$A:$A, 0)),Transactions!$B27)</f>
        <v>Philo</v>
      </c>
      <c r="D27" s="51">
        <f>IF($B27&lt;&gt;"",Transactions!$E27*1,)</f>
        <v>-300</v>
      </c>
      <c r="E27" s="51">
        <f>IF($B27&lt;&gt;"",Transactions!$F27*1,)</f>
        <v>0</v>
      </c>
      <c r="F27" s="42" t="str">
        <f>IF(Transactions!$G27&lt;&gt;"",Transactions!$H27&amp;" "&amp;Transactions!$G27,)</f>
        <v>-300 FiMs</v>
      </c>
    </row>
    <row r="28">
      <c r="A28" s="55">
        <f>IF(Transactions!$B28&lt;&gt;"",DATE(LEFT(Transactions!$B28,4),MID(Transactions!$B28,6,2),MID(Transactions!$B28,9,2)),)</f>
        <v>45203</v>
      </c>
      <c r="B28" s="56" t="str">
        <f>Transactions!$C28</f>
        <v>4</v>
      </c>
      <c r="C28" s="51" t="str">
        <f t="array" ref="C28">IFERROR(INDEX(Portfolio!$B:$B, MATCH($B28, Portfolio!$A:$A, 0)),Transactions!$B28)</f>
        <v>Philo</v>
      </c>
      <c r="D28" s="51">
        <f>IF($B28&lt;&gt;"",Transactions!$E28*1,)</f>
        <v>-300</v>
      </c>
      <c r="E28" s="51">
        <f>IF($B28&lt;&gt;"",Transactions!$F28*1,)</f>
        <v>0</v>
      </c>
      <c r="F28" s="42" t="str">
        <f>IF(Transactions!$G28&lt;&gt;"",Transactions!$H28&amp;" "&amp;Transactions!$G28,)</f>
        <v>-300 FiMs</v>
      </c>
    </row>
    <row r="29">
      <c r="A29" s="55">
        <f>IF(Transactions!$B29&lt;&gt;"",DATE(LEFT(Transactions!$B29,4),MID(Transactions!$B29,6,2),MID(Transactions!$B29,9,2)),)</f>
        <v>45173</v>
      </c>
      <c r="B29" s="56" t="str">
        <f>Transactions!$C29</f>
        <v>4</v>
      </c>
      <c r="C29" s="51" t="str">
        <f t="array" ref="C29">IFERROR(INDEX(Portfolio!$B:$B, MATCH($B29, Portfolio!$A:$A, 0)),Transactions!$B29)</f>
        <v>Philo</v>
      </c>
      <c r="D29" s="51">
        <f>IF($B29&lt;&gt;"",Transactions!$E29*1,)</f>
        <v>-300</v>
      </c>
      <c r="E29" s="51">
        <f>IF($B29&lt;&gt;"",Transactions!$F29*1,)</f>
        <v>0</v>
      </c>
      <c r="F29" s="42" t="str">
        <f>IF(Transactions!$G29&lt;&gt;"",Transactions!$H29&amp;" "&amp;Transactions!$G29,)</f>
        <v>-300 FiMs</v>
      </c>
    </row>
    <row r="30">
      <c r="A30" s="55">
        <f>IF(Transactions!$B30&lt;&gt;"",DATE(LEFT(Transactions!$B30,4),MID(Transactions!$B30,6,2),MID(Transactions!$B30,9,2)),)</f>
        <v>45139</v>
      </c>
      <c r="B30" s="56" t="str">
        <f>Transactions!$C30</f>
        <v>4</v>
      </c>
      <c r="C30" s="51" t="str">
        <f t="array" ref="C30">IFERROR(INDEX(Portfolio!$B:$B, MATCH($B30, Portfolio!$A:$A, 0)),Transactions!$B30)</f>
        <v>Philo</v>
      </c>
      <c r="D30" s="51">
        <f>IF($B30&lt;&gt;"",Transactions!$E30*1,)</f>
        <v>-300</v>
      </c>
      <c r="E30" s="51">
        <f>IF($B30&lt;&gt;"",Transactions!$F30*1,)</f>
        <v>0</v>
      </c>
      <c r="F30" s="42" t="str">
        <f>IF(Transactions!$G30&lt;&gt;"",Transactions!$H30&amp;" "&amp;Transactions!$G30,)</f>
        <v>-300 FiMs</v>
      </c>
    </row>
    <row r="31">
      <c r="A31" s="55">
        <f>IF(Transactions!$B31&lt;&gt;"",DATE(LEFT(Transactions!$B31,4),MID(Transactions!$B31,6,2),MID(Transactions!$B31,9,2)),)</f>
        <v>45110</v>
      </c>
      <c r="B31" s="56" t="str">
        <f>Transactions!$C31</f>
        <v>4</v>
      </c>
      <c r="C31" s="51" t="str">
        <f t="array" ref="C31">IFERROR(INDEX(Portfolio!$B:$B, MATCH($B31, Portfolio!$A:$A, 0)),Transactions!$B31)</f>
        <v>Philo</v>
      </c>
      <c r="D31" s="51">
        <f>IF($B31&lt;&gt;"",Transactions!$E31*1,)</f>
        <v>-300</v>
      </c>
      <c r="E31" s="51">
        <f>IF($B31&lt;&gt;"",Transactions!$F31*1,)</f>
        <v>0</v>
      </c>
      <c r="F31" s="42" t="str">
        <f>IF(Transactions!$G31&lt;&gt;"",Transactions!$H31&amp;" "&amp;Transactions!$G31,)</f>
        <v>-300 FiMs</v>
      </c>
    </row>
    <row r="32">
      <c r="A32" s="55">
        <f>IF(Transactions!$B32&lt;&gt;"",DATE(LEFT(Transactions!$B32,4),MID(Transactions!$B32,6,2),MID(Transactions!$B32,9,2)),)</f>
        <v>45095</v>
      </c>
      <c r="B32" s="56" t="str">
        <f>Transactions!$C32</f>
        <v>7</v>
      </c>
      <c r="C32" s="51" t="str">
        <f t="array" ref="C32">IFERROR(INDEX(Portfolio!$B:$B, MATCH($B32, Portfolio!$A:$A, 0)),Transactions!$B32)</f>
        <v>CyrilleV</v>
      </c>
      <c r="D32" s="51">
        <f>IF($B32&lt;&gt;"",Transactions!$E32*1,)</f>
        <v>-100</v>
      </c>
      <c r="E32" s="51">
        <f>IF($B32&lt;&gt;"",Transactions!$F32*1,)</f>
        <v>0</v>
      </c>
      <c r="F32" s="42" t="str">
        <f>IF(Transactions!$G32&lt;&gt;"",Transactions!$H32&amp;" "&amp;Transactions!$G32,)</f>
        <v>-100 FiMs</v>
      </c>
    </row>
    <row r="33">
      <c r="A33" s="55">
        <f>IF(Transactions!$B33&lt;&gt;"",DATE(LEFT(Transactions!$B33,4),MID(Transactions!$B33,6,2),MID(Transactions!$B33,9,2)),)</f>
        <v>45075</v>
      </c>
      <c r="B33" s="56" t="str">
        <f>Transactions!$C33</f>
        <v>4</v>
      </c>
      <c r="C33" s="51" t="str">
        <f t="array" ref="C33">IFERROR(INDEX(Portfolio!$B:$B, MATCH($B33, Portfolio!$A:$A, 0)),Transactions!$B33)</f>
        <v>Philo</v>
      </c>
      <c r="D33" s="51">
        <f>IF($B33&lt;&gt;"",Transactions!$E33*1,)</f>
        <v>-300</v>
      </c>
      <c r="E33" s="51">
        <f>IF($B33&lt;&gt;"",Transactions!$F33*1,)</f>
        <v>0</v>
      </c>
      <c r="F33" s="42" t="str">
        <f>IF(Transactions!$G33&lt;&gt;"",Transactions!$H33&amp;" "&amp;Transactions!$G33,)</f>
        <v>-300 FiMs</v>
      </c>
    </row>
    <row r="34">
      <c r="A34" s="55">
        <f>IF(Transactions!$B34&lt;&gt;"",DATE(LEFT(Transactions!$B34,4),MID(Transactions!$B34,6,2),MID(Transactions!$B34,9,2)),)</f>
        <v>44942</v>
      </c>
      <c r="B34" s="56" t="str">
        <f>Transactions!$C34</f>
        <v>5</v>
      </c>
      <c r="C34" s="51" t="str">
        <f t="array" ref="C34">IFERROR(INDEX(Portfolio!$B:$B, MATCH($B34, Portfolio!$A:$A, 0)),Transactions!$B34)</f>
        <v>Lizzz</v>
      </c>
      <c r="D34" s="51">
        <f>IF($B34&lt;&gt;"",Transactions!$E34*1,)</f>
        <v>500</v>
      </c>
      <c r="E34" s="51">
        <f>IF($B34&lt;&gt;"",Transactions!$F34*1,)</f>
        <v>0</v>
      </c>
      <c r="F34" s="42" t="str">
        <f>IF(Transactions!$G34&lt;&gt;"",Transactions!$H34&amp;" "&amp;Transactions!$G34,)</f>
        <v>35.325 FSOL</v>
      </c>
    </row>
    <row r="35">
      <c r="A35" s="55">
        <f>IF(Transactions!$B35&lt;&gt;"",DATE(LEFT(Transactions!$B35,4),MID(Transactions!$B35,6,2),MID(Transactions!$B35,9,2)),)</f>
        <v>44942</v>
      </c>
      <c r="B35" s="56" t="str">
        <f>Transactions!$C35</f>
        <v>6</v>
      </c>
      <c r="C35" s="51" t="str">
        <f t="array" ref="C35">IFERROR(INDEX(Portfolio!$B:$B, MATCH($B35, Portfolio!$A:$A, 0)),Transactions!$B35)</f>
        <v>Joséd</v>
      </c>
      <c r="D35" s="51">
        <f>IF($B35&lt;&gt;"",Transactions!$E35*1,)</f>
        <v>500</v>
      </c>
      <c r="E35" s="51">
        <f>IF($B35&lt;&gt;"",Transactions!$F35*1,)</f>
        <v>0</v>
      </c>
      <c r="F35" s="42" t="str">
        <f>IF(Transactions!$G35&lt;&gt;"",Transactions!$H35&amp;" "&amp;Transactions!$G35,)</f>
        <v>35.325 FSOL</v>
      </c>
    </row>
    <row r="36">
      <c r="A36" s="55">
        <f>IF(Transactions!$B36&lt;&gt;"",DATE(LEFT(Transactions!$B36,4),MID(Transactions!$B36,6,2),MID(Transactions!$B36,9,2)),)</f>
        <v>44939</v>
      </c>
      <c r="B36" s="56" t="str">
        <f>Transactions!$C36</f>
        <v>5</v>
      </c>
      <c r="C36" s="51" t="str">
        <f t="array" ref="C36">IFERROR(INDEX(Portfolio!$B:$B, MATCH($B36, Portfolio!$A:$A, 0)),Transactions!$B36)</f>
        <v>Lizzz</v>
      </c>
      <c r="D36" s="51">
        <f>IF($B36&lt;&gt;"",Transactions!$E36*1,)</f>
        <v>500</v>
      </c>
      <c r="E36" s="51">
        <f>IF($B36&lt;&gt;"",Transactions!$F36*1,)</f>
        <v>0</v>
      </c>
      <c r="F36" s="42" t="str">
        <f>IF(Transactions!$G36&lt;&gt;"",Transactions!$H36&amp;" "&amp;Transactions!$G36,)</f>
        <v>35.325 FSOL</v>
      </c>
    </row>
    <row r="37">
      <c r="A37" s="55">
        <f>IF(Transactions!$B37&lt;&gt;"",DATE(LEFT(Transactions!$B37,4),MID(Transactions!$B37,6,2),MID(Transactions!$B37,9,2)),)</f>
        <v>44939</v>
      </c>
      <c r="B37" s="56" t="str">
        <f>Transactions!$C37</f>
        <v>6</v>
      </c>
      <c r="C37" s="51" t="str">
        <f t="array" ref="C37">IFERROR(INDEX(Portfolio!$B:$B, MATCH($B37, Portfolio!$A:$A, 0)),Transactions!$B37)</f>
        <v>Joséd</v>
      </c>
      <c r="D37" s="51">
        <f>IF($B37&lt;&gt;"",Transactions!$E37*1,)</f>
        <v>500</v>
      </c>
      <c r="E37" s="51">
        <f>IF($B37&lt;&gt;"",Transactions!$F37*1,)</f>
        <v>0</v>
      </c>
      <c r="F37" s="42" t="str">
        <f>IF(Transactions!$G37&lt;&gt;"",Transactions!$H37&amp;" "&amp;Transactions!$G37,)</f>
        <v>35.325 FSOL</v>
      </c>
    </row>
    <row r="38">
      <c r="A38" s="55">
        <f>IF(Transactions!$B38&lt;&gt;"",DATE(LEFT(Transactions!$B38,4),MID(Transactions!$B38,6,2),MID(Transactions!$B38,9,2)),)</f>
        <v>44754</v>
      </c>
      <c r="B38" s="56" t="str">
        <f>Transactions!$C38</f>
        <v>1</v>
      </c>
      <c r="C38" s="51" t="str">
        <f t="array" ref="C38">IFERROR(INDEX(Portfolio!$B:$B, MATCH($B38, Portfolio!$A:$A, 0)),Transactions!$B38)</f>
        <v>FiMs</v>
      </c>
      <c r="D38" s="51">
        <f>IF($B38&lt;&gt;"",Transactions!$E38*1,)</f>
        <v>137000</v>
      </c>
      <c r="E38" s="51">
        <f>IF($B38&lt;&gt;"",Transactions!$F38*1,)</f>
        <v>0</v>
      </c>
      <c r="F38" s="42" t="str">
        <f>IF(Transactions!$G38&lt;&gt;"",Transactions!$H38&amp;" "&amp;Transactions!$G38,)</f>
        <v/>
      </c>
    </row>
    <row r="39">
      <c r="A39" s="55">
        <f>IF(Transactions!$B39&lt;&gt;"",DATE(LEFT(Transactions!$B39,4),MID(Transactions!$B39,6,2),MID(Transactions!$B39,9,2)),)</f>
        <v>44686</v>
      </c>
      <c r="B39" s="56" t="str">
        <f>Transactions!$C39</f>
        <v>8</v>
      </c>
      <c r="C39" s="51" t="str">
        <f t="array" ref="C39">IFERROR(INDEX(Portfolio!$B:$B, MATCH($B39, Portfolio!$A:$A, 0)),Transactions!$B39)</f>
        <v>Jeremie</v>
      </c>
      <c r="D39" s="51">
        <f>IF($B39&lt;&gt;"",Transactions!$E39*1,)</f>
        <v>1000</v>
      </c>
      <c r="E39" s="51">
        <f>IF($B39&lt;&gt;"",Transactions!$F39*1,)</f>
        <v>0</v>
      </c>
      <c r="F39" s="42" t="str">
        <f>IF(Transactions!$G39&lt;&gt;"",Transactions!$H39&amp;" "&amp;Transactions!$G39,)</f>
        <v/>
      </c>
    </row>
    <row r="40">
      <c r="A40" s="55">
        <f>IF(Transactions!$B40&lt;&gt;"",DATE(LEFT(Transactions!$B40,4),MID(Transactions!$B40,6,2),MID(Transactions!$B40,9,2)),)</f>
        <v>44642</v>
      </c>
      <c r="B40" s="56" t="str">
        <f>Transactions!$C40</f>
        <v>8</v>
      </c>
      <c r="C40" s="51" t="str">
        <f t="array" ref="C40">IFERROR(INDEX(Portfolio!$B:$B, MATCH($B40, Portfolio!$A:$A, 0)),Transactions!$B40)</f>
        <v>Jeremie</v>
      </c>
      <c r="D40" s="51">
        <f>IF($B40&lt;&gt;"",Transactions!$E40*1,)</f>
        <v>3000</v>
      </c>
      <c r="E40" s="51">
        <f>IF($B40&lt;&gt;"",Transactions!$F40*1,)</f>
        <v>0</v>
      </c>
      <c r="F40" s="42" t="str">
        <f>IF(Transactions!$G40&lt;&gt;"",Transactions!$H40&amp;" "&amp;Transactions!$G40,)</f>
        <v/>
      </c>
    </row>
    <row r="41">
      <c r="A41" s="55">
        <f>IF(Transactions!$B41&lt;&gt;"",DATE(LEFT(Transactions!$B41,4),MID(Transactions!$B41,6,2),MID(Transactions!$B41,9,2)),)</f>
        <v>44641</v>
      </c>
      <c r="B41" s="56" t="str">
        <f>Transactions!$C41</f>
        <v>8</v>
      </c>
      <c r="C41" s="51" t="str">
        <f t="array" ref="C41">IFERROR(INDEX(Portfolio!$B:$B, MATCH($B41, Portfolio!$A:$A, 0)),Transactions!$B41)</f>
        <v>Jeremie</v>
      </c>
      <c r="D41" s="51">
        <f>IF($B41&lt;&gt;"",Transactions!$E41*1,)</f>
        <v>3000</v>
      </c>
      <c r="E41" s="51">
        <f>IF($B41&lt;&gt;"",Transactions!$F41*1,)</f>
        <v>0</v>
      </c>
      <c r="F41" s="42" t="str">
        <f>IF(Transactions!$G41&lt;&gt;"",Transactions!$H41&amp;" "&amp;Transactions!$G41,)</f>
        <v/>
      </c>
    </row>
    <row r="42">
      <c r="A42" s="55">
        <f>IF(Transactions!$B42&lt;&gt;"",DATE(LEFT(Transactions!$B42,4),MID(Transactions!$B42,6,2),MID(Transactions!$B42,9,2)),)</f>
        <v>44637</v>
      </c>
      <c r="B42" s="56" t="str">
        <f>Transactions!$C42</f>
        <v>8</v>
      </c>
      <c r="C42" s="51" t="str">
        <f t="array" ref="C42">IFERROR(INDEX(Portfolio!$B:$B, MATCH($B42, Portfolio!$A:$A, 0)),Transactions!$B42)</f>
        <v>Jeremie</v>
      </c>
      <c r="D42" s="51">
        <f>IF($B42&lt;&gt;"",Transactions!$E42*1,)</f>
        <v>500</v>
      </c>
      <c r="E42" s="51">
        <f>IF($B42&lt;&gt;"",Transactions!$F42*1,)</f>
        <v>0</v>
      </c>
      <c r="F42" s="42" t="str">
        <f>IF(Transactions!$G42&lt;&gt;"",Transactions!$H42&amp;" "&amp;Transactions!$G42,)</f>
        <v/>
      </c>
    </row>
    <row r="43">
      <c r="A43" s="55">
        <f>IF(Transactions!$B43&lt;&gt;"",DATE(LEFT(Transactions!$B43,4),MID(Transactions!$B43,6,2),MID(Transactions!$B43,9,2)),)</f>
        <v>44562</v>
      </c>
      <c r="B43" s="56" t="str">
        <f>Transactions!$C43</f>
        <v>4</v>
      </c>
      <c r="C43" s="51" t="str">
        <f t="array" ref="C43">IFERROR(INDEX(Portfolio!$B:$B, MATCH($B43, Portfolio!$A:$A, 0)),Transactions!$B43)</f>
        <v>Philo</v>
      </c>
      <c r="D43" s="51">
        <f>IF($B43&lt;&gt;"",Transactions!$E43*1,)</f>
        <v>736.04</v>
      </c>
      <c r="E43" s="51">
        <f>IF($B43&lt;&gt;"",Transactions!$F43*1,)</f>
        <v>736.04</v>
      </c>
      <c r="F43" s="42" t="str">
        <f>IF(Transactions!$G43&lt;&gt;"",Transactions!$H43&amp;" "&amp;Transactions!$G43,)</f>
        <v/>
      </c>
    </row>
    <row r="44">
      <c r="A44" s="55">
        <f>IF(Transactions!$B44&lt;&gt;"",DATE(LEFT(Transactions!$B44,4),MID(Transactions!$B44,6,2),MID(Transactions!$B44,9,2)),)</f>
        <v>44562</v>
      </c>
      <c r="B44" s="56" t="str">
        <f>Transactions!$C44</f>
        <v>7</v>
      </c>
      <c r="C44" s="51" t="str">
        <f t="array" ref="C44">IFERROR(INDEX(Portfolio!$B:$B, MATCH($B44, Portfolio!$A:$A, 0)),Transactions!$B44)</f>
        <v>CyrilleV</v>
      </c>
      <c r="D44" s="51">
        <f>IF($B44&lt;&gt;"",Transactions!$E44*1,)</f>
        <v>73.11</v>
      </c>
      <c r="E44" s="51">
        <f>IF($B44&lt;&gt;"",Transactions!$F44*1,)</f>
        <v>73.11</v>
      </c>
      <c r="F44" s="42" t="str">
        <f>IF(Transactions!$G44&lt;&gt;"",Transactions!$H44&amp;" "&amp;Transactions!$G44,)</f>
        <v/>
      </c>
    </row>
    <row r="45">
      <c r="A45" s="55">
        <f>IF(Transactions!$B45&lt;&gt;"",DATE(LEFT(Transactions!$B45,4),MID(Transactions!$B45,6,2),MID(Transactions!$B45,9,2)),)</f>
        <v>44562</v>
      </c>
      <c r="B45" s="56" t="str">
        <f>Transactions!$C45</f>
        <v>3</v>
      </c>
      <c r="C45" s="51" t="str">
        <f t="array" ref="C45">IFERROR(INDEX(Portfolio!$B:$B, MATCH($B45, Portfolio!$A:$A, 0)),Transactions!$B45)</f>
        <v>Paclone</v>
      </c>
      <c r="D45" s="51">
        <f>IF($B45&lt;&gt;"",Transactions!$E45*1,)</f>
        <v>3.45</v>
      </c>
      <c r="E45" s="51">
        <f>IF($B45&lt;&gt;"",Transactions!$F45*1,)</f>
        <v>3.45</v>
      </c>
      <c r="F45" s="42" t="str">
        <f>IF(Transactions!$G45&lt;&gt;"",Transactions!$H45&amp;" "&amp;Transactions!$G45,)</f>
        <v/>
      </c>
    </row>
    <row r="46">
      <c r="A46" s="55">
        <f>IF(Transactions!$B46&lt;&gt;"",DATE(LEFT(Transactions!$B46,4),MID(Transactions!$B46,6,2),MID(Transactions!$B46,9,2)),)</f>
        <v>44562</v>
      </c>
      <c r="B46" s="56" t="str">
        <f>Transactions!$C46</f>
        <v>5</v>
      </c>
      <c r="C46" s="51" t="str">
        <f t="array" ref="C46">IFERROR(INDEX(Portfolio!$B:$B, MATCH($B46, Portfolio!$A:$A, 0)),Transactions!$B46)</f>
        <v>Lizzz</v>
      </c>
      <c r="D46" s="51">
        <f>IF($B46&lt;&gt;"",Transactions!$E46*1,)</f>
        <v>31.14</v>
      </c>
      <c r="E46" s="51">
        <f>IF($B46&lt;&gt;"",Transactions!$F46*1,)</f>
        <v>31.14</v>
      </c>
      <c r="F46" s="42" t="str">
        <f>IF(Transactions!$G46&lt;&gt;"",Transactions!$H46&amp;" "&amp;Transactions!$G46,)</f>
        <v/>
      </c>
    </row>
    <row r="47">
      <c r="A47" s="55">
        <f>IF(Transactions!$B47&lt;&gt;"",DATE(LEFT(Transactions!$B47,4),MID(Transactions!$B47,6,2),MID(Transactions!$B47,9,2)),)</f>
        <v>44562</v>
      </c>
      <c r="B47" s="56" t="str">
        <f>Transactions!$C47</f>
        <v>2</v>
      </c>
      <c r="C47" s="51" t="str">
        <f t="array" ref="C47">IFERROR(INDEX(Portfolio!$B:$B, MATCH($B47, Portfolio!$A:$A, 0)),Transactions!$B47)</f>
        <v>Bloopsy</v>
      </c>
      <c r="D47" s="51">
        <f>IF($B47&lt;&gt;"",Transactions!$E47*1,)</f>
        <v>301.61</v>
      </c>
      <c r="E47" s="51">
        <f>IF($B47&lt;&gt;"",Transactions!$F47*1,)</f>
        <v>301.61</v>
      </c>
      <c r="F47" s="42" t="str">
        <f>IF(Transactions!$G47&lt;&gt;"",Transactions!$H47&amp;" "&amp;Transactions!$G47,)</f>
        <v/>
      </c>
    </row>
    <row r="48">
      <c r="A48" s="55">
        <f>IF(Transactions!$B48&lt;&gt;"",DATE(LEFT(Transactions!$B48,4),MID(Transactions!$B48,6,2),MID(Transactions!$B48,9,2)),)</f>
        <v>44562</v>
      </c>
      <c r="B48" s="56" t="str">
        <f>Transactions!$C48</f>
        <v>6</v>
      </c>
      <c r="C48" s="51" t="str">
        <f t="array" ref="C48">IFERROR(INDEX(Portfolio!$B:$B, MATCH($B48, Portfolio!$A:$A, 0)),Transactions!$B48)</f>
        <v>Joséd</v>
      </c>
      <c r="D48" s="51">
        <f>IF($B48&lt;&gt;"",Transactions!$E48*1,)</f>
        <v>31.14</v>
      </c>
      <c r="E48" s="51">
        <f>IF($B48&lt;&gt;"",Transactions!$F48*1,)</f>
        <v>31.14</v>
      </c>
      <c r="F48" s="42" t="str">
        <f>IF(Transactions!$G48&lt;&gt;"",Transactions!$H48&amp;" "&amp;Transactions!$G48,)</f>
        <v/>
      </c>
    </row>
    <row r="49">
      <c r="A49" s="55">
        <f>IF(Transactions!$B49&lt;&gt;"",DATE(LEFT(Transactions!$B49,4),MID(Transactions!$B49,6,2),MID(Transactions!$B49,9,2)),)</f>
        <v>44292</v>
      </c>
      <c r="B49" s="56" t="str">
        <f>Transactions!$C49</f>
        <v>2</v>
      </c>
      <c r="C49" s="51" t="str">
        <f t="array" ref="C49">IFERROR(INDEX(Portfolio!$B:$B, MATCH($B49, Portfolio!$A:$A, 0)),Transactions!$B49)</f>
        <v>Bloopsy</v>
      </c>
      <c r="D49" s="51">
        <f>IF($B49&lt;&gt;"",Transactions!$E49*1,)</f>
        <v>-1000</v>
      </c>
      <c r="E49" s="51">
        <f>IF($B49&lt;&gt;"",Transactions!$F49*1,)</f>
        <v>0</v>
      </c>
      <c r="F49" s="42" t="str">
        <f>IF(Transactions!$G49&lt;&gt;"",Transactions!$H49&amp;" "&amp;Transactions!$G49,)</f>
        <v/>
      </c>
    </row>
    <row r="50">
      <c r="A50" s="55">
        <f>IF(Transactions!$B50&lt;&gt;"",DATE(LEFT(Transactions!$B50,4),MID(Transactions!$B50,6,2),MID(Transactions!$B50,9,2)),)</f>
        <v>44291</v>
      </c>
      <c r="B50" s="56" t="str">
        <f>Transactions!$C50</f>
        <v>2</v>
      </c>
      <c r="C50" s="51" t="str">
        <f t="array" ref="C50">IFERROR(INDEX(Portfolio!$B:$B, MATCH($B50, Portfolio!$A:$A, 0)),Transactions!$B50)</f>
        <v>Bloopsy</v>
      </c>
      <c r="D50" s="51">
        <f>IF($B50&lt;&gt;"",Transactions!$E50*1,)</f>
        <v>-1000</v>
      </c>
      <c r="E50" s="51">
        <f>IF($B50&lt;&gt;"",Transactions!$F50*1,)</f>
        <v>0</v>
      </c>
      <c r="F50" s="42" t="str">
        <f>IF(Transactions!$G50&lt;&gt;"",Transactions!$H50&amp;" "&amp;Transactions!$G50,)</f>
        <v/>
      </c>
    </row>
    <row r="51">
      <c r="A51" s="55">
        <f>IF(Transactions!$B51&lt;&gt;"",DATE(LEFT(Transactions!$B51,4),MID(Transactions!$B51,6,2),MID(Transactions!$B51,9,2)),)</f>
        <v>44280</v>
      </c>
      <c r="B51" s="56" t="str">
        <f>Transactions!$C51</f>
        <v>4</v>
      </c>
      <c r="C51" s="51" t="str">
        <f t="array" ref="C51">IFERROR(INDEX(Portfolio!$B:$B, MATCH($B51, Portfolio!$A:$A, 0)),Transactions!$B51)</f>
        <v>Philo</v>
      </c>
      <c r="D51" s="51">
        <f>IF($B51&lt;&gt;"",Transactions!$E51*1,)</f>
        <v>40000</v>
      </c>
      <c r="E51" s="51">
        <f>IF($B51&lt;&gt;"",Transactions!$F51*1,)</f>
        <v>0</v>
      </c>
      <c r="F51" s="42" t="str">
        <f>IF(Transactions!$G51&lt;&gt;"",Transactions!$H51&amp;" "&amp;Transactions!$G51,)</f>
        <v/>
      </c>
    </row>
    <row r="52">
      <c r="A52" s="55">
        <f>IF(Transactions!$B52&lt;&gt;"",DATE(LEFT(Transactions!$B52,4),MID(Transactions!$B52,6,2),MID(Transactions!$B52,9,2)),)</f>
        <v>44270</v>
      </c>
      <c r="B52" s="56" t="str">
        <f>Transactions!$C52</f>
        <v>7</v>
      </c>
      <c r="C52" s="51" t="str">
        <f t="array" ref="C52">IFERROR(INDEX(Portfolio!$B:$B, MATCH($B52, Portfolio!$A:$A, 0)),Transactions!$B52)</f>
        <v>CyrilleV</v>
      </c>
      <c r="D52" s="51">
        <f>IF($B52&lt;&gt;"",Transactions!$E52*1,)</f>
        <v>5000</v>
      </c>
      <c r="E52" s="51">
        <f>IF($B52&lt;&gt;"",Transactions!$F52*1,)</f>
        <v>0</v>
      </c>
      <c r="F52" s="42" t="str">
        <f>IF(Transactions!$G52&lt;&gt;"",Transactions!$H52&amp;" "&amp;Transactions!$G52,)</f>
        <v/>
      </c>
    </row>
    <row r="53">
      <c r="A53" s="55">
        <f>IF(Transactions!$B53&lt;&gt;"",DATE(LEFT(Transactions!$B53,4),MID(Transactions!$B53,6,2),MID(Transactions!$B53,9,2)),)</f>
        <v>44261</v>
      </c>
      <c r="B53" s="56" t="str">
        <f>Transactions!$C53</f>
        <v>2</v>
      </c>
      <c r="C53" s="51" t="str">
        <f t="array" ref="C53">IFERROR(INDEX(Portfolio!$B:$B, MATCH($B53, Portfolio!$A:$A, 0)),Transactions!$B53)</f>
        <v>Bloopsy</v>
      </c>
      <c r="D53" s="51">
        <f>IF($B53&lt;&gt;"",Transactions!$E53*1,)</f>
        <v>-1000</v>
      </c>
      <c r="E53" s="51">
        <f>IF($B53&lt;&gt;"",Transactions!$F53*1,)</f>
        <v>0</v>
      </c>
      <c r="F53" s="42" t="str">
        <f>IF(Transactions!$G53&lt;&gt;"",Transactions!$H53&amp;" "&amp;Transactions!$G53,)</f>
        <v/>
      </c>
    </row>
    <row r="54">
      <c r="A54" s="55">
        <f>IF(Transactions!$B54&lt;&gt;"",DATE(LEFT(Transactions!$B54,4),MID(Transactions!$B54,6,2),MID(Transactions!$B54,9,2)),)</f>
        <v>44238</v>
      </c>
      <c r="B54" s="56" t="str">
        <f>Transactions!$C54</f>
        <v>2</v>
      </c>
      <c r="C54" s="51" t="str">
        <f t="array" ref="C54">IFERROR(INDEX(Portfolio!$B:$B, MATCH($B54, Portfolio!$A:$A, 0)),Transactions!$B54)</f>
        <v>Bloopsy</v>
      </c>
      <c r="D54" s="51">
        <f>IF($B54&lt;&gt;"",Transactions!$E54*1,)</f>
        <v>-1400</v>
      </c>
      <c r="E54" s="51">
        <f>IF($B54&lt;&gt;"",Transactions!$F54*1,)</f>
        <v>-2.8</v>
      </c>
      <c r="F54" s="42" t="str">
        <f>IF(Transactions!$G54&lt;&gt;"",Transactions!$H54&amp;" "&amp;Transactions!$G54,)</f>
        <v/>
      </c>
    </row>
    <row r="55">
      <c r="A55" s="55">
        <f>IF(Transactions!$B55&lt;&gt;"",DATE(LEFT(Transactions!$B55,4),MID(Transactions!$B55,6,2),MID(Transactions!$B55,9,2)),)</f>
        <v>44233</v>
      </c>
      <c r="B55" s="56" t="str">
        <f>Transactions!$C55</f>
        <v>2</v>
      </c>
      <c r="C55" s="51" t="str">
        <f t="array" ref="C55">IFERROR(INDEX(Portfolio!$B:$B, MATCH($B55, Portfolio!$A:$A, 0)),Transactions!$B55)</f>
        <v>Bloopsy</v>
      </c>
      <c r="D55" s="51">
        <f>IF($B55&lt;&gt;"",Transactions!$E55*1,)</f>
        <v>-1000</v>
      </c>
      <c r="E55" s="51">
        <f>IF($B55&lt;&gt;"",Transactions!$F55*1,)</f>
        <v>0</v>
      </c>
      <c r="F55" s="42" t="str">
        <f>IF(Transactions!$G55&lt;&gt;"",Transactions!$H55&amp;" "&amp;Transactions!$G55,)</f>
        <v/>
      </c>
    </row>
    <row r="56">
      <c r="A56" s="55">
        <f>IF(Transactions!$B56&lt;&gt;"",DATE(LEFT(Transactions!$B56,4),MID(Transactions!$B56,6,2),MID(Transactions!$B56,9,2)),)</f>
        <v>44227</v>
      </c>
      <c r="B56" s="56" t="str">
        <f>Transactions!$C56</f>
        <v>2</v>
      </c>
      <c r="C56" s="51" t="str">
        <f t="array" ref="C56">IFERROR(INDEX(Portfolio!$B:$B, MATCH($B56, Portfolio!$A:$A, 0)),Transactions!$B56)</f>
        <v>Bloopsy</v>
      </c>
      <c r="D56" s="51">
        <f>IF($B56&lt;&gt;"",Transactions!$E56*1,)</f>
        <v>187.62</v>
      </c>
      <c r="E56" s="51">
        <f>IF($B56&lt;&gt;"",Transactions!$F56*1,)</f>
        <v>187.62</v>
      </c>
      <c r="F56" s="42" t="str">
        <f>IF(Transactions!$G56&lt;&gt;"",Transactions!$H56&amp;" "&amp;Transactions!$G56,)</f>
        <v/>
      </c>
    </row>
    <row r="57">
      <c r="A57" s="55">
        <f>IF(Transactions!$B57&lt;&gt;"",DATE(LEFT(Transactions!$B57,4),MID(Transactions!$B57,6,2),MID(Transactions!$B57,9,2)),)</f>
        <v>44227</v>
      </c>
      <c r="B57" s="56" t="str">
        <f>Transactions!$C57</f>
        <v>4</v>
      </c>
      <c r="C57" s="51" t="str">
        <f t="array" ref="C57">IFERROR(INDEX(Portfolio!$B:$B, MATCH($B57, Portfolio!$A:$A, 0)),Transactions!$B57)</f>
        <v>Philo</v>
      </c>
      <c r="D57" s="51">
        <f>IF($B57&lt;&gt;"",Transactions!$E57*1,)</f>
        <v>6.87</v>
      </c>
      <c r="E57" s="51">
        <f>IF($B57&lt;&gt;"",Transactions!$F57*1,)</f>
        <v>6.87</v>
      </c>
      <c r="F57" s="42" t="str">
        <f>IF(Transactions!$G57&lt;&gt;"",Transactions!$H57&amp;" "&amp;Transactions!$G57,)</f>
        <v/>
      </c>
    </row>
    <row r="58">
      <c r="A58" s="55">
        <f>IF(Transactions!$B58&lt;&gt;"",DATE(LEFT(Transactions!$B58,4),MID(Transactions!$B58,6,2),MID(Transactions!$B58,9,2)),)</f>
        <v>44225</v>
      </c>
      <c r="B58" s="56" t="str">
        <f>Transactions!$C58</f>
        <v>2</v>
      </c>
      <c r="C58" s="51" t="str">
        <f t="array" ref="C58">IFERROR(INDEX(Portfolio!$B:$B, MATCH($B58, Portfolio!$A:$A, 0)),Transactions!$B58)</f>
        <v>Bloopsy</v>
      </c>
      <c r="D58" s="51">
        <f>IF($B58&lt;&gt;"",Transactions!$E58*1,)</f>
        <v>27500</v>
      </c>
      <c r="E58" s="51">
        <f>IF($B58&lt;&gt;"",Transactions!$F58*1,)</f>
        <v>0</v>
      </c>
      <c r="F58" s="42" t="str">
        <f>IF(Transactions!$G58&lt;&gt;"",Transactions!$H58&amp;" "&amp;Transactions!$G58,)</f>
        <v/>
      </c>
    </row>
    <row r="59">
      <c r="A59" s="55">
        <f>IF(Transactions!$B59&lt;&gt;"",DATE(LEFT(Transactions!$B59,4),MID(Transactions!$B59,6,2),MID(Transactions!$B59,9,2)),)</f>
        <v>44202</v>
      </c>
      <c r="B59" s="56" t="str">
        <f>Transactions!$C59</f>
        <v>2</v>
      </c>
      <c r="C59" s="51" t="str">
        <f t="array" ref="C59">IFERROR(INDEX(Portfolio!$B:$B, MATCH($B59, Portfolio!$A:$A, 0)),Transactions!$B59)</f>
        <v>Bloopsy</v>
      </c>
      <c r="D59" s="51">
        <f>IF($B59&lt;&gt;"",Transactions!$E59*1,)</f>
        <v>-1000</v>
      </c>
      <c r="E59" s="51">
        <f>IF($B59&lt;&gt;"",Transactions!$F59*1,)</f>
        <v>0</v>
      </c>
      <c r="F59" s="42" t="str">
        <f>IF(Transactions!$G59&lt;&gt;"",Transactions!$H59&amp;" "&amp;Transactions!$G59,)</f>
        <v/>
      </c>
    </row>
    <row r="60">
      <c r="A60" s="55">
        <f>IF(Transactions!$B60&lt;&gt;"",DATE(LEFT(Transactions!$B60,4),MID(Transactions!$B60,6,2),MID(Transactions!$B60,9,2)),)</f>
        <v>44170</v>
      </c>
      <c r="B60" s="56" t="str">
        <f>Transactions!$C60</f>
        <v>2</v>
      </c>
      <c r="C60" s="51" t="str">
        <f t="array" ref="C60">IFERROR(INDEX(Portfolio!$B:$B, MATCH($B60, Portfolio!$A:$A, 0)),Transactions!$B60)</f>
        <v>Bloopsy</v>
      </c>
      <c r="D60" s="51">
        <f>IF($B60&lt;&gt;"",Transactions!$E60*1,)</f>
        <v>-1000</v>
      </c>
      <c r="E60" s="51">
        <f>IF($B60&lt;&gt;"",Transactions!$F60*1,)</f>
        <v>0</v>
      </c>
      <c r="F60" s="42" t="str">
        <f>IF(Transactions!$G60&lt;&gt;"",Transactions!$H60&amp;" "&amp;Transactions!$G60,)</f>
        <v/>
      </c>
    </row>
    <row r="61">
      <c r="A61" s="55">
        <f>IF(Transactions!$B61&lt;&gt;"",DATE(LEFT(Transactions!$B61,4),MID(Transactions!$B61,6,2),MID(Transactions!$B61,9,2)),)</f>
        <v>44170</v>
      </c>
      <c r="B61" s="56" t="str">
        <f>Transactions!$C61</f>
        <v>2</v>
      </c>
      <c r="C61" s="51" t="str">
        <f t="array" ref="C61">IFERROR(INDEX(Portfolio!$B:$B, MATCH($B61, Portfolio!$A:$A, 0)),Transactions!$B61)</f>
        <v>Bloopsy</v>
      </c>
      <c r="D61" s="51">
        <f>IF($B61&lt;&gt;"",Transactions!$E61*1,)</f>
        <v>-3000</v>
      </c>
      <c r="E61" s="51">
        <f>IF($B61&lt;&gt;"",Transactions!$F61*1,)</f>
        <v>0</v>
      </c>
      <c r="F61" s="42" t="str">
        <f>IF(Transactions!$G61&lt;&gt;"",Transactions!$H61&amp;" "&amp;Transactions!$G61,)</f>
        <v/>
      </c>
    </row>
    <row r="62">
      <c r="A62" s="55">
        <f>IF(Transactions!$B62&lt;&gt;"",DATE(LEFT(Transactions!$B62,4),MID(Transactions!$B62,6,2),MID(Transactions!$B62,9,2)),)</f>
        <v>44170</v>
      </c>
      <c r="B62" s="56" t="str">
        <f>Transactions!$C62</f>
        <v>2</v>
      </c>
      <c r="C62" s="51" t="str">
        <f t="array" ref="C62">IFERROR(INDEX(Portfolio!$B:$B, MATCH($B62, Portfolio!$A:$A, 0)),Transactions!$B62)</f>
        <v>Bloopsy</v>
      </c>
      <c r="D62" s="51">
        <f>IF($B62&lt;&gt;"",Transactions!$E62*1,)</f>
        <v>-1500</v>
      </c>
      <c r="E62" s="51">
        <f>IF($B62&lt;&gt;"",Transactions!$F62*1,)</f>
        <v>0</v>
      </c>
      <c r="F62" s="42" t="str">
        <f>IF(Transactions!$G62&lt;&gt;"",Transactions!$H62&amp;" "&amp;Transactions!$G62,)</f>
        <v/>
      </c>
    </row>
    <row r="63">
      <c r="A63" s="55">
        <f>IF(Transactions!$B63&lt;&gt;"",DATE(LEFT(Transactions!$B63,4),MID(Transactions!$B63,6,2),MID(Transactions!$B63,9,2)),)</f>
        <v>44162</v>
      </c>
      <c r="B63" s="56" t="str">
        <f>Transactions!$C63</f>
        <v>6</v>
      </c>
      <c r="C63" s="51" t="str">
        <f t="array" ref="C63">IFERROR(INDEX(Portfolio!$B:$B, MATCH($B63, Portfolio!$A:$A, 0)),Transactions!$B63)</f>
        <v>Joséd</v>
      </c>
      <c r="D63" s="51">
        <f>IF($B63&lt;&gt;"",Transactions!$E63*1,)</f>
        <v>4999</v>
      </c>
      <c r="E63" s="51">
        <f>IF($B63&lt;&gt;"",Transactions!$F63*1,)</f>
        <v>0</v>
      </c>
      <c r="F63" s="42" t="str">
        <f>IF(Transactions!$G63&lt;&gt;"",Transactions!$H63&amp;" "&amp;Transactions!$G63,)</f>
        <v/>
      </c>
    </row>
    <row r="64">
      <c r="A64" s="55">
        <f>IF(Transactions!$B64&lt;&gt;"",DATE(LEFT(Transactions!$B64,4),MID(Transactions!$B64,6,2),MID(Transactions!$B64,9,2)),)</f>
        <v>44162</v>
      </c>
      <c r="B64" s="56" t="str">
        <f>Transactions!$C64</f>
        <v>5</v>
      </c>
      <c r="C64" s="51" t="str">
        <f t="array" ref="C64">IFERROR(INDEX(Portfolio!$B:$B, MATCH($B64, Portfolio!$A:$A, 0)),Transactions!$B64)</f>
        <v>Lizzz</v>
      </c>
      <c r="D64" s="51">
        <f>IF($B64&lt;&gt;"",Transactions!$E64*1,)</f>
        <v>4999</v>
      </c>
      <c r="E64" s="51">
        <f>IF($B64&lt;&gt;"",Transactions!$F64*1,)</f>
        <v>0</v>
      </c>
      <c r="F64" s="42" t="str">
        <f>IF(Transactions!$G64&lt;&gt;"",Transactions!$H64&amp;" "&amp;Transactions!$G64,)</f>
        <v/>
      </c>
    </row>
    <row r="65">
      <c r="A65" s="55">
        <f>IF(Transactions!$B65&lt;&gt;"",DATE(LEFT(Transactions!$B65,4),MID(Transactions!$B65,6,2),MID(Transactions!$B65,9,2)),)</f>
        <v>44158</v>
      </c>
      <c r="B65" s="56" t="str">
        <f>Transactions!$C65</f>
        <v>3</v>
      </c>
      <c r="C65" s="51" t="str">
        <f t="array" ref="C65">IFERROR(INDEX(Portfolio!$B:$B, MATCH($B65, Portfolio!$A:$A, 0)),Transactions!$B65)</f>
        <v>Paclone</v>
      </c>
      <c r="D65" s="51">
        <f>IF($B65&lt;&gt;"",Transactions!$E65*1,)</f>
        <v>100</v>
      </c>
      <c r="E65" s="51">
        <f>IF($B65&lt;&gt;"",Transactions!$F65*1,)</f>
        <v>0</v>
      </c>
      <c r="F65" s="42" t="str">
        <f>IF(Transactions!$G65&lt;&gt;"",Transactions!$H65&amp;" "&amp;Transactions!$G65,)</f>
        <v/>
      </c>
    </row>
    <row r="66">
      <c r="A66" s="55">
        <f>IF(Transactions!$B66&lt;&gt;"",DATE(LEFT(Transactions!$B66,4),MID(Transactions!$B66,6,2),MID(Transactions!$B66,9,2)),)</f>
        <v>44140</v>
      </c>
      <c r="B66" s="56" t="str">
        <f>Transactions!$C66</f>
        <v>2</v>
      </c>
      <c r="C66" s="51" t="str">
        <f t="array" ref="C66">IFERROR(INDEX(Portfolio!$B:$B, MATCH($B66, Portfolio!$A:$A, 0)),Transactions!$B66)</f>
        <v>Bloopsy</v>
      </c>
      <c r="D66" s="51">
        <f>IF($B66&lt;&gt;"",Transactions!$E66*1,)</f>
        <v>-1000</v>
      </c>
      <c r="E66" s="51">
        <f>IF($B66&lt;&gt;"",Transactions!$F66*1,)</f>
        <v>0</v>
      </c>
      <c r="F66" s="42" t="str">
        <f>IF(Transactions!$G66&lt;&gt;"",Transactions!$H66&amp;" "&amp;Transactions!$G66,)</f>
        <v/>
      </c>
    </row>
    <row r="67">
      <c r="A67" s="55">
        <f>IF(Transactions!$B67&lt;&gt;"",DATE(LEFT(Transactions!$B67,4),MID(Transactions!$B67,6,2),MID(Transactions!$B67,9,2)),)</f>
        <v>44131</v>
      </c>
      <c r="B67" s="56" t="str">
        <f>Transactions!$C67</f>
        <v>3</v>
      </c>
      <c r="C67" s="51" t="str">
        <f t="array" ref="C67">IFERROR(INDEX(Portfolio!$B:$B, MATCH($B67, Portfolio!$A:$A, 0)),Transactions!$B67)</f>
        <v>Paclone</v>
      </c>
      <c r="D67" s="51">
        <f>IF($B67&lt;&gt;"",Transactions!$E67*1,)</f>
        <v>100</v>
      </c>
      <c r="E67" s="51">
        <f>IF($B67&lt;&gt;"",Transactions!$F67*1,)</f>
        <v>0</v>
      </c>
      <c r="F67" s="42" t="str">
        <f>IF(Transactions!$G67&lt;&gt;"",Transactions!$H67&amp;" "&amp;Transactions!$G67,)</f>
        <v/>
      </c>
    </row>
    <row r="68">
      <c r="A68" s="55">
        <f>IF(Transactions!$B68&lt;&gt;"",DATE(LEFT(Transactions!$B68,4),MID(Transactions!$B68,6,2),MID(Transactions!$B68,9,2)),)</f>
        <v>44116</v>
      </c>
      <c r="B68" s="56" t="str">
        <f>Transactions!$C68</f>
        <v>3</v>
      </c>
      <c r="C68" s="51" t="str">
        <f t="array" ref="C68">IFERROR(INDEX(Portfolio!$B:$B, MATCH($B68, Portfolio!$A:$A, 0)),Transactions!$B68)</f>
        <v>Paclone</v>
      </c>
      <c r="D68" s="51">
        <f>IF($B68&lt;&gt;"",Transactions!$E68*1,)</f>
        <v>100</v>
      </c>
      <c r="E68" s="51">
        <f>IF($B68&lt;&gt;"",Transactions!$F68*1,)</f>
        <v>0</v>
      </c>
      <c r="F68" s="42" t="str">
        <f>IF(Transactions!$G68&lt;&gt;"",Transactions!$H68&amp;" "&amp;Transactions!$G68,)</f>
        <v/>
      </c>
    </row>
    <row r="69">
      <c r="A69" s="55">
        <f>IF(Transactions!$B69&lt;&gt;"",DATE(LEFT(Transactions!$B69,4),MID(Transactions!$B69,6,2),MID(Transactions!$B69,9,2)),)</f>
        <v>44115</v>
      </c>
      <c r="B69" s="56" t="str">
        <f>Transactions!$C69</f>
        <v>2</v>
      </c>
      <c r="C69" s="51" t="str">
        <f t="array" ref="C69">IFERROR(INDEX(Portfolio!$B:$B, MATCH($B69, Portfolio!$A:$A, 0)),Transactions!$B69)</f>
        <v>Bloopsy</v>
      </c>
      <c r="D69" s="51">
        <f>IF($B69&lt;&gt;"",Transactions!$E69*1,)</f>
        <v>-300</v>
      </c>
      <c r="E69" s="51">
        <f>IF($B69&lt;&gt;"",Transactions!$F69*1,)</f>
        <v>0</v>
      </c>
      <c r="F69" s="42" t="str">
        <f>IF(Transactions!$G69&lt;&gt;"",Transactions!$H69&amp;" "&amp;Transactions!$G69,)</f>
        <v/>
      </c>
    </row>
    <row r="70">
      <c r="A70" s="55">
        <f>IF(Transactions!$B70&lt;&gt;"",DATE(LEFT(Transactions!$B70,4),MID(Transactions!$B70,6,2),MID(Transactions!$B70,9,2)),)</f>
        <v>44092</v>
      </c>
      <c r="B70" s="56" t="str">
        <f>Transactions!$C70</f>
        <v>4</v>
      </c>
      <c r="C70" s="51" t="str">
        <f t="array" ref="C70">IFERROR(INDEX(Portfolio!$B:$B, MATCH($B70, Portfolio!$A:$A, 0)),Transactions!$B70)</f>
        <v>Philo</v>
      </c>
      <c r="D70" s="51">
        <f>IF($B70&lt;&gt;"",Transactions!$E70*1,)</f>
        <v>40000</v>
      </c>
      <c r="E70" s="51">
        <f>IF($B70&lt;&gt;"",Transactions!$F70*1,)</f>
        <v>0</v>
      </c>
      <c r="F70" s="42" t="str">
        <f>IF(Transactions!$G70&lt;&gt;"",Transactions!$H70&amp;" "&amp;Transactions!$G70,)</f>
        <v/>
      </c>
    </row>
    <row r="71">
      <c r="A71" s="55">
        <f>IF(Transactions!$B71&lt;&gt;"",DATE(LEFT(Transactions!$B71,4),MID(Transactions!$B71,6,2),MID(Transactions!$B71,9,2)),)</f>
        <v>44091</v>
      </c>
      <c r="B71" s="56" t="str">
        <f>Transactions!$C71</f>
        <v>3</v>
      </c>
      <c r="C71" s="51" t="str">
        <f t="array" ref="C71">IFERROR(INDEX(Portfolio!$B:$B, MATCH($B71, Portfolio!$A:$A, 0)),Transactions!$B71)</f>
        <v>Paclone</v>
      </c>
      <c r="D71" s="51">
        <f>IF($B71&lt;&gt;"",Transactions!$E71*1,)</f>
        <v>100</v>
      </c>
      <c r="E71" s="51">
        <f>IF($B71&lt;&gt;"",Transactions!$F71*1,)</f>
        <v>0</v>
      </c>
      <c r="F71" s="42" t="str">
        <f>IF(Transactions!$G71&lt;&gt;"",Transactions!$H71&amp;" "&amp;Transactions!$G71,)</f>
        <v/>
      </c>
    </row>
    <row r="72">
      <c r="A72" s="55">
        <f>IF(Transactions!$B72&lt;&gt;"",DATE(LEFT(Transactions!$B72,4),MID(Transactions!$B72,6,2),MID(Transactions!$B72,9,2)),)</f>
        <v>44054</v>
      </c>
      <c r="B72" s="56" t="str">
        <f>Transactions!$C72</f>
        <v>2</v>
      </c>
      <c r="C72" s="51" t="str">
        <f t="array" ref="C72">IFERROR(INDEX(Portfolio!$B:$B, MATCH($B72, Portfolio!$A:$A, 0)),Transactions!$B72)</f>
        <v>Bloopsy</v>
      </c>
      <c r="D72" s="51">
        <f>IF($B72&lt;&gt;"",Transactions!$E72*1,)</f>
        <v>-300</v>
      </c>
      <c r="E72" s="51">
        <f>IF($B72&lt;&gt;"",Transactions!$F72*1,)</f>
        <v>0</v>
      </c>
      <c r="F72" s="42" t="str">
        <f>IF(Transactions!$G72&lt;&gt;"",Transactions!$H72&amp;" "&amp;Transactions!$G72,)</f>
        <v/>
      </c>
    </row>
    <row r="73">
      <c r="A73" s="55">
        <f>IF(Transactions!$B73&lt;&gt;"",DATE(LEFT(Transactions!$B73,4),MID(Transactions!$B73,6,2),MID(Transactions!$B73,9,2)),)</f>
        <v>44053</v>
      </c>
      <c r="B73" s="56" t="str">
        <f>Transactions!$C73</f>
        <v>2</v>
      </c>
      <c r="C73" s="51" t="str">
        <f t="array" ref="C73">IFERROR(INDEX(Portfolio!$B:$B, MATCH($B73, Portfolio!$A:$A, 0)),Transactions!$B73)</f>
        <v>Bloopsy</v>
      </c>
      <c r="D73" s="51">
        <f>IF($B73&lt;&gt;"",Transactions!$E73*1,)</f>
        <v>-300</v>
      </c>
      <c r="E73" s="51">
        <f>IF($B73&lt;&gt;"",Transactions!$F73*1,)</f>
        <v>0</v>
      </c>
      <c r="F73" s="42" t="str">
        <f>IF(Transactions!$G73&lt;&gt;"",Transactions!$H73&amp;" "&amp;Transactions!$G73,)</f>
        <v/>
      </c>
    </row>
    <row r="74">
      <c r="A74" s="55">
        <f>IF(Transactions!$B74&lt;&gt;"",DATE(LEFT(Transactions!$B74,4),MID(Transactions!$B74,6,2),MID(Transactions!$B74,9,2)),)</f>
        <v>44048</v>
      </c>
      <c r="B74" s="56" t="str">
        <f>Transactions!$C74</f>
        <v>2</v>
      </c>
      <c r="C74" s="51" t="str">
        <f t="array" ref="C74">IFERROR(INDEX(Portfolio!$B:$B, MATCH($B74, Portfolio!$A:$A, 0)),Transactions!$B74)</f>
        <v>Bloopsy</v>
      </c>
      <c r="D74" s="51">
        <f>IF($B74&lt;&gt;"",Transactions!$E74*1,)</f>
        <v>-1500</v>
      </c>
      <c r="E74" s="51">
        <f>IF($B74&lt;&gt;"",Transactions!$F74*1,)</f>
        <v>0</v>
      </c>
      <c r="F74" s="42" t="str">
        <f>IF(Transactions!$G74&lt;&gt;"",Transactions!$H74&amp;" "&amp;Transactions!$G74,)</f>
        <v/>
      </c>
    </row>
    <row r="75">
      <c r="A75" s="55">
        <f>IF(Transactions!$B75&lt;&gt;"",DATE(LEFT(Transactions!$B75,4),MID(Transactions!$B75,6,2),MID(Transactions!$B75,9,2)),)</f>
        <v>44046</v>
      </c>
      <c r="B75" s="56" t="str">
        <f>Transactions!$C75</f>
        <v>2</v>
      </c>
      <c r="C75" s="51" t="str">
        <f t="array" ref="C75">IFERROR(INDEX(Portfolio!$B:$B, MATCH($B75, Portfolio!$A:$A, 0)),Transactions!$B75)</f>
        <v>Bloopsy</v>
      </c>
      <c r="D75" s="51">
        <f>IF($B75&lt;&gt;"",Transactions!$E75*1,)</f>
        <v>-2200</v>
      </c>
      <c r="E75" s="51">
        <f>IF($B75&lt;&gt;"",Transactions!$F75*1,)</f>
        <v>0</v>
      </c>
      <c r="F75" s="42" t="str">
        <f>IF(Transactions!$G75&lt;&gt;"",Transactions!$H75&amp;" "&amp;Transactions!$G75,)</f>
        <v/>
      </c>
    </row>
    <row r="76">
      <c r="A76" s="55">
        <f>IF(Transactions!$B76&lt;&gt;"",DATE(LEFT(Transactions!$B76,4),MID(Transactions!$B76,6,2),MID(Transactions!$B76,9,2)),)</f>
        <v>44035</v>
      </c>
      <c r="B76" s="56" t="str">
        <f>Transactions!$C76</f>
        <v>2</v>
      </c>
      <c r="C76" s="51" t="str">
        <f t="array" ref="C76">IFERROR(INDEX(Portfolio!$B:$B, MATCH($B76, Portfolio!$A:$A, 0)),Transactions!$B76)</f>
        <v>Bloopsy</v>
      </c>
      <c r="D76" s="51">
        <f>IF($B76&lt;&gt;"",Transactions!$E76*1,)</f>
        <v>-500</v>
      </c>
      <c r="E76" s="51">
        <f>IF($B76&lt;&gt;"",Transactions!$F76*1,)</f>
        <v>0</v>
      </c>
      <c r="F76" s="42" t="str">
        <f>IF(Transactions!$G76&lt;&gt;"",Transactions!$H76&amp;" "&amp;Transactions!$G76,)</f>
        <v/>
      </c>
    </row>
    <row r="77">
      <c r="A77" s="55">
        <f>IF(Transactions!$B77&lt;&gt;"",DATE(LEFT(Transactions!$B77,4),MID(Transactions!$B77,6,2),MID(Transactions!$B77,9,2)),)</f>
        <v>44029</v>
      </c>
      <c r="B77" s="56" t="str">
        <f>Transactions!$C77</f>
        <v>2</v>
      </c>
      <c r="C77" s="51" t="str">
        <f t="array" ref="C77">IFERROR(INDEX(Portfolio!$B:$B, MATCH($B77, Portfolio!$A:$A, 0)),Transactions!$B77)</f>
        <v>Bloopsy</v>
      </c>
      <c r="D77" s="51">
        <f>IF($B77&lt;&gt;"",Transactions!$E77*1,)</f>
        <v>-300</v>
      </c>
      <c r="E77" s="51">
        <f>IF($B77&lt;&gt;"",Transactions!$F77*1,)</f>
        <v>0</v>
      </c>
      <c r="F77" s="42" t="str">
        <f>IF(Transactions!$G77&lt;&gt;"",Transactions!$H77&amp;" "&amp;Transactions!$G77,)</f>
        <v/>
      </c>
    </row>
    <row r="78">
      <c r="A78" s="55">
        <f>IF(Transactions!$B78&lt;&gt;"",DATE(LEFT(Transactions!$B78,4),MID(Transactions!$B78,6,2),MID(Transactions!$B78,9,2)),)</f>
        <v>44014</v>
      </c>
      <c r="B78" s="56" t="str">
        <f>Transactions!$C78</f>
        <v>2</v>
      </c>
      <c r="C78" s="51" t="str">
        <f t="array" ref="C78">IFERROR(INDEX(Portfolio!$B:$B, MATCH($B78, Portfolio!$A:$A, 0)),Transactions!$B78)</f>
        <v>Bloopsy</v>
      </c>
      <c r="D78" s="51">
        <f>IF($B78&lt;&gt;"",Transactions!$E78*1,)</f>
        <v>-300</v>
      </c>
      <c r="E78" s="51">
        <f>IF($B78&lt;&gt;"",Transactions!$F78*1,)</f>
        <v>0</v>
      </c>
      <c r="F78" s="42" t="str">
        <f>IF(Transactions!$G78&lt;&gt;"",Transactions!$H78&amp;" "&amp;Transactions!$G78,)</f>
        <v/>
      </c>
    </row>
    <row r="79">
      <c r="A79" s="55">
        <f>IF(Transactions!$B79&lt;&gt;"",DATE(LEFT(Transactions!$B79,4),MID(Transactions!$B79,6,2),MID(Transactions!$B79,9,2)),)</f>
        <v>44008</v>
      </c>
      <c r="B79" s="56" t="str">
        <f>Transactions!$C79</f>
        <v>2</v>
      </c>
      <c r="C79" s="51" t="str">
        <f t="array" ref="C79">IFERROR(INDEX(Portfolio!$B:$B, MATCH($B79, Portfolio!$A:$A, 0)),Transactions!$B79)</f>
        <v>Bloopsy</v>
      </c>
      <c r="D79" s="51">
        <f>IF($B79&lt;&gt;"",Transactions!$E79*1,)</f>
        <v>3000</v>
      </c>
      <c r="E79" s="51">
        <f>IF($B79&lt;&gt;"",Transactions!$F79*1,)</f>
        <v>0</v>
      </c>
      <c r="F79" s="42" t="str">
        <f>IF(Transactions!$G79&lt;&gt;"",Transactions!$H79&amp;" "&amp;Transactions!$G79,)</f>
        <v/>
      </c>
    </row>
    <row r="80">
      <c r="A80" s="55">
        <f>IF(Transactions!$B80&lt;&gt;"",DATE(LEFT(Transactions!$B80,4),MID(Transactions!$B80,6,2),MID(Transactions!$B80,9,2)),)</f>
        <v>43990</v>
      </c>
      <c r="B80" s="56" t="str">
        <f>Transactions!$C80</f>
        <v>2</v>
      </c>
      <c r="C80" s="51" t="str">
        <f t="array" ref="C80">IFERROR(INDEX(Portfolio!$B:$B, MATCH($B80, Portfolio!$A:$A, 0)),Transactions!$B80)</f>
        <v>Bloopsy</v>
      </c>
      <c r="D80" s="51">
        <f>IF($B80&lt;&gt;"",Transactions!$E80*1,)</f>
        <v>-300</v>
      </c>
      <c r="E80" s="51">
        <f>IF($B80&lt;&gt;"",Transactions!$F80*1,)</f>
        <v>0</v>
      </c>
      <c r="F80" s="42" t="str">
        <f>IF(Transactions!$G80&lt;&gt;"",Transactions!$H80&amp;" "&amp;Transactions!$G80,)</f>
        <v/>
      </c>
    </row>
    <row r="81">
      <c r="A81" s="55">
        <f>IF(Transactions!$B81&lt;&gt;"",DATE(LEFT(Transactions!$B81,4),MID(Transactions!$B81,6,2),MID(Transactions!$B81,9,2)),)</f>
        <v>43959</v>
      </c>
      <c r="B81" s="56" t="str">
        <f>Transactions!$C81</f>
        <v>2</v>
      </c>
      <c r="C81" s="51" t="str">
        <f t="array" ref="C81">IFERROR(INDEX(Portfolio!$B:$B, MATCH($B81, Portfolio!$A:$A, 0)),Transactions!$B81)</f>
        <v>Bloopsy</v>
      </c>
      <c r="D81" s="51">
        <f>IF($B81&lt;&gt;"",Transactions!$E81*1,)</f>
        <v>-300</v>
      </c>
      <c r="E81" s="51">
        <f>IF($B81&lt;&gt;"",Transactions!$F81*1,)</f>
        <v>0</v>
      </c>
      <c r="F81" s="42" t="str">
        <f>IF(Transactions!$G81&lt;&gt;"",Transactions!$H81&amp;" "&amp;Transactions!$G81,)</f>
        <v/>
      </c>
    </row>
    <row r="82">
      <c r="A82" s="55">
        <f>IF(Transactions!$B82&lt;&gt;"",DATE(LEFT(Transactions!$B82,4),MID(Transactions!$B82,6,2),MID(Transactions!$B82,9,2)),)</f>
        <v>43935</v>
      </c>
      <c r="B82" s="56" t="str">
        <f>Transactions!$C82</f>
        <v>2</v>
      </c>
      <c r="C82" s="51" t="str">
        <f t="array" ref="C82">IFERROR(INDEX(Portfolio!$B:$B, MATCH($B82, Portfolio!$A:$A, 0)),Transactions!$B82)</f>
        <v>Bloopsy</v>
      </c>
      <c r="D82" s="51">
        <f>IF($B82&lt;&gt;"",Transactions!$E82*1,)</f>
        <v>-300</v>
      </c>
      <c r="E82" s="51">
        <f>IF($B82&lt;&gt;"",Transactions!$F82*1,)</f>
        <v>0</v>
      </c>
      <c r="F82" s="42" t="str">
        <f>IF(Transactions!$G82&lt;&gt;"",Transactions!$H82&amp;" "&amp;Transactions!$G82,)</f>
        <v/>
      </c>
    </row>
    <row r="83">
      <c r="A83" s="55">
        <f>IF(Transactions!$B83&lt;&gt;"",DATE(LEFT(Transactions!$B83,4),MID(Transactions!$B83,6,2),MID(Transactions!$B83,9,2)),)</f>
        <v>43899</v>
      </c>
      <c r="B83" s="56" t="str">
        <f>Transactions!$C83</f>
        <v>2</v>
      </c>
      <c r="C83" s="51" t="str">
        <f t="array" ref="C83">IFERROR(INDEX(Portfolio!$B:$B, MATCH($B83, Portfolio!$A:$A, 0)),Transactions!$B83)</f>
        <v>Bloopsy</v>
      </c>
      <c r="D83" s="51">
        <f>IF($B83&lt;&gt;"",Transactions!$E83*1,)</f>
        <v>-300</v>
      </c>
      <c r="E83" s="51">
        <f>IF($B83&lt;&gt;"",Transactions!$F83*1,)</f>
        <v>0</v>
      </c>
      <c r="F83" s="42" t="str">
        <f>IF(Transactions!$G83&lt;&gt;"",Transactions!$H83&amp;" "&amp;Transactions!$G83,)</f>
        <v/>
      </c>
    </row>
    <row r="84">
      <c r="A84" s="55">
        <f>IF(Transactions!$B84&lt;&gt;"",DATE(LEFT(Transactions!$B84,4),MID(Transactions!$B84,6,2),MID(Transactions!$B84,9,2)),)</f>
        <v>43871</v>
      </c>
      <c r="B84" s="56" t="str">
        <f>Transactions!$C84</f>
        <v>3</v>
      </c>
      <c r="C84" s="51" t="str">
        <f t="array" ref="C84">IFERROR(INDEX(Portfolio!$B:$B, MATCH($B84, Portfolio!$A:$A, 0)),Transactions!$B84)</f>
        <v>Paclone</v>
      </c>
      <c r="D84" s="51">
        <f>IF($B84&lt;&gt;"",Transactions!$E84*1,)</f>
        <v>100</v>
      </c>
      <c r="E84" s="51">
        <f>IF($B84&lt;&gt;"",Transactions!$F84*1,)</f>
        <v>0</v>
      </c>
      <c r="F84" s="42" t="str">
        <f>IF(Transactions!$G84&lt;&gt;"",Transactions!$H84&amp;" "&amp;Transactions!$G84,)</f>
        <v/>
      </c>
    </row>
    <row r="85">
      <c r="A85" s="55">
        <f>IF(Transactions!$B85&lt;&gt;"",DATE(LEFT(Transactions!$B85,4),MID(Transactions!$B85,6,2),MID(Transactions!$B85,9,2)),)</f>
        <v>43850</v>
      </c>
      <c r="B85" s="56" t="str">
        <f>Transactions!$C85</f>
        <v>2</v>
      </c>
      <c r="C85" s="51" t="str">
        <f t="array" ref="C85">IFERROR(INDEX(Portfolio!$B:$B, MATCH($B85, Portfolio!$A:$A, 0)),Transactions!$B85)</f>
        <v>Bloopsy</v>
      </c>
      <c r="D85" s="51">
        <f>IF($B85&lt;&gt;"",Transactions!$E85*1,)</f>
        <v>-1000</v>
      </c>
      <c r="E85" s="51">
        <f>IF($B85&lt;&gt;"",Transactions!$F85*1,)</f>
        <v>0</v>
      </c>
      <c r="F85" s="42" t="str">
        <f>IF(Transactions!$G85&lt;&gt;"",Transactions!$H85&amp;" "&amp;Transactions!$G85,)</f>
        <v/>
      </c>
    </row>
    <row r="86">
      <c r="A86" s="55">
        <f>IF(Transactions!$B86&lt;&gt;"",DATE(LEFT(Transactions!$B86,4),MID(Transactions!$B86,6,2),MID(Transactions!$B86,9,2)),)</f>
        <v>43844</v>
      </c>
      <c r="B86" s="56" t="str">
        <f>Transactions!$C86</f>
        <v>2</v>
      </c>
      <c r="C86" s="51" t="str">
        <f t="array" ref="C86">IFERROR(INDEX(Portfolio!$B:$B, MATCH($B86, Portfolio!$A:$A, 0)),Transactions!$B86)</f>
        <v>Bloopsy</v>
      </c>
      <c r="D86" s="51">
        <f>IF($B86&lt;&gt;"",Transactions!$E86*1,)</f>
        <v>434.68</v>
      </c>
      <c r="E86" s="51">
        <f>IF($B86&lt;&gt;"",Transactions!$F86*1,)</f>
        <v>434.68</v>
      </c>
      <c r="F86" s="42" t="str">
        <f>IF(Transactions!$G86&lt;&gt;"",Transactions!$H86&amp;" "&amp;Transactions!$G86,)</f>
        <v/>
      </c>
    </row>
    <row r="87">
      <c r="A87" s="55">
        <f>IF(Transactions!$B87&lt;&gt;"",DATE(LEFT(Transactions!$B87,4),MID(Transactions!$B87,6,2),MID(Transactions!$B87,9,2)),)</f>
        <v>43804</v>
      </c>
      <c r="B87" s="56" t="str">
        <f>Transactions!$C87</f>
        <v>2</v>
      </c>
      <c r="C87" s="51" t="str">
        <f t="array" ref="C87">IFERROR(INDEX(Portfolio!$B:$B, MATCH($B87, Portfolio!$A:$A, 0)),Transactions!$B87)</f>
        <v>Bloopsy</v>
      </c>
      <c r="D87" s="51">
        <f>IF($B87&lt;&gt;"",Transactions!$E87*1,)</f>
        <v>-700</v>
      </c>
      <c r="E87" s="51">
        <f>IF($B87&lt;&gt;"",Transactions!$F87*1,)</f>
        <v>0</v>
      </c>
      <c r="F87" s="42" t="str">
        <f>IF(Transactions!$G87&lt;&gt;"",Transactions!$H87&amp;" "&amp;Transactions!$G87,)</f>
        <v/>
      </c>
    </row>
    <row r="88">
      <c r="A88" s="55">
        <f>IF(Transactions!$B88&lt;&gt;"",DATE(LEFT(Transactions!$B88,4),MID(Transactions!$B88,6,2),MID(Transactions!$B88,9,2)),)</f>
        <v>43775</v>
      </c>
      <c r="B88" s="56" t="str">
        <f>Transactions!$C88</f>
        <v>2</v>
      </c>
      <c r="C88" s="51" t="str">
        <f t="array" ref="C88">IFERROR(INDEX(Portfolio!$B:$B, MATCH($B88, Portfolio!$A:$A, 0)),Transactions!$B88)</f>
        <v>Bloopsy</v>
      </c>
      <c r="D88" s="51">
        <f>IF($B88&lt;&gt;"",Transactions!$E88*1,)</f>
        <v>-300</v>
      </c>
      <c r="E88" s="51">
        <f>IF($B88&lt;&gt;"",Transactions!$F88*1,)</f>
        <v>0</v>
      </c>
      <c r="F88" s="42" t="str">
        <f>IF(Transactions!$G88&lt;&gt;"",Transactions!$H88&amp;" "&amp;Transactions!$G88,)</f>
        <v/>
      </c>
    </row>
    <row r="89">
      <c r="A89" s="55">
        <f>IF(Transactions!$B89&lt;&gt;"",DATE(LEFT(Transactions!$B89,4),MID(Transactions!$B89,6,2),MID(Transactions!$B89,9,2)),)</f>
        <v>43756</v>
      </c>
      <c r="B89" s="56" t="str">
        <f>Transactions!$C89</f>
        <v>2</v>
      </c>
      <c r="C89" s="51" t="str">
        <f t="array" ref="C89">IFERROR(INDEX(Portfolio!$B:$B, MATCH($B89, Portfolio!$A:$A, 0)),Transactions!$B89)</f>
        <v>Bloopsy</v>
      </c>
      <c r="D89" s="51">
        <f>IF($B89&lt;&gt;"",Transactions!$E89*1,)</f>
        <v>-150</v>
      </c>
      <c r="E89" s="51">
        <f>IF($B89&lt;&gt;"",Transactions!$F89*1,)</f>
        <v>0</v>
      </c>
      <c r="F89" s="42" t="str">
        <f>IF(Transactions!$G89&lt;&gt;"",Transactions!$H89&amp;" "&amp;Transactions!$G89,)</f>
        <v/>
      </c>
    </row>
    <row r="90">
      <c r="A90" s="55">
        <f>IF(Transactions!$B90&lt;&gt;"",DATE(LEFT(Transactions!$B90,4),MID(Transactions!$B90,6,2),MID(Transactions!$B90,9,2)),)</f>
        <v>43706</v>
      </c>
      <c r="B90" s="56" t="str">
        <f>Transactions!$C90</f>
        <v>2</v>
      </c>
      <c r="C90" s="51" t="str">
        <f t="array" ref="C90">IFERROR(INDEX(Portfolio!$B:$B, MATCH($B90, Portfolio!$A:$A, 0)),Transactions!$B90)</f>
        <v>Bloopsy</v>
      </c>
      <c r="D90" s="51">
        <f>IF($B90&lt;&gt;"",Transactions!$E90*1,)</f>
        <v>-1000</v>
      </c>
      <c r="E90" s="51">
        <f>IF($B90&lt;&gt;"",Transactions!$F90*1,)</f>
        <v>0</v>
      </c>
      <c r="F90" s="42" t="str">
        <f>IF(Transactions!$G90&lt;&gt;"",Transactions!$H90&amp;" "&amp;Transactions!$G90,)</f>
        <v/>
      </c>
    </row>
    <row r="91">
      <c r="A91" s="55">
        <f>IF(Transactions!$B91&lt;&gt;"",DATE(LEFT(Transactions!$B91,4),MID(Transactions!$B91,6,2),MID(Transactions!$B91,9,2)),)</f>
        <v>43675</v>
      </c>
      <c r="B91" s="56" t="str">
        <f>Transactions!$C91</f>
        <v>3</v>
      </c>
      <c r="C91" s="51" t="str">
        <f t="array" ref="C91">IFERROR(INDEX(Portfolio!$B:$B, MATCH($B91, Portfolio!$A:$A, 0)),Transactions!$B91)</f>
        <v>Paclone</v>
      </c>
      <c r="D91" s="51">
        <f>IF($B91&lt;&gt;"",Transactions!$E91*1,)</f>
        <v>100</v>
      </c>
      <c r="E91" s="51">
        <f>IF($B91&lt;&gt;"",Transactions!$F91*1,)</f>
        <v>0</v>
      </c>
      <c r="F91" s="42" t="str">
        <f>IF(Transactions!$G91&lt;&gt;"",Transactions!$H91&amp;" "&amp;Transactions!$G91,)</f>
        <v/>
      </c>
    </row>
    <row r="92">
      <c r="A92" s="55">
        <f>IF(Transactions!$B92&lt;&gt;"",DATE(LEFT(Transactions!$B92,4),MID(Transactions!$B92,6,2),MID(Transactions!$B92,9,2)),)</f>
        <v>43601</v>
      </c>
      <c r="B92" s="56" t="str">
        <f>Transactions!$C92</f>
        <v>2</v>
      </c>
      <c r="C92" s="51" t="str">
        <f t="array" ref="C92">IFERROR(INDEX(Portfolio!$B:$B, MATCH($B92, Portfolio!$A:$A, 0)),Transactions!$B92)</f>
        <v>Bloopsy</v>
      </c>
      <c r="D92" s="51">
        <f>IF($B92&lt;&gt;"",Transactions!$E92*1,)</f>
        <v>-500</v>
      </c>
      <c r="E92" s="51">
        <f>IF($B92&lt;&gt;"",Transactions!$F92*1,)</f>
        <v>0</v>
      </c>
      <c r="F92" s="42" t="str">
        <f>IF(Transactions!$G92&lt;&gt;"",Transactions!$H92&amp;" "&amp;Transactions!$G92,)</f>
        <v/>
      </c>
    </row>
    <row r="93">
      <c r="A93" s="55">
        <f>IF(Transactions!$B93&lt;&gt;"",DATE(LEFT(Transactions!$B93,4),MID(Transactions!$B93,6,2),MID(Transactions!$B93,9,2)),)</f>
        <v>43474</v>
      </c>
      <c r="B93" s="56" t="str">
        <f>Transactions!$C93</f>
        <v>2</v>
      </c>
      <c r="C93" s="51" t="str">
        <f t="array" ref="C93">IFERROR(INDEX(Portfolio!$B:$B, MATCH($B93, Portfolio!$A:$A, 0)),Transactions!$B93)</f>
        <v>Bloopsy</v>
      </c>
      <c r="D93" s="51">
        <f>IF($B93&lt;&gt;"",Transactions!$E93*1,)</f>
        <v>-1000</v>
      </c>
      <c r="E93" s="51">
        <f>IF($B93&lt;&gt;"",Transactions!$F93*1,)</f>
        <v>0</v>
      </c>
      <c r="F93" s="42" t="str">
        <f>IF(Transactions!$G93&lt;&gt;"",Transactions!$H93&amp;" "&amp;Transactions!$G93,)</f>
        <v/>
      </c>
    </row>
    <row r="94">
      <c r="A94" s="55">
        <f>IF(Transactions!$B94&lt;&gt;"",DATE(LEFT(Transactions!$B94,4),MID(Transactions!$B94,6,2),MID(Transactions!$B94,9,2)),)</f>
        <v>43444</v>
      </c>
      <c r="B94" s="56" t="str">
        <f>Transactions!$C94</f>
        <v>2</v>
      </c>
      <c r="C94" s="51" t="str">
        <f t="array" ref="C94">IFERROR(INDEX(Portfolio!$B:$B, MATCH($B94, Portfolio!$A:$A, 0)),Transactions!$B94)</f>
        <v>Bloopsy</v>
      </c>
      <c r="D94" s="51">
        <f>IF($B94&lt;&gt;"",Transactions!$E94*1,)</f>
        <v>-1000</v>
      </c>
      <c r="E94" s="51">
        <f>IF($B94&lt;&gt;"",Transactions!$F94*1,)</f>
        <v>0</v>
      </c>
      <c r="F94" s="42" t="str">
        <f>IF(Transactions!$G94&lt;&gt;"",Transactions!$H94&amp;" "&amp;Transactions!$G94,)</f>
        <v/>
      </c>
    </row>
    <row r="95">
      <c r="A95" s="55">
        <f>IF(Transactions!$B95&lt;&gt;"",DATE(LEFT(Transactions!$B95,4),MID(Transactions!$B95,6,2),MID(Transactions!$B95,9,2)),)</f>
        <v>43395</v>
      </c>
      <c r="B95" s="56" t="str">
        <f>Transactions!$C95</f>
        <v>2</v>
      </c>
      <c r="C95" s="51" t="str">
        <f t="array" ref="C95">IFERROR(INDEX(Portfolio!$B:$B, MATCH($B95, Portfolio!$A:$A, 0)),Transactions!$B95)</f>
        <v>Bloopsy</v>
      </c>
      <c r="D95" s="51">
        <f>IF($B95&lt;&gt;"",Transactions!$E95*1,)</f>
        <v>7000</v>
      </c>
      <c r="E95" s="51">
        <f>IF($B95&lt;&gt;"",Transactions!$F95*1,)</f>
        <v>0</v>
      </c>
      <c r="F95" s="42" t="str">
        <f>IF(Transactions!$G95&lt;&gt;"",Transactions!$H95&amp;" "&amp;Transactions!$G95,)</f>
        <v/>
      </c>
    </row>
    <row r="96">
      <c r="A96" s="55">
        <f>IF(Transactions!$B96&lt;&gt;"",DATE(LEFT(Transactions!$B96,4),MID(Transactions!$B96,6,2),MID(Transactions!$B96,9,2)),)</f>
        <v>43068</v>
      </c>
      <c r="B96" s="56" t="str">
        <f>Transactions!$C96</f>
        <v>2</v>
      </c>
      <c r="C96" s="51" t="str">
        <f t="array" ref="C96">IFERROR(INDEX(Portfolio!$B:$B, MATCH($B96, Portfolio!$A:$A, 0)),Transactions!$B96)</f>
        <v>Bloopsy</v>
      </c>
      <c r="D96" s="51">
        <f>IF($B96&lt;&gt;"",Transactions!$E96*1,)</f>
        <v>10000</v>
      </c>
      <c r="E96" s="51">
        <f>IF($B96&lt;&gt;"",Transactions!$F96*1,)</f>
        <v>0</v>
      </c>
      <c r="F96" s="42" t="str">
        <f>IF(Transactions!$G96&lt;&gt;"",Transactions!$H96&amp;" "&amp;Transactions!$G96,)</f>
        <v/>
      </c>
    </row>
    <row r="97">
      <c r="A97" s="55" t="str">
        <f>IF(Transactions!$B97&lt;&gt;"",DATE(LEFT(Transactions!$B97,4),MID(Transactions!$B97,6,2),MID(Transactions!$B97,9,2)),)</f>
        <v/>
      </c>
      <c r="B97" s="56" t="str">
        <f>Transactions!$C97</f>
        <v/>
      </c>
      <c r="C97" s="51" t="str">
        <f t="array" ref="C97">IFERROR(INDEX(Portfolio!$B:$B, MATCH($B97, Portfolio!$A:$A, 0)),Transactions!$B97)</f>
        <v/>
      </c>
      <c r="D97" s="51" t="str">
        <f>IF($B97&lt;&gt;"",Transactions!$E97*1,)</f>
        <v/>
      </c>
      <c r="E97" s="51" t="str">
        <f>IF($B97&lt;&gt;"",Transactions!$F97*1,)</f>
        <v/>
      </c>
      <c r="F97" s="42" t="str">
        <f>IF(Transactions!$G97&lt;&gt;"",Transactions!$H97&amp;" "&amp;Transactions!$G97,)</f>
        <v/>
      </c>
    </row>
    <row r="98">
      <c r="A98" s="55" t="str">
        <f>IF(Transactions!$B98&lt;&gt;"",DATE(LEFT(Transactions!$B98,4),MID(Transactions!$B98,6,2),MID(Transactions!$B98,9,2)),)</f>
        <v/>
      </c>
      <c r="B98" s="56" t="str">
        <f>Transactions!$C98</f>
        <v/>
      </c>
      <c r="C98" s="51" t="str">
        <f t="array" ref="C98">IFERROR(INDEX(Portfolio!$B:$B, MATCH($B98, Portfolio!$A:$A, 0)),Transactions!$B98)</f>
        <v/>
      </c>
      <c r="D98" s="51" t="str">
        <f>IF($B98&lt;&gt;"",Transactions!$E98*1,)</f>
        <v/>
      </c>
      <c r="E98" s="51" t="str">
        <f>IF($B98&lt;&gt;"",Transactions!$F98*1,)</f>
        <v/>
      </c>
      <c r="F98" s="42" t="str">
        <f>IF(Transactions!$G98&lt;&gt;"",Transactions!$H98&amp;" "&amp;Transactions!$G98,)</f>
        <v/>
      </c>
    </row>
    <row r="99">
      <c r="A99" s="55" t="str">
        <f>IF(Transactions!$B99&lt;&gt;"",DATE(LEFT(Transactions!$B99,4),MID(Transactions!$B99,6,2),MID(Transactions!$B99,9,2)),)</f>
        <v/>
      </c>
      <c r="B99" s="56" t="str">
        <f>Transactions!$C99</f>
        <v/>
      </c>
      <c r="C99" s="51" t="str">
        <f t="array" ref="C99">IFERROR(INDEX(Portfolio!$B:$B, MATCH($B99, Portfolio!$A:$A, 0)),Transactions!$B99)</f>
        <v/>
      </c>
      <c r="D99" s="51" t="str">
        <f>IF($B99&lt;&gt;"",Transactions!$E99*1,)</f>
        <v/>
      </c>
      <c r="E99" s="51" t="str">
        <f>IF($B99&lt;&gt;"",Transactions!$F99*1,)</f>
        <v/>
      </c>
      <c r="F99" s="42" t="str">
        <f>IF(Transactions!$G99&lt;&gt;"",Transactions!$H99&amp;" "&amp;Transactions!$G99,)</f>
        <v/>
      </c>
    </row>
    <row r="100">
      <c r="A100" s="55" t="str">
        <f>IF(Transactions!$B100&lt;&gt;"",DATE(LEFT(Transactions!$B100,4),MID(Transactions!$B100,6,2),MID(Transactions!$B100,9,2)),)</f>
        <v/>
      </c>
      <c r="B100" s="56" t="str">
        <f>Transactions!$C100</f>
        <v/>
      </c>
      <c r="C100" s="51" t="str">
        <f t="array" ref="C100">IFERROR(INDEX(Portfolio!$B:$B, MATCH($B100, Portfolio!$A:$A, 0)),Transactions!$B100)</f>
        <v/>
      </c>
      <c r="D100" s="51" t="str">
        <f>IF($B100&lt;&gt;"",Transactions!$E100*1,)</f>
        <v/>
      </c>
      <c r="E100" s="51" t="str">
        <f>IF($B100&lt;&gt;"",Transactions!$F100*1,)</f>
        <v/>
      </c>
      <c r="F100" s="42" t="str">
        <f>IF(Transactions!$G100&lt;&gt;"",Transactions!$H100&amp;" "&amp;Transactions!$G100,)</f>
        <v/>
      </c>
    </row>
    <row r="101">
      <c r="A101" s="55" t="str">
        <f>IF(Transactions!$B101&lt;&gt;"",DATE(LEFT(Transactions!$B101,4),MID(Transactions!$B101,6,2),MID(Transactions!$B101,9,2)),)</f>
        <v/>
      </c>
      <c r="B101" s="56" t="str">
        <f>Transactions!$C101</f>
        <v/>
      </c>
      <c r="C101" s="51" t="str">
        <f t="array" ref="C101">IFERROR(INDEX(Portfolio!$B:$B, MATCH($B101, Portfolio!$A:$A, 0)),Transactions!$B101)</f>
        <v/>
      </c>
      <c r="D101" s="51" t="str">
        <f>IF($B101&lt;&gt;"",Transactions!$E101*1,)</f>
        <v/>
      </c>
      <c r="E101" s="51" t="str">
        <f>IF($B101&lt;&gt;"",Transactions!$F101*1,)</f>
        <v/>
      </c>
      <c r="F101" s="42" t="str">
        <f>IF(Transactions!$G101&lt;&gt;"",Transactions!$H101&amp;" "&amp;Transactions!$G101,)</f>
        <v/>
      </c>
    </row>
    <row r="102">
      <c r="A102" s="55" t="str">
        <f>IF(Transactions!$B102&lt;&gt;"",DATE(LEFT(Transactions!$B102,4),MID(Transactions!$B102,6,2),MID(Transactions!$B102,9,2)),)</f>
        <v/>
      </c>
      <c r="B102" s="56" t="str">
        <f>Transactions!$C102</f>
        <v/>
      </c>
      <c r="C102" s="51" t="str">
        <f t="array" ref="C102">IFERROR(INDEX(Portfolio!$B:$B, MATCH($B102, Portfolio!$A:$A, 0)),Transactions!$B102)</f>
        <v/>
      </c>
      <c r="D102" s="51" t="str">
        <f>IF($B102&lt;&gt;"",Transactions!$E102*1,)</f>
        <v/>
      </c>
      <c r="E102" s="51" t="str">
        <f>IF($B102&lt;&gt;"",Transactions!$F102*1,)</f>
        <v/>
      </c>
      <c r="F102" s="42" t="str">
        <f>IF(Transactions!$G102&lt;&gt;"",Transactions!$H102&amp;" "&amp;Transactions!$G102,)</f>
        <v/>
      </c>
    </row>
    <row r="103">
      <c r="A103" s="55" t="str">
        <f>IF(Transactions!$B103&lt;&gt;"",DATE(LEFT(Transactions!$B103,4),MID(Transactions!$B103,6,2),MID(Transactions!$B103,9,2)),)</f>
        <v/>
      </c>
      <c r="B103" s="56" t="str">
        <f>Transactions!$C103</f>
        <v/>
      </c>
      <c r="C103" s="51" t="str">
        <f t="array" ref="C103">IFERROR(INDEX(Portfolio!$B:$B, MATCH($B103, Portfolio!$A:$A, 0)),Transactions!$B103)</f>
        <v/>
      </c>
      <c r="D103" s="51" t="str">
        <f>IF($B103&lt;&gt;"",Transactions!$E103*1,)</f>
        <v/>
      </c>
      <c r="E103" s="51" t="str">
        <f>IF($B103&lt;&gt;"",Transactions!$F103*1,)</f>
        <v/>
      </c>
      <c r="F103" s="42" t="str">
        <f>IF(Transactions!$G103&lt;&gt;"",Transactions!$H103&amp;" "&amp;Transactions!$G103,)</f>
        <v/>
      </c>
    </row>
    <row r="104">
      <c r="A104" s="55" t="str">
        <f>IF(Transactions!$B104&lt;&gt;"",DATE(LEFT(Transactions!$B104,4),MID(Transactions!$B104,6,2),MID(Transactions!$B104,9,2)),)</f>
        <v/>
      </c>
      <c r="B104" s="56" t="str">
        <f>Transactions!$C104</f>
        <v/>
      </c>
      <c r="C104" s="51" t="str">
        <f t="array" ref="C104">IFERROR(INDEX(Portfolio!$B:$B, MATCH($B104, Portfolio!$A:$A, 0)),Transactions!$B104)</f>
        <v/>
      </c>
      <c r="D104" s="51" t="str">
        <f>IF($B104&lt;&gt;"",Transactions!$E104*1,)</f>
        <v/>
      </c>
      <c r="E104" s="51" t="str">
        <f>IF($B104&lt;&gt;"",Transactions!$F104*1,)</f>
        <v/>
      </c>
      <c r="F104" s="42" t="str">
        <f>IF(Transactions!$G104&lt;&gt;"",Transactions!$H104&amp;" "&amp;Transactions!$G104,)</f>
        <v/>
      </c>
    </row>
    <row r="105">
      <c r="A105" s="55" t="str">
        <f>IF(Transactions!$B105&lt;&gt;"",DATE(LEFT(Transactions!$B105,4),MID(Transactions!$B105,6,2),MID(Transactions!$B105,9,2)),)</f>
        <v/>
      </c>
      <c r="B105" s="56" t="str">
        <f>Transactions!$C105</f>
        <v/>
      </c>
      <c r="C105" s="51" t="str">
        <f t="array" ref="C105">IFERROR(INDEX(Portfolio!$B:$B, MATCH($B105, Portfolio!$A:$A, 0)),Transactions!$B105)</f>
        <v/>
      </c>
      <c r="D105" s="51" t="str">
        <f>IF($B105&lt;&gt;"",Transactions!$E105*1,)</f>
        <v/>
      </c>
      <c r="E105" s="51" t="str">
        <f>IF($B105&lt;&gt;"",Transactions!$F105*1,)</f>
        <v/>
      </c>
      <c r="F105" s="42" t="str">
        <f>IF(Transactions!$G105&lt;&gt;"",Transactions!$H105&amp;" "&amp;Transactions!$G105,)</f>
        <v/>
      </c>
    </row>
    <row r="106">
      <c r="A106" s="55" t="str">
        <f>IF(Transactions!$B106&lt;&gt;"",DATE(LEFT(Transactions!$B106,4),MID(Transactions!$B106,6,2),MID(Transactions!$B106,9,2)),)</f>
        <v/>
      </c>
      <c r="B106" s="56" t="str">
        <f>Transactions!$C106</f>
        <v/>
      </c>
      <c r="C106" s="51" t="str">
        <f t="array" ref="C106">IFERROR(INDEX(Portfolio!$B:$B, MATCH($B106, Portfolio!$A:$A, 0)),Transactions!$B106)</f>
        <v/>
      </c>
      <c r="D106" s="51" t="str">
        <f>IF($B106&lt;&gt;"",Transactions!$E106*1,)</f>
        <v/>
      </c>
      <c r="E106" s="51" t="str">
        <f>IF($B106&lt;&gt;"",Transactions!$F106*1,)</f>
        <v/>
      </c>
      <c r="F106" s="42" t="str">
        <f>IF(Transactions!$G106&lt;&gt;"",Transactions!$H106&amp;" "&amp;Transactions!$G106,)</f>
        <v/>
      </c>
    </row>
    <row r="107">
      <c r="A107" s="55" t="str">
        <f>IF(Transactions!$B107&lt;&gt;"",DATE(LEFT(Transactions!$B107,4),MID(Transactions!$B107,6,2),MID(Transactions!$B107,9,2)),)</f>
        <v/>
      </c>
      <c r="B107" s="56" t="str">
        <f>Transactions!$C107</f>
        <v/>
      </c>
      <c r="C107" s="51" t="str">
        <f t="array" ref="C107">IFERROR(INDEX(Portfolio!$B:$B, MATCH($B107, Portfolio!$A:$A, 0)),Transactions!$B107)</f>
        <v/>
      </c>
      <c r="D107" s="51" t="str">
        <f>IF($B107&lt;&gt;"",Transactions!$E107*1,)</f>
        <v/>
      </c>
      <c r="E107" s="51" t="str">
        <f>IF($B107&lt;&gt;"",Transactions!$F107*1,)</f>
        <v/>
      </c>
      <c r="F107" s="42" t="str">
        <f>IF(Transactions!$G107&lt;&gt;"",Transactions!$H107&amp;" "&amp;Transactions!$G107,)</f>
        <v/>
      </c>
    </row>
    <row r="108">
      <c r="A108" s="55" t="str">
        <f>IF(Transactions!$B108&lt;&gt;"",DATE(LEFT(Transactions!$B108,4),MID(Transactions!$B108,6,2),MID(Transactions!$B108,9,2)),)</f>
        <v/>
      </c>
      <c r="B108" s="56" t="str">
        <f>Transactions!$C108</f>
        <v/>
      </c>
      <c r="C108" s="51" t="str">
        <f t="array" ref="C108">IFERROR(INDEX(Portfolio!$B:$B, MATCH($B108, Portfolio!$A:$A, 0)),Transactions!$B108)</f>
        <v/>
      </c>
      <c r="D108" s="51" t="str">
        <f>IF($B108&lt;&gt;"",Transactions!$E108*1,)</f>
        <v/>
      </c>
      <c r="E108" s="51" t="str">
        <f>IF($B108&lt;&gt;"",Transactions!$F108*1,)</f>
        <v/>
      </c>
      <c r="F108" s="42" t="str">
        <f>IF(Transactions!$G108&lt;&gt;"",Transactions!$H108&amp;" "&amp;Transactions!$G108,)</f>
        <v/>
      </c>
    </row>
    <row r="109">
      <c r="A109" s="55" t="str">
        <f>IF(Transactions!$B109&lt;&gt;"",DATE(LEFT(Transactions!$B109,4),MID(Transactions!$B109,6,2),MID(Transactions!$B109,9,2)),)</f>
        <v/>
      </c>
      <c r="B109" s="56" t="str">
        <f>Transactions!$C109</f>
        <v/>
      </c>
      <c r="C109" s="51" t="str">
        <f t="array" ref="C109">IFERROR(INDEX(Portfolio!$B:$B, MATCH($B109, Portfolio!$A:$A, 0)),Transactions!$B109)</f>
        <v/>
      </c>
      <c r="D109" s="51" t="str">
        <f>IF($B109&lt;&gt;"",Transactions!$E109*1,)</f>
        <v/>
      </c>
      <c r="E109" s="51" t="str">
        <f>IF($B109&lt;&gt;"",Transactions!$F109*1,)</f>
        <v/>
      </c>
      <c r="F109" s="42" t="str">
        <f>IF(Transactions!$G109&lt;&gt;"",Transactions!$H109&amp;" "&amp;Transactions!$G109,)</f>
        <v/>
      </c>
    </row>
    <row r="110">
      <c r="A110" s="55" t="str">
        <f>IF(Transactions!$B110&lt;&gt;"",DATE(LEFT(Transactions!$B110,4),MID(Transactions!$B110,6,2),MID(Transactions!$B110,9,2)),)</f>
        <v/>
      </c>
      <c r="B110" s="56" t="str">
        <f>Transactions!$C110</f>
        <v/>
      </c>
      <c r="C110" s="51" t="str">
        <f t="array" ref="C110">IFERROR(INDEX(Portfolio!$B:$B, MATCH($B110, Portfolio!$A:$A, 0)),Transactions!$B110)</f>
        <v/>
      </c>
      <c r="D110" s="51" t="str">
        <f>IF($B110&lt;&gt;"",Transactions!$E110*1,)</f>
        <v/>
      </c>
      <c r="E110" s="51" t="str">
        <f>IF($B110&lt;&gt;"",Transactions!$F110*1,)</f>
        <v/>
      </c>
      <c r="F110" s="42" t="str">
        <f>IF(Transactions!$G110&lt;&gt;"",Transactions!$H110&amp;" "&amp;Transactions!$G110,)</f>
        <v/>
      </c>
    </row>
    <row r="111">
      <c r="A111" s="55" t="str">
        <f>IF(Transactions!$B111&lt;&gt;"",DATE(LEFT(Transactions!$B111,4),MID(Transactions!$B111,6,2),MID(Transactions!$B111,9,2)),)</f>
        <v/>
      </c>
      <c r="B111" s="56" t="str">
        <f>Transactions!$C111</f>
        <v/>
      </c>
      <c r="C111" s="51" t="str">
        <f t="array" ref="C111">IFERROR(INDEX(Portfolio!$B:$B, MATCH($B111, Portfolio!$A:$A, 0)),Transactions!$B111)</f>
        <v/>
      </c>
      <c r="D111" s="51" t="str">
        <f>IF($B111&lt;&gt;"",Transactions!$E111*1,)</f>
        <v/>
      </c>
      <c r="E111" s="51" t="str">
        <f>IF($B111&lt;&gt;"",Transactions!$F111*1,)</f>
        <v/>
      </c>
      <c r="F111" s="42" t="str">
        <f>IF(Transactions!$G111&lt;&gt;"",Transactions!$H111&amp;" "&amp;Transactions!$G111,)</f>
        <v/>
      </c>
    </row>
    <row r="112">
      <c r="A112" s="55" t="str">
        <f>IF(Transactions!$B112&lt;&gt;"",DATE(LEFT(Transactions!$B112,4),MID(Transactions!$B112,6,2),MID(Transactions!$B112,9,2)),)</f>
        <v/>
      </c>
      <c r="B112" s="56" t="str">
        <f>Transactions!$C112</f>
        <v/>
      </c>
      <c r="C112" s="51" t="str">
        <f t="array" ref="C112">IFERROR(INDEX(Portfolio!$B:$B, MATCH($B112, Portfolio!$A:$A, 0)),Transactions!$B112)</f>
        <v/>
      </c>
      <c r="D112" s="51" t="str">
        <f>IF($B112&lt;&gt;"",Transactions!$E112*1,)</f>
        <v/>
      </c>
      <c r="E112" s="51" t="str">
        <f>IF($B112&lt;&gt;"",Transactions!$F112*1,)</f>
        <v/>
      </c>
      <c r="F112" s="42" t="str">
        <f>IF(Transactions!$G112&lt;&gt;"",Transactions!$H112&amp;" "&amp;Transactions!$G112,)</f>
        <v/>
      </c>
    </row>
    <row r="113">
      <c r="A113" s="55" t="str">
        <f>IF(Transactions!$B113&lt;&gt;"",DATE(LEFT(Transactions!$B113,4),MID(Transactions!$B113,6,2),MID(Transactions!$B113,9,2)),)</f>
        <v/>
      </c>
      <c r="B113" s="56" t="str">
        <f>Transactions!$C113</f>
        <v/>
      </c>
      <c r="C113" s="51" t="str">
        <f t="array" ref="C113">IFERROR(INDEX(Portfolio!$B:$B, MATCH($B113, Portfolio!$A:$A, 0)),Transactions!$B113)</f>
        <v/>
      </c>
      <c r="D113" s="51" t="str">
        <f>IF($B113&lt;&gt;"",Transactions!$E113*1,)</f>
        <v/>
      </c>
      <c r="E113" s="51" t="str">
        <f>IF($B113&lt;&gt;"",Transactions!$F113*1,)</f>
        <v/>
      </c>
      <c r="F113" s="42" t="str">
        <f>IF(Transactions!$G113&lt;&gt;"",Transactions!$H113&amp;" "&amp;Transactions!$G113,)</f>
        <v/>
      </c>
    </row>
    <row r="114">
      <c r="A114" s="55" t="str">
        <f>IF(Transactions!$B114&lt;&gt;"",DATE(LEFT(Transactions!$B114,4),MID(Transactions!$B114,6,2),MID(Transactions!$B114,9,2)),)</f>
        <v/>
      </c>
      <c r="B114" s="56" t="str">
        <f>Transactions!$C114</f>
        <v/>
      </c>
      <c r="C114" s="51" t="str">
        <f t="array" ref="C114">IFERROR(INDEX(Portfolio!$B:$B, MATCH($B114, Portfolio!$A:$A, 0)),Transactions!$B114)</f>
        <v/>
      </c>
      <c r="D114" s="51" t="str">
        <f>IF($B114&lt;&gt;"",Transactions!$E114*1,)</f>
        <v/>
      </c>
      <c r="E114" s="51" t="str">
        <f>IF($B114&lt;&gt;"",Transactions!$F114*1,)</f>
        <v/>
      </c>
      <c r="F114" s="42" t="str">
        <f>IF(Transactions!$G114&lt;&gt;"",Transactions!$H114&amp;" "&amp;Transactions!$G114,)</f>
        <v/>
      </c>
    </row>
    <row r="115">
      <c r="A115" s="55" t="str">
        <f>IF(Transactions!$B115&lt;&gt;"",DATE(LEFT(Transactions!$B115,4),MID(Transactions!$B115,6,2),MID(Transactions!$B115,9,2)),)</f>
        <v/>
      </c>
      <c r="B115" s="56" t="str">
        <f>Transactions!$C115</f>
        <v/>
      </c>
      <c r="C115" s="51" t="str">
        <f t="array" ref="C115">IFERROR(INDEX(Portfolio!$B:$B, MATCH($B115, Portfolio!$A:$A, 0)),Transactions!$B115)</f>
        <v/>
      </c>
      <c r="D115" s="51" t="str">
        <f>IF($B115&lt;&gt;"",Transactions!$E115*1,)</f>
        <v/>
      </c>
      <c r="E115" s="51" t="str">
        <f>IF($B115&lt;&gt;"",Transactions!$F115*1,)</f>
        <v/>
      </c>
      <c r="F115" s="42" t="str">
        <f>IF(Transactions!$G115&lt;&gt;"",Transactions!$H115&amp;" "&amp;Transactions!$G115,)</f>
        <v/>
      </c>
    </row>
    <row r="116">
      <c r="A116" s="55" t="str">
        <f>IF(Transactions!$B116&lt;&gt;"",DATE(LEFT(Transactions!$B116,4),MID(Transactions!$B116,6,2),MID(Transactions!$B116,9,2)),)</f>
        <v/>
      </c>
      <c r="B116" s="56" t="str">
        <f>Transactions!$C116</f>
        <v/>
      </c>
      <c r="C116" s="51" t="str">
        <f t="array" ref="C116">IFERROR(INDEX(Portfolio!$B:$B, MATCH($B116, Portfolio!$A:$A, 0)),Transactions!$B116)</f>
        <v/>
      </c>
      <c r="D116" s="51" t="str">
        <f>IF($B116&lt;&gt;"",Transactions!$E116*1,)</f>
        <v/>
      </c>
      <c r="E116" s="51" t="str">
        <f>IF($B116&lt;&gt;"",Transactions!$F116*1,)</f>
        <v/>
      </c>
      <c r="F116" s="42" t="str">
        <f>IF(Transactions!$G116&lt;&gt;"",Transactions!$H116&amp;" "&amp;Transactions!$G116,)</f>
        <v/>
      </c>
    </row>
    <row r="117">
      <c r="A117" s="55" t="str">
        <f>IF(Transactions!$B117&lt;&gt;"",DATE(LEFT(Transactions!$B117,4),MID(Transactions!$B117,6,2),MID(Transactions!$B117,9,2)),)</f>
        <v/>
      </c>
      <c r="B117" s="56" t="str">
        <f>Transactions!$C117</f>
        <v/>
      </c>
      <c r="C117" s="51" t="str">
        <f t="array" ref="C117">IFERROR(INDEX(Portfolio!$B:$B, MATCH($B117, Portfolio!$A:$A, 0)),Transactions!$B117)</f>
        <v/>
      </c>
      <c r="D117" s="51" t="str">
        <f>IF($B117&lt;&gt;"",Transactions!$E117*1,)</f>
        <v/>
      </c>
      <c r="E117" s="51" t="str">
        <f>IF($B117&lt;&gt;"",Transactions!$F117*1,)</f>
        <v/>
      </c>
      <c r="F117" s="42" t="str">
        <f>IF(Transactions!$G117&lt;&gt;"",Transactions!$H117&amp;" "&amp;Transactions!$G117,)</f>
        <v/>
      </c>
    </row>
    <row r="118">
      <c r="A118" s="55" t="str">
        <f>IF(Transactions!$B118&lt;&gt;"",DATE(LEFT(Transactions!$B118,4),MID(Transactions!$B118,6,2),MID(Transactions!$B118,9,2)),)</f>
        <v/>
      </c>
      <c r="B118" s="56" t="str">
        <f>Transactions!$C118</f>
        <v/>
      </c>
      <c r="C118" s="51" t="str">
        <f t="array" ref="C118">IFERROR(INDEX(Portfolio!$B:$B, MATCH($B118, Portfolio!$A:$A, 0)),Transactions!$B118)</f>
        <v/>
      </c>
      <c r="D118" s="51" t="str">
        <f>IF($B118&lt;&gt;"",Transactions!$E118*1,)</f>
        <v/>
      </c>
      <c r="E118" s="51" t="str">
        <f>IF($B118&lt;&gt;"",Transactions!$F118*1,)</f>
        <v/>
      </c>
      <c r="F118" s="42" t="str">
        <f>IF(Transactions!$G118&lt;&gt;"",Transactions!$H118&amp;" "&amp;Transactions!$G118,)</f>
        <v/>
      </c>
    </row>
    <row r="119">
      <c r="A119" s="55" t="str">
        <f>IF(Transactions!$B119&lt;&gt;"",DATE(LEFT(Transactions!$B119,4),MID(Transactions!$B119,6,2),MID(Transactions!$B119,9,2)),)</f>
        <v/>
      </c>
      <c r="B119" s="56" t="str">
        <f>Transactions!$C119</f>
        <v/>
      </c>
      <c r="C119" s="51" t="str">
        <f t="array" ref="C119">IFERROR(INDEX(Portfolio!$B:$B, MATCH($B119, Portfolio!$A:$A, 0)),Transactions!$B119)</f>
        <v/>
      </c>
      <c r="D119" s="51" t="str">
        <f>IF($B119&lt;&gt;"",Transactions!$E119*1,)</f>
        <v/>
      </c>
      <c r="E119" s="51" t="str">
        <f>IF($B119&lt;&gt;"",Transactions!$F119*1,)</f>
        <v/>
      </c>
      <c r="F119" s="42" t="str">
        <f>IF(Transactions!$G119&lt;&gt;"",Transactions!$H119&amp;" "&amp;Transactions!$G119,)</f>
        <v/>
      </c>
    </row>
    <row r="120">
      <c r="A120" s="55" t="str">
        <f>IF(Transactions!$B120&lt;&gt;"",DATE(LEFT(Transactions!$B120,4),MID(Transactions!$B120,6,2),MID(Transactions!$B120,9,2)),)</f>
        <v/>
      </c>
      <c r="B120" s="56" t="str">
        <f>Transactions!$C120</f>
        <v/>
      </c>
      <c r="C120" s="51" t="str">
        <f t="array" ref="C120">IFERROR(INDEX(Portfolio!$B:$B, MATCH($B120, Portfolio!$A:$A, 0)),Transactions!$B120)</f>
        <v/>
      </c>
      <c r="D120" s="51" t="str">
        <f>IF($B120&lt;&gt;"",Transactions!$E120*1,)</f>
        <v/>
      </c>
      <c r="E120" s="51" t="str">
        <f>IF($B120&lt;&gt;"",Transactions!$F120*1,)</f>
        <v/>
      </c>
      <c r="F120" s="42" t="str">
        <f>IF(Transactions!$G120&lt;&gt;"",Transactions!$H120&amp;" "&amp;Transactions!$G120,)</f>
        <v/>
      </c>
    </row>
    <row r="121">
      <c r="A121" s="55" t="str">
        <f>IF(Transactions!$B121&lt;&gt;"",DATE(LEFT(Transactions!$B121,4),MID(Transactions!$B121,6,2),MID(Transactions!$B121,9,2)),)</f>
        <v/>
      </c>
      <c r="B121" s="56" t="str">
        <f>Transactions!$C121</f>
        <v/>
      </c>
      <c r="C121" s="51" t="str">
        <f t="array" ref="C121">IFERROR(INDEX(Portfolio!$B:$B, MATCH($B121, Portfolio!$A:$A, 0)),Transactions!$B121)</f>
        <v/>
      </c>
      <c r="D121" s="51" t="str">
        <f>IF($B121&lt;&gt;"",Transactions!$E121*1,)</f>
        <v/>
      </c>
      <c r="E121" s="51" t="str">
        <f>IF($B121&lt;&gt;"",Transactions!$F121*1,)</f>
        <v/>
      </c>
      <c r="F121" s="42" t="str">
        <f>IF(Transactions!$G121&lt;&gt;"",Transactions!$H121&amp;" "&amp;Transactions!$G121,)</f>
        <v/>
      </c>
    </row>
    <row r="122">
      <c r="A122" s="55" t="str">
        <f>IF(Transactions!$B122&lt;&gt;"",DATE(LEFT(Transactions!$B122,4),MID(Transactions!$B122,6,2),MID(Transactions!$B122,9,2)),)</f>
        <v/>
      </c>
      <c r="B122" s="56" t="str">
        <f>Transactions!$C122</f>
        <v/>
      </c>
      <c r="C122" s="51" t="str">
        <f t="array" ref="C122">IFERROR(INDEX(Portfolio!$B:$B, MATCH($B122, Portfolio!$A:$A, 0)),Transactions!$B122)</f>
        <v/>
      </c>
      <c r="D122" s="51" t="str">
        <f>IF($B122&lt;&gt;"",Transactions!$E122*1,)</f>
        <v/>
      </c>
      <c r="E122" s="51" t="str">
        <f>IF($B122&lt;&gt;"",Transactions!$F122*1,)</f>
        <v/>
      </c>
      <c r="F122" s="42" t="str">
        <f>IF(Transactions!$G122&lt;&gt;"",Transactions!$H122&amp;" "&amp;Transactions!$G122,)</f>
        <v/>
      </c>
    </row>
    <row r="123">
      <c r="A123" s="55" t="str">
        <f>IF(Transactions!$B123&lt;&gt;"",DATE(LEFT(Transactions!$B123,4),MID(Transactions!$B123,6,2),MID(Transactions!$B123,9,2)),)</f>
        <v/>
      </c>
      <c r="B123" s="56" t="str">
        <f>Transactions!$C123</f>
        <v/>
      </c>
      <c r="C123" s="51" t="str">
        <f t="array" ref="C123">IFERROR(INDEX(Portfolio!$B:$B, MATCH($B123, Portfolio!$A:$A, 0)),Transactions!$B123)</f>
        <v/>
      </c>
      <c r="D123" s="51" t="str">
        <f>IF($B123&lt;&gt;"",Transactions!$E123*1,)</f>
        <v/>
      </c>
      <c r="E123" s="51" t="str">
        <f>IF($B123&lt;&gt;"",Transactions!$F123*1,)</f>
        <v/>
      </c>
      <c r="F123" s="42" t="str">
        <f>IF(Transactions!$G123&lt;&gt;"",Transactions!$H123&amp;" "&amp;Transactions!$G123,)</f>
        <v/>
      </c>
    </row>
    <row r="124">
      <c r="A124" s="55" t="str">
        <f>IF(Transactions!$B124&lt;&gt;"",DATE(LEFT(Transactions!$B124,4),MID(Transactions!$B124,6,2),MID(Transactions!$B124,9,2)),)</f>
        <v/>
      </c>
      <c r="B124" s="56" t="str">
        <f>Transactions!$C124</f>
        <v/>
      </c>
      <c r="C124" s="51" t="str">
        <f t="array" ref="C124">IFERROR(INDEX(Portfolio!$B:$B, MATCH($B124, Portfolio!$A:$A, 0)),Transactions!$B124)</f>
        <v/>
      </c>
      <c r="D124" s="51" t="str">
        <f>IF($B124&lt;&gt;"",Transactions!$E124*1,)</f>
        <v/>
      </c>
      <c r="E124" s="51" t="str">
        <f>IF($B124&lt;&gt;"",Transactions!$F124*1,)</f>
        <v/>
      </c>
      <c r="F124" s="42" t="str">
        <f>IF(Transactions!$G124&lt;&gt;"",Transactions!$H124&amp;" "&amp;Transactions!$G124,)</f>
        <v/>
      </c>
    </row>
    <row r="125">
      <c r="A125" s="55" t="str">
        <f>IF(Transactions!$B125&lt;&gt;"",DATE(LEFT(Transactions!$B125,4),MID(Transactions!$B125,6,2),MID(Transactions!$B125,9,2)),)</f>
        <v/>
      </c>
      <c r="B125" s="56" t="str">
        <f>Transactions!$C125</f>
        <v/>
      </c>
      <c r="C125" s="51" t="str">
        <f t="array" ref="C125">IFERROR(INDEX(Portfolio!$B:$B, MATCH($B125, Portfolio!$A:$A, 0)),Transactions!$B125)</f>
        <v/>
      </c>
      <c r="D125" s="51" t="str">
        <f>IF($B125&lt;&gt;"",Transactions!$E125*1,)</f>
        <v/>
      </c>
      <c r="E125" s="51" t="str">
        <f>IF($B125&lt;&gt;"",Transactions!$F125*1,)</f>
        <v/>
      </c>
      <c r="F125" s="42" t="str">
        <f>IF(Transactions!$G125&lt;&gt;"",Transactions!$H125&amp;" "&amp;Transactions!$G125,)</f>
        <v/>
      </c>
    </row>
    <row r="126">
      <c r="A126" s="55" t="str">
        <f>IF(Transactions!$B126&lt;&gt;"",DATE(LEFT(Transactions!$B126,4),MID(Transactions!$B126,6,2),MID(Transactions!$B126,9,2)),)</f>
        <v/>
      </c>
      <c r="B126" s="56" t="str">
        <f>Transactions!$C126</f>
        <v/>
      </c>
      <c r="C126" s="51" t="str">
        <f t="array" ref="C126">IFERROR(INDEX(Portfolio!$B:$B, MATCH($B126, Portfolio!$A:$A, 0)),Transactions!$B126)</f>
        <v/>
      </c>
      <c r="D126" s="51" t="str">
        <f>IF($B126&lt;&gt;"",Transactions!$E126*1,)</f>
        <v/>
      </c>
      <c r="E126" s="51" t="str">
        <f>IF($B126&lt;&gt;"",Transactions!$F126*1,)</f>
        <v/>
      </c>
      <c r="F126" s="42" t="str">
        <f>IF(Transactions!$G126&lt;&gt;"",Transactions!$H126&amp;" "&amp;Transactions!$G126,)</f>
        <v/>
      </c>
    </row>
    <row r="127">
      <c r="A127" s="55" t="str">
        <f>IF(Transactions!$B127&lt;&gt;"",DATE(LEFT(Transactions!$B127,4),MID(Transactions!$B127,6,2),MID(Transactions!$B127,9,2)),)</f>
        <v/>
      </c>
      <c r="B127" s="56" t="str">
        <f>Transactions!$C127</f>
        <v/>
      </c>
      <c r="C127" s="51" t="str">
        <f t="array" ref="C127">IFERROR(INDEX(Portfolio!$B:$B, MATCH($B127, Portfolio!$A:$A, 0)),Transactions!$B127)</f>
        <v/>
      </c>
      <c r="D127" s="51" t="str">
        <f>IF($B127&lt;&gt;"",Transactions!$E127*1,)</f>
        <v/>
      </c>
      <c r="E127" s="51" t="str">
        <f>IF($B127&lt;&gt;"",Transactions!$F127*1,)</f>
        <v/>
      </c>
      <c r="F127" s="42" t="str">
        <f>IF(Transactions!$G127&lt;&gt;"",Transactions!$H127&amp;" "&amp;Transactions!$G127,)</f>
        <v/>
      </c>
    </row>
    <row r="128">
      <c r="A128" s="55" t="str">
        <f>IF(Transactions!$B128&lt;&gt;"",DATE(LEFT(Transactions!$B128,4),MID(Transactions!$B128,6,2),MID(Transactions!$B128,9,2)),)</f>
        <v/>
      </c>
      <c r="B128" s="56" t="str">
        <f>Transactions!$C128</f>
        <v/>
      </c>
      <c r="C128" s="51" t="str">
        <f t="array" ref="C128">IFERROR(INDEX(Portfolio!$B:$B, MATCH($B128, Portfolio!$A:$A, 0)),Transactions!$B128)</f>
        <v/>
      </c>
      <c r="D128" s="51" t="str">
        <f>IF($B128&lt;&gt;"",Transactions!$E128*1,)</f>
        <v/>
      </c>
      <c r="E128" s="51" t="str">
        <f>IF($B128&lt;&gt;"",Transactions!$F128*1,)</f>
        <v/>
      </c>
      <c r="F128" s="42" t="str">
        <f>IF(Transactions!$G128&lt;&gt;"",Transactions!$H128&amp;" "&amp;Transactions!$G128,)</f>
        <v/>
      </c>
    </row>
    <row r="129">
      <c r="A129" s="55" t="str">
        <f>IF(Transactions!$B129&lt;&gt;"",DATE(LEFT(Transactions!$B129,4),MID(Transactions!$B129,6,2),MID(Transactions!$B129,9,2)),)</f>
        <v/>
      </c>
      <c r="B129" s="56" t="str">
        <f>Transactions!$C129</f>
        <v/>
      </c>
      <c r="C129" s="51" t="str">
        <f t="array" ref="C129">IFERROR(INDEX(Portfolio!$B:$B, MATCH($B129, Portfolio!$A:$A, 0)),Transactions!$B129)</f>
        <v/>
      </c>
      <c r="D129" s="51" t="str">
        <f>IF($B129&lt;&gt;"",Transactions!$E129*1,)</f>
        <v/>
      </c>
      <c r="E129" s="51" t="str">
        <f>IF($B129&lt;&gt;"",Transactions!$F129*1,)</f>
        <v/>
      </c>
      <c r="F129" s="42" t="str">
        <f>IF(Transactions!$G129&lt;&gt;"",Transactions!$H129&amp;" "&amp;Transactions!$G129,)</f>
        <v/>
      </c>
    </row>
    <row r="130">
      <c r="A130" s="55" t="str">
        <f>IF(Transactions!$B130&lt;&gt;"",DATE(LEFT(Transactions!$B130,4),MID(Transactions!$B130,6,2),MID(Transactions!$B130,9,2)),)</f>
        <v/>
      </c>
      <c r="B130" s="56" t="str">
        <f>Transactions!$C130</f>
        <v/>
      </c>
      <c r="C130" s="51" t="str">
        <f t="array" ref="C130">IFERROR(INDEX(Portfolio!$B:$B, MATCH($B130, Portfolio!$A:$A, 0)),Transactions!$B130)</f>
        <v/>
      </c>
      <c r="D130" s="51" t="str">
        <f>IF($B130&lt;&gt;"",Transactions!$E130*1,)</f>
        <v/>
      </c>
      <c r="E130" s="51" t="str">
        <f>IF($B130&lt;&gt;"",Transactions!$F130*1,)</f>
        <v/>
      </c>
      <c r="F130" s="42" t="str">
        <f>IF(Transactions!$G130&lt;&gt;"",Transactions!$H130&amp;" "&amp;Transactions!$G130,)</f>
        <v/>
      </c>
    </row>
    <row r="131">
      <c r="A131" s="55" t="str">
        <f>IF(Transactions!$B131&lt;&gt;"",DATE(LEFT(Transactions!$B131,4),MID(Transactions!$B131,6,2),MID(Transactions!$B131,9,2)),)</f>
        <v/>
      </c>
      <c r="B131" s="56" t="str">
        <f>Transactions!$C131</f>
        <v/>
      </c>
      <c r="C131" s="51" t="str">
        <f t="array" ref="C131">IFERROR(INDEX(Portfolio!$B:$B, MATCH($B131, Portfolio!$A:$A, 0)),Transactions!$B131)</f>
        <v/>
      </c>
      <c r="D131" s="51" t="str">
        <f>IF($B131&lt;&gt;"",Transactions!$E131*1,)</f>
        <v/>
      </c>
      <c r="E131" s="51" t="str">
        <f>IF($B131&lt;&gt;"",Transactions!$F131*1,)</f>
        <v/>
      </c>
      <c r="F131" s="42" t="str">
        <f>IF(Transactions!$G131&lt;&gt;"",Transactions!$H131&amp;" "&amp;Transactions!$G131,)</f>
        <v/>
      </c>
    </row>
    <row r="132">
      <c r="A132" s="55" t="str">
        <f>IF(Transactions!$B132&lt;&gt;"",DATE(LEFT(Transactions!$B132,4),MID(Transactions!$B132,6,2),MID(Transactions!$B132,9,2)),)</f>
        <v/>
      </c>
      <c r="B132" s="56" t="str">
        <f>Transactions!$C132</f>
        <v/>
      </c>
      <c r="C132" s="51" t="str">
        <f t="array" ref="C132">IFERROR(INDEX(Portfolio!$B:$B, MATCH($B132, Portfolio!$A:$A, 0)),Transactions!$B132)</f>
        <v/>
      </c>
      <c r="D132" s="51" t="str">
        <f>IF($B132&lt;&gt;"",Transactions!$E132*1,)</f>
        <v/>
      </c>
      <c r="E132" s="51" t="str">
        <f>IF($B132&lt;&gt;"",Transactions!$F132*1,)</f>
        <v/>
      </c>
      <c r="F132" s="42" t="str">
        <f>IF(Transactions!$G132&lt;&gt;"",Transactions!$H132&amp;" "&amp;Transactions!$G132,)</f>
        <v/>
      </c>
    </row>
    <row r="133">
      <c r="A133" s="55" t="str">
        <f>IF(Transactions!$B133&lt;&gt;"",DATE(LEFT(Transactions!$B133,4),MID(Transactions!$B133,6,2),MID(Transactions!$B133,9,2)),)</f>
        <v/>
      </c>
      <c r="B133" s="56" t="str">
        <f>Transactions!$C133</f>
        <v/>
      </c>
      <c r="C133" s="51" t="str">
        <f t="array" ref="C133">IFERROR(INDEX(Portfolio!$B:$B, MATCH($B133, Portfolio!$A:$A, 0)),Transactions!$B133)</f>
        <v/>
      </c>
      <c r="D133" s="51" t="str">
        <f>IF($B133&lt;&gt;"",Transactions!$E133*1,)</f>
        <v/>
      </c>
      <c r="E133" s="51" t="str">
        <f>IF($B133&lt;&gt;"",Transactions!$F133*1,)</f>
        <v/>
      </c>
      <c r="F133" s="42" t="str">
        <f>IF(Transactions!$G133&lt;&gt;"",Transactions!$H133&amp;" "&amp;Transactions!$G133,)</f>
        <v/>
      </c>
    </row>
    <row r="134">
      <c r="A134" s="55" t="str">
        <f>IF(Transactions!$B134&lt;&gt;"",DATE(LEFT(Transactions!$B134,4),MID(Transactions!$B134,6,2),MID(Transactions!$B134,9,2)),)</f>
        <v/>
      </c>
      <c r="B134" s="56" t="str">
        <f>Transactions!$C134</f>
        <v/>
      </c>
      <c r="C134" s="51" t="str">
        <f t="array" ref="C134">IFERROR(INDEX(Portfolio!$B:$B, MATCH($B134, Portfolio!$A:$A, 0)),Transactions!$B134)</f>
        <v/>
      </c>
      <c r="D134" s="51" t="str">
        <f>IF($B134&lt;&gt;"",Transactions!$E134*1,)</f>
        <v/>
      </c>
      <c r="E134" s="51" t="str">
        <f>IF($B134&lt;&gt;"",Transactions!$F134*1,)</f>
        <v/>
      </c>
      <c r="F134" s="42" t="str">
        <f>IF(Transactions!$G134&lt;&gt;"",Transactions!$H134&amp;" "&amp;Transactions!$G134,)</f>
        <v/>
      </c>
    </row>
    <row r="135">
      <c r="A135" s="55" t="str">
        <f>IF(Transactions!$B135&lt;&gt;"",DATE(LEFT(Transactions!$B135,4),MID(Transactions!$B135,6,2),MID(Transactions!$B135,9,2)),)</f>
        <v/>
      </c>
      <c r="B135" s="56" t="str">
        <f>Transactions!$C135</f>
        <v/>
      </c>
      <c r="C135" s="51" t="str">
        <f t="array" ref="C135">IFERROR(INDEX(Portfolio!$B:$B, MATCH($B135, Portfolio!$A:$A, 0)),Transactions!$B135)</f>
        <v/>
      </c>
      <c r="D135" s="51" t="str">
        <f>IF($B135&lt;&gt;"",Transactions!$E135*1,)</f>
        <v/>
      </c>
      <c r="E135" s="51" t="str">
        <f>IF($B135&lt;&gt;"",Transactions!$F135*1,)</f>
        <v/>
      </c>
      <c r="F135" s="42" t="str">
        <f>IF(Transactions!$G135&lt;&gt;"",Transactions!$H135&amp;" "&amp;Transactions!$G135,)</f>
        <v/>
      </c>
    </row>
    <row r="136">
      <c r="A136" s="55" t="str">
        <f>IF(Transactions!$B136&lt;&gt;"",DATE(LEFT(Transactions!$B136,4),MID(Transactions!$B136,6,2),MID(Transactions!$B136,9,2)),)</f>
        <v/>
      </c>
      <c r="B136" s="56" t="str">
        <f>Transactions!$C136</f>
        <v/>
      </c>
      <c r="C136" s="51" t="str">
        <f t="array" ref="C136">IFERROR(INDEX(Portfolio!$B:$B, MATCH($B136, Portfolio!$A:$A, 0)),Transactions!$B136)</f>
        <v/>
      </c>
      <c r="D136" s="51" t="str">
        <f>IF($B136&lt;&gt;"",Transactions!$E136*1,)</f>
        <v/>
      </c>
      <c r="E136" s="51" t="str">
        <f>IF($B136&lt;&gt;"",Transactions!$F136*1,)</f>
        <v/>
      </c>
      <c r="F136" s="42" t="str">
        <f>IF(Transactions!$G136&lt;&gt;"",Transactions!$H136&amp;" "&amp;Transactions!$G136,)</f>
        <v/>
      </c>
    </row>
    <row r="137">
      <c r="A137" s="55" t="str">
        <f>IF(Transactions!$B137&lt;&gt;"",DATE(LEFT(Transactions!$B137,4),MID(Transactions!$B137,6,2),MID(Transactions!$B137,9,2)),)</f>
        <v/>
      </c>
      <c r="B137" s="56" t="str">
        <f>Transactions!$C137</f>
        <v/>
      </c>
      <c r="C137" s="51" t="str">
        <f t="array" ref="C137">IFERROR(INDEX(Portfolio!$B:$B, MATCH($B137, Portfolio!$A:$A, 0)),Transactions!$B137)</f>
        <v/>
      </c>
      <c r="D137" s="51" t="str">
        <f>IF($B137&lt;&gt;"",Transactions!$E137*1,)</f>
        <v/>
      </c>
      <c r="E137" s="51" t="str">
        <f>IF($B137&lt;&gt;"",Transactions!$F137*1,)</f>
        <v/>
      </c>
      <c r="F137" s="42" t="str">
        <f>IF(Transactions!$G137&lt;&gt;"",Transactions!$H137&amp;" "&amp;Transactions!$G137,)</f>
        <v/>
      </c>
    </row>
    <row r="138">
      <c r="A138" s="55" t="str">
        <f>IF(Transactions!$B138&lt;&gt;"",DATE(LEFT(Transactions!$B138,4),MID(Transactions!$B138,6,2),MID(Transactions!$B138,9,2)),)</f>
        <v/>
      </c>
      <c r="B138" s="56" t="str">
        <f>Transactions!$C138</f>
        <v/>
      </c>
      <c r="C138" s="51" t="str">
        <f t="array" ref="C138">IFERROR(INDEX(Portfolio!$B:$B, MATCH($B138, Portfolio!$A:$A, 0)),Transactions!$B138)</f>
        <v/>
      </c>
      <c r="D138" s="51" t="str">
        <f>IF($B138&lt;&gt;"",Transactions!$E138*1,)</f>
        <v/>
      </c>
      <c r="E138" s="51" t="str">
        <f>IF($B138&lt;&gt;"",Transactions!$F138*1,)</f>
        <v/>
      </c>
      <c r="F138" s="42" t="str">
        <f>IF(Transactions!$G138&lt;&gt;"",Transactions!$H138&amp;" "&amp;Transactions!$G138,)</f>
        <v/>
      </c>
    </row>
    <row r="139">
      <c r="A139" s="55" t="str">
        <f>IF(Transactions!$B139&lt;&gt;"",DATE(LEFT(Transactions!$B139,4),MID(Transactions!$B139,6,2),MID(Transactions!$B139,9,2)),)</f>
        <v/>
      </c>
      <c r="B139" s="56" t="str">
        <f>Transactions!$C139</f>
        <v/>
      </c>
      <c r="C139" s="51" t="str">
        <f t="array" ref="C139">IFERROR(INDEX(Portfolio!$B:$B, MATCH($B139, Portfolio!$A:$A, 0)),Transactions!$B139)</f>
        <v/>
      </c>
      <c r="D139" s="51" t="str">
        <f>IF($B139&lt;&gt;"",Transactions!$E139*1,)</f>
        <v/>
      </c>
      <c r="E139" s="51" t="str">
        <f>IF($B139&lt;&gt;"",Transactions!$F139*1,)</f>
        <v/>
      </c>
      <c r="F139" s="42" t="str">
        <f>IF(Transactions!$G139&lt;&gt;"",Transactions!$H139&amp;" "&amp;Transactions!$G139,)</f>
        <v/>
      </c>
    </row>
    <row r="140">
      <c r="A140" s="55" t="str">
        <f>IF(Transactions!$B140&lt;&gt;"",DATE(LEFT(Transactions!$B140,4),MID(Transactions!$B140,6,2),MID(Transactions!$B140,9,2)),)</f>
        <v/>
      </c>
      <c r="B140" s="56" t="str">
        <f>Transactions!$C140</f>
        <v/>
      </c>
      <c r="C140" s="51" t="str">
        <f t="array" ref="C140">IFERROR(INDEX(Portfolio!$B:$B, MATCH($B140, Portfolio!$A:$A, 0)),Transactions!$B140)</f>
        <v/>
      </c>
      <c r="D140" s="51" t="str">
        <f>IF($B140&lt;&gt;"",Transactions!$E140*1,)</f>
        <v/>
      </c>
      <c r="E140" s="51" t="str">
        <f>IF($B140&lt;&gt;"",Transactions!$F140*1,)</f>
        <v/>
      </c>
      <c r="F140" s="42" t="str">
        <f>IF(Transactions!$G140&lt;&gt;"",Transactions!$H140&amp;" "&amp;Transactions!$G140,)</f>
        <v/>
      </c>
    </row>
    <row r="141">
      <c r="A141" s="55" t="str">
        <f>IF(Transactions!$B141&lt;&gt;"",DATE(LEFT(Transactions!$B141,4),MID(Transactions!$B141,6,2),MID(Transactions!$B141,9,2)),)</f>
        <v/>
      </c>
      <c r="B141" s="56" t="str">
        <f>Transactions!$C141</f>
        <v/>
      </c>
      <c r="C141" s="51" t="str">
        <f t="array" ref="C141">IFERROR(INDEX(Portfolio!$B:$B, MATCH($B141, Portfolio!$A:$A, 0)),Transactions!$B141)</f>
        <v/>
      </c>
      <c r="D141" s="51" t="str">
        <f>IF($B141&lt;&gt;"",Transactions!$E141*1,)</f>
        <v/>
      </c>
      <c r="E141" s="51" t="str">
        <f>IF($B141&lt;&gt;"",Transactions!$F141*1,)</f>
        <v/>
      </c>
      <c r="F141" s="42" t="str">
        <f>IF(Transactions!$G141&lt;&gt;"",Transactions!$H141&amp;" "&amp;Transactions!$G141,)</f>
        <v/>
      </c>
    </row>
    <row r="142">
      <c r="A142" s="55" t="str">
        <f>IF(Transactions!$B142&lt;&gt;"",DATE(LEFT(Transactions!$B142,4),MID(Transactions!$B142,6,2),MID(Transactions!$B142,9,2)),)</f>
        <v/>
      </c>
      <c r="B142" s="56" t="str">
        <f>Transactions!$C142</f>
        <v/>
      </c>
      <c r="C142" s="51" t="str">
        <f t="array" ref="C142">IFERROR(INDEX(Portfolio!$B:$B, MATCH($B142, Portfolio!$A:$A, 0)),Transactions!$B142)</f>
        <v/>
      </c>
      <c r="D142" s="51" t="str">
        <f>IF($B142&lt;&gt;"",Transactions!$E142*1,)</f>
        <v/>
      </c>
      <c r="E142" s="51" t="str">
        <f>IF($B142&lt;&gt;"",Transactions!$F142*1,)</f>
        <v/>
      </c>
      <c r="F142" s="42" t="str">
        <f>IF(Transactions!$G142&lt;&gt;"",Transactions!$H142&amp;" "&amp;Transactions!$G142,)</f>
        <v/>
      </c>
    </row>
    <row r="143">
      <c r="A143" s="55" t="str">
        <f>IF(Transactions!$B143&lt;&gt;"",DATE(LEFT(Transactions!$B143,4),MID(Transactions!$B143,6,2),MID(Transactions!$B143,9,2)),)</f>
        <v/>
      </c>
      <c r="B143" s="56" t="str">
        <f>Transactions!$C143</f>
        <v/>
      </c>
      <c r="C143" s="51" t="str">
        <f t="array" ref="C143">IFERROR(INDEX(Portfolio!$B:$B, MATCH($B143, Portfolio!$A:$A, 0)),Transactions!$B143)</f>
        <v/>
      </c>
      <c r="D143" s="51" t="str">
        <f>IF($B143&lt;&gt;"",Transactions!$E143*1,)</f>
        <v/>
      </c>
      <c r="E143" s="51" t="str">
        <f>IF($B143&lt;&gt;"",Transactions!$F143*1,)</f>
        <v/>
      </c>
      <c r="F143" s="42" t="str">
        <f>IF(Transactions!$G143&lt;&gt;"",Transactions!$H143&amp;" "&amp;Transactions!$G143,)</f>
        <v/>
      </c>
    </row>
    <row r="144">
      <c r="A144" s="55" t="str">
        <f>IF(Transactions!$B144&lt;&gt;"",DATE(LEFT(Transactions!$B144,4),MID(Transactions!$B144,6,2),MID(Transactions!$B144,9,2)),)</f>
        <v/>
      </c>
      <c r="B144" s="56" t="str">
        <f>Transactions!$C144</f>
        <v/>
      </c>
      <c r="C144" s="51" t="str">
        <f t="array" ref="C144">IFERROR(INDEX(Portfolio!$B:$B, MATCH($B144, Portfolio!$A:$A, 0)),Transactions!$B144)</f>
        <v/>
      </c>
      <c r="D144" s="51" t="str">
        <f>IF($B144&lt;&gt;"",Transactions!$E144*1,)</f>
        <v/>
      </c>
      <c r="E144" s="51" t="str">
        <f>IF($B144&lt;&gt;"",Transactions!$F144*1,)</f>
        <v/>
      </c>
      <c r="F144" s="42" t="str">
        <f>IF(Transactions!$G144&lt;&gt;"",Transactions!$H144&amp;" "&amp;Transactions!$G144,)</f>
        <v/>
      </c>
    </row>
    <row r="145">
      <c r="A145" s="55" t="str">
        <f>IF(Transactions!$B145&lt;&gt;"",DATE(LEFT(Transactions!$B145,4),MID(Transactions!$B145,6,2),MID(Transactions!$B145,9,2)),)</f>
        <v/>
      </c>
      <c r="B145" s="56" t="str">
        <f>Transactions!$C145</f>
        <v/>
      </c>
      <c r="C145" s="51" t="str">
        <f t="array" ref="C145">IFERROR(INDEX(Portfolio!$B:$B, MATCH($B145, Portfolio!$A:$A, 0)),Transactions!$B145)</f>
        <v/>
      </c>
      <c r="D145" s="51" t="str">
        <f>IF($B145&lt;&gt;"",Transactions!$E145*1,)</f>
        <v/>
      </c>
      <c r="E145" s="51" t="str">
        <f>IF($B145&lt;&gt;"",Transactions!$F145*1,)</f>
        <v/>
      </c>
      <c r="F145" s="42" t="str">
        <f>IF(Transactions!$G145&lt;&gt;"",Transactions!$H145&amp;" "&amp;Transactions!$G145,)</f>
        <v/>
      </c>
    </row>
    <row r="146">
      <c r="A146" s="55" t="str">
        <f>IF(Transactions!$B146&lt;&gt;"",DATE(LEFT(Transactions!$B146,4),MID(Transactions!$B146,6,2),MID(Transactions!$B146,9,2)),)</f>
        <v/>
      </c>
      <c r="B146" s="56" t="str">
        <f>Transactions!$C146</f>
        <v/>
      </c>
      <c r="C146" s="51" t="str">
        <f t="array" ref="C146">IFERROR(INDEX(Portfolio!$B:$B, MATCH($B146, Portfolio!$A:$A, 0)),Transactions!$B146)</f>
        <v/>
      </c>
      <c r="D146" s="51" t="str">
        <f>IF($B146&lt;&gt;"",Transactions!$E146*1,)</f>
        <v/>
      </c>
      <c r="E146" s="51" t="str">
        <f>IF($B146&lt;&gt;"",Transactions!$F146*1,)</f>
        <v/>
      </c>
      <c r="F146" s="42" t="str">
        <f>IF(Transactions!$G146&lt;&gt;"",Transactions!$H146&amp;" "&amp;Transactions!$G146,)</f>
        <v/>
      </c>
    </row>
    <row r="147">
      <c r="A147" s="55" t="str">
        <f>IF(Transactions!$B147&lt;&gt;"",DATE(LEFT(Transactions!$B147,4),MID(Transactions!$B147,6,2),MID(Transactions!$B147,9,2)),)</f>
        <v/>
      </c>
      <c r="B147" s="56" t="str">
        <f>Transactions!$C147</f>
        <v/>
      </c>
      <c r="C147" s="51" t="str">
        <f t="array" ref="C147">IFERROR(INDEX(Portfolio!$B:$B, MATCH($B147, Portfolio!$A:$A, 0)),Transactions!$B147)</f>
        <v/>
      </c>
      <c r="D147" s="51" t="str">
        <f>IF($B147&lt;&gt;"",Transactions!$E147*1,)</f>
        <v/>
      </c>
      <c r="E147" s="51" t="str">
        <f>IF($B147&lt;&gt;"",Transactions!$F147*1,)</f>
        <v/>
      </c>
      <c r="F147" s="42" t="str">
        <f>IF(Transactions!$G147&lt;&gt;"",Transactions!$H147&amp;" "&amp;Transactions!$G147,)</f>
        <v/>
      </c>
    </row>
    <row r="148">
      <c r="A148" s="55" t="str">
        <f>IF(Transactions!$B148&lt;&gt;"",DATE(LEFT(Transactions!$B148,4),MID(Transactions!$B148,6,2),MID(Transactions!$B148,9,2)),)</f>
        <v/>
      </c>
      <c r="B148" s="56" t="str">
        <f>Transactions!$C148</f>
        <v/>
      </c>
      <c r="C148" s="51" t="str">
        <f t="array" ref="C148">IFERROR(INDEX(Portfolio!$B:$B, MATCH($B148, Portfolio!$A:$A, 0)),Transactions!$B148)</f>
        <v/>
      </c>
      <c r="D148" s="51" t="str">
        <f>IF($B148&lt;&gt;"",Transactions!$E148*1,)</f>
        <v/>
      </c>
      <c r="E148" s="51" t="str">
        <f>IF($B148&lt;&gt;"",Transactions!$F148*1,)</f>
        <v/>
      </c>
      <c r="F148" s="42" t="str">
        <f>IF(Transactions!$G148&lt;&gt;"",Transactions!$H148&amp;" "&amp;Transactions!$G148,)</f>
        <v/>
      </c>
    </row>
    <row r="149">
      <c r="A149" s="55" t="str">
        <f>IF(Transactions!$B149&lt;&gt;"",DATE(LEFT(Transactions!$B149,4),MID(Transactions!$B149,6,2),MID(Transactions!$B149,9,2)),)</f>
        <v/>
      </c>
      <c r="B149" s="56" t="str">
        <f>Transactions!$C149</f>
        <v/>
      </c>
      <c r="C149" s="51" t="str">
        <f t="array" ref="C149">IFERROR(INDEX(Portfolio!$B:$B, MATCH($B149, Portfolio!$A:$A, 0)),Transactions!$B149)</f>
        <v/>
      </c>
      <c r="D149" s="51" t="str">
        <f>IF($B149&lt;&gt;"",Transactions!$E149*1,)</f>
        <v/>
      </c>
      <c r="E149" s="51" t="str">
        <f>IF($B149&lt;&gt;"",Transactions!$F149*1,)</f>
        <v/>
      </c>
      <c r="F149" s="42" t="str">
        <f>IF(Transactions!$G149&lt;&gt;"",Transactions!$H149&amp;" "&amp;Transactions!$G149,)</f>
        <v/>
      </c>
    </row>
    <row r="150">
      <c r="A150" s="55" t="str">
        <f>IF(Transactions!$B150&lt;&gt;"",DATE(LEFT(Transactions!$B150,4),MID(Transactions!$B150,6,2),MID(Transactions!$B150,9,2)),)</f>
        <v/>
      </c>
      <c r="B150" s="56" t="str">
        <f>Transactions!$C150</f>
        <v/>
      </c>
      <c r="C150" s="51" t="str">
        <f t="array" ref="C150">IFERROR(INDEX(Portfolio!$B:$B, MATCH($B150, Portfolio!$A:$A, 0)),Transactions!$B150)</f>
        <v/>
      </c>
      <c r="D150" s="51" t="str">
        <f>IF($B150&lt;&gt;"",Transactions!$E150*1,)</f>
        <v/>
      </c>
      <c r="E150" s="51" t="str">
        <f>IF($B150&lt;&gt;"",Transactions!$F150*1,)</f>
        <v/>
      </c>
      <c r="F150" s="42" t="str">
        <f>IF(Transactions!$G150&lt;&gt;"",Transactions!$H150&amp;" "&amp;Transactions!$G150,)</f>
        <v/>
      </c>
    </row>
    <row r="151">
      <c r="A151" s="55" t="str">
        <f>IF(Transactions!$B151&lt;&gt;"",DATE(LEFT(Transactions!$B151,4),MID(Transactions!$B151,6,2),MID(Transactions!$B151,9,2)),)</f>
        <v/>
      </c>
      <c r="B151" s="56" t="str">
        <f>Transactions!$C151</f>
        <v/>
      </c>
      <c r="C151" s="51" t="str">
        <f t="array" ref="C151">IFERROR(INDEX(Portfolio!$B:$B, MATCH($B151, Portfolio!$A:$A, 0)),Transactions!$B151)</f>
        <v/>
      </c>
      <c r="D151" s="51" t="str">
        <f>IF($B151&lt;&gt;"",Transactions!$E151*1,)</f>
        <v/>
      </c>
      <c r="E151" s="51" t="str">
        <f>IF($B151&lt;&gt;"",Transactions!$F151*1,)</f>
        <v/>
      </c>
      <c r="F151" s="42" t="str">
        <f>IF(Transactions!$G151&lt;&gt;"",Transactions!$H151&amp;" "&amp;Transactions!$G151,)</f>
        <v/>
      </c>
    </row>
    <row r="152">
      <c r="A152" s="55" t="str">
        <f>IF(Transactions!$B152&lt;&gt;"",DATE(LEFT(Transactions!$B152,4),MID(Transactions!$B152,6,2),MID(Transactions!$B152,9,2)),)</f>
        <v/>
      </c>
      <c r="B152" s="56" t="str">
        <f>Transactions!$C152</f>
        <v/>
      </c>
      <c r="C152" s="51" t="str">
        <f t="array" ref="C152">IFERROR(INDEX(Portfolio!$B:$B, MATCH($B152, Portfolio!$A:$A, 0)),Transactions!$B152)</f>
        <v/>
      </c>
      <c r="D152" s="51" t="str">
        <f>IF($B152&lt;&gt;"",Transactions!$E152*1,)</f>
        <v/>
      </c>
      <c r="E152" s="51" t="str">
        <f>IF($B152&lt;&gt;"",Transactions!$F152*1,)</f>
        <v/>
      </c>
      <c r="F152" s="42" t="str">
        <f>IF(Transactions!$G152&lt;&gt;"",Transactions!$H152&amp;" "&amp;Transactions!$G152,)</f>
        <v/>
      </c>
    </row>
    <row r="153">
      <c r="A153" s="55" t="str">
        <f>IF(Transactions!$B153&lt;&gt;"",DATE(LEFT(Transactions!$B153,4),MID(Transactions!$B153,6,2),MID(Transactions!$B153,9,2)),)</f>
        <v/>
      </c>
      <c r="B153" s="56" t="str">
        <f>Transactions!$C153</f>
        <v/>
      </c>
      <c r="C153" s="51" t="str">
        <f t="array" ref="C153">IFERROR(INDEX(Portfolio!$B:$B, MATCH($B153, Portfolio!$A:$A, 0)),Transactions!$B153)</f>
        <v/>
      </c>
      <c r="D153" s="51" t="str">
        <f>IF($B153&lt;&gt;"",Transactions!$E153*1,)</f>
        <v/>
      </c>
      <c r="E153" s="51" t="str">
        <f>IF($B153&lt;&gt;"",Transactions!$F153*1,)</f>
        <v/>
      </c>
      <c r="F153" s="42" t="str">
        <f>IF(Transactions!$G153&lt;&gt;"",Transactions!$H153&amp;" "&amp;Transactions!$G153,)</f>
        <v/>
      </c>
    </row>
    <row r="154">
      <c r="A154" s="55" t="str">
        <f>IF(Transactions!$B154&lt;&gt;"",DATE(LEFT(Transactions!$B154,4),MID(Transactions!$B154,6,2),MID(Transactions!$B154,9,2)),)</f>
        <v/>
      </c>
      <c r="B154" s="56" t="str">
        <f>Transactions!$C154</f>
        <v/>
      </c>
      <c r="C154" s="51" t="str">
        <f t="array" ref="C154">IFERROR(INDEX(Portfolio!$B:$B, MATCH($B154, Portfolio!$A:$A, 0)),Transactions!$B154)</f>
        <v/>
      </c>
      <c r="D154" s="51" t="str">
        <f>IF($B154&lt;&gt;"",Transactions!$E154*1,)</f>
        <v/>
      </c>
      <c r="E154" s="51" t="str">
        <f>IF($B154&lt;&gt;"",Transactions!$F154*1,)</f>
        <v/>
      </c>
      <c r="F154" s="42" t="str">
        <f>IF(Transactions!$G154&lt;&gt;"",Transactions!$H154&amp;" "&amp;Transactions!$G154,)</f>
        <v/>
      </c>
    </row>
    <row r="155">
      <c r="A155" s="55" t="str">
        <f>IF(Transactions!$B155&lt;&gt;"",DATE(LEFT(Transactions!$B155,4),MID(Transactions!$B155,6,2),MID(Transactions!$B155,9,2)),)</f>
        <v/>
      </c>
      <c r="B155" s="56" t="str">
        <f>Transactions!$C155</f>
        <v/>
      </c>
      <c r="C155" s="51" t="str">
        <f t="array" ref="C155">IFERROR(INDEX(Portfolio!$B:$B, MATCH($B155, Portfolio!$A:$A, 0)),Transactions!$B155)</f>
        <v/>
      </c>
      <c r="D155" s="51" t="str">
        <f>IF($B155&lt;&gt;"",Transactions!$E155*1,)</f>
        <v/>
      </c>
      <c r="E155" s="51" t="str">
        <f>IF($B155&lt;&gt;"",Transactions!$F155*1,)</f>
        <v/>
      </c>
      <c r="F155" s="42" t="str">
        <f>IF(Transactions!$G155&lt;&gt;"",Transactions!$H155&amp;" "&amp;Transactions!$G155,)</f>
        <v/>
      </c>
    </row>
    <row r="156">
      <c r="A156" s="55" t="str">
        <f>IF(Transactions!$B156&lt;&gt;"",DATE(LEFT(Transactions!$B156,4),MID(Transactions!$B156,6,2),MID(Transactions!$B156,9,2)),)</f>
        <v/>
      </c>
      <c r="B156" s="56" t="str">
        <f>Transactions!$C156</f>
        <v/>
      </c>
      <c r="C156" s="51" t="str">
        <f t="array" ref="C156">IFERROR(INDEX(Portfolio!$B:$B, MATCH($B156, Portfolio!$A:$A, 0)),Transactions!$B156)</f>
        <v/>
      </c>
      <c r="D156" s="51" t="str">
        <f>IF($B156&lt;&gt;"",Transactions!$E156*1,)</f>
        <v/>
      </c>
      <c r="E156" s="51" t="str">
        <f>IF($B156&lt;&gt;"",Transactions!$F156*1,)</f>
        <v/>
      </c>
      <c r="F156" s="42" t="str">
        <f>IF(Transactions!$G156&lt;&gt;"",Transactions!$H156&amp;" "&amp;Transactions!$G156,)</f>
        <v/>
      </c>
    </row>
    <row r="157">
      <c r="A157" s="55" t="str">
        <f>IF(Transactions!$B157&lt;&gt;"",DATE(LEFT(Transactions!$B157,4),MID(Transactions!$B157,6,2),MID(Transactions!$B157,9,2)),)</f>
        <v/>
      </c>
      <c r="B157" s="56" t="str">
        <f>Transactions!$C157</f>
        <v/>
      </c>
      <c r="C157" s="51" t="str">
        <f t="array" ref="C157">IFERROR(INDEX(Portfolio!$B:$B, MATCH($B157, Portfolio!$A:$A, 0)),Transactions!$B157)</f>
        <v/>
      </c>
      <c r="D157" s="51" t="str">
        <f>IF($B157&lt;&gt;"",Transactions!$E157*1,)</f>
        <v/>
      </c>
      <c r="E157" s="51" t="str">
        <f>IF($B157&lt;&gt;"",Transactions!$F157*1,)</f>
        <v/>
      </c>
      <c r="F157" s="42" t="str">
        <f>IF(Transactions!$G157&lt;&gt;"",Transactions!$H157&amp;" "&amp;Transactions!$G157,)</f>
        <v/>
      </c>
    </row>
    <row r="158">
      <c r="A158" s="55" t="str">
        <f>IF(Transactions!$B158&lt;&gt;"",DATE(LEFT(Transactions!$B158,4),MID(Transactions!$B158,6,2),MID(Transactions!$B158,9,2)),)</f>
        <v/>
      </c>
      <c r="B158" s="56" t="str">
        <f>Transactions!$C158</f>
        <v/>
      </c>
      <c r="C158" s="51" t="str">
        <f t="array" ref="C158">IFERROR(INDEX(Portfolio!$B:$B, MATCH($B158, Portfolio!$A:$A, 0)),Transactions!$B158)</f>
        <v/>
      </c>
      <c r="D158" s="51" t="str">
        <f>IF($B158&lt;&gt;"",Transactions!$E158*1,)</f>
        <v/>
      </c>
      <c r="E158" s="51" t="str">
        <f>IF($B158&lt;&gt;"",Transactions!$F158*1,)</f>
        <v/>
      </c>
      <c r="F158" s="42" t="str">
        <f>IF(Transactions!$G158&lt;&gt;"",Transactions!$H158&amp;" "&amp;Transactions!$G158,)</f>
        <v/>
      </c>
    </row>
    <row r="159">
      <c r="A159" s="55" t="str">
        <f>IF(Transactions!$B159&lt;&gt;"",DATE(LEFT(Transactions!$B159,4),MID(Transactions!$B159,6,2),MID(Transactions!$B159,9,2)),)</f>
        <v/>
      </c>
      <c r="B159" s="56" t="str">
        <f>Transactions!$C159</f>
        <v/>
      </c>
      <c r="C159" s="51" t="str">
        <f t="array" ref="C159">IFERROR(INDEX(Portfolio!$B:$B, MATCH($B159, Portfolio!$A:$A, 0)),Transactions!$B159)</f>
        <v/>
      </c>
      <c r="D159" s="51" t="str">
        <f>IF($B159&lt;&gt;"",Transactions!$E159*1,)</f>
        <v/>
      </c>
      <c r="E159" s="51" t="str">
        <f>IF($B159&lt;&gt;"",Transactions!$F159*1,)</f>
        <v/>
      </c>
      <c r="F159" s="42" t="str">
        <f>IF(Transactions!$G159&lt;&gt;"",Transactions!$H159&amp;" "&amp;Transactions!$G159,)</f>
        <v/>
      </c>
    </row>
    <row r="160">
      <c r="A160" s="55" t="str">
        <f>IF(Transactions!$B160&lt;&gt;"",DATE(LEFT(Transactions!$B160,4),MID(Transactions!$B160,6,2),MID(Transactions!$B160,9,2)),)</f>
        <v/>
      </c>
      <c r="B160" s="56" t="str">
        <f>Transactions!$C160</f>
        <v/>
      </c>
      <c r="C160" s="51" t="str">
        <f t="array" ref="C160">IFERROR(INDEX(Portfolio!$B:$B, MATCH($B160, Portfolio!$A:$A, 0)),Transactions!$B160)</f>
        <v/>
      </c>
      <c r="D160" s="51" t="str">
        <f>IF($B160&lt;&gt;"",Transactions!$E160*1,)</f>
        <v/>
      </c>
      <c r="E160" s="51" t="str">
        <f>IF($B160&lt;&gt;"",Transactions!$F160*1,)</f>
        <v/>
      </c>
      <c r="F160" s="42" t="str">
        <f>IF(Transactions!$G160&lt;&gt;"",Transactions!$H160&amp;" "&amp;Transactions!$G160,)</f>
        <v/>
      </c>
    </row>
    <row r="161">
      <c r="A161" s="55" t="str">
        <f>IF(Transactions!$B161&lt;&gt;"",DATE(LEFT(Transactions!$B161,4),MID(Transactions!$B161,6,2),MID(Transactions!$B161,9,2)),)</f>
        <v/>
      </c>
      <c r="B161" s="56" t="str">
        <f>Transactions!$C161</f>
        <v/>
      </c>
      <c r="C161" s="51" t="str">
        <f t="array" ref="C161">IFERROR(INDEX(Portfolio!$B:$B, MATCH($B161, Portfolio!$A:$A, 0)),Transactions!$B161)</f>
        <v/>
      </c>
      <c r="D161" s="51" t="str">
        <f>IF($B161&lt;&gt;"",Transactions!$E161*1,)</f>
        <v/>
      </c>
      <c r="E161" s="51" t="str">
        <f>IF($B161&lt;&gt;"",Transactions!$F161*1,)</f>
        <v/>
      </c>
      <c r="F161" s="42" t="str">
        <f>IF(Transactions!$G161&lt;&gt;"",Transactions!$H161&amp;" "&amp;Transactions!$G161,)</f>
        <v/>
      </c>
    </row>
    <row r="162">
      <c r="A162" s="55" t="str">
        <f>IF(Transactions!$B162&lt;&gt;"",DATE(LEFT(Transactions!$B162,4),MID(Transactions!$B162,6,2),MID(Transactions!$B162,9,2)),)</f>
        <v/>
      </c>
      <c r="B162" s="56" t="str">
        <f>Transactions!$C162</f>
        <v/>
      </c>
      <c r="C162" s="51" t="str">
        <f t="array" ref="C162">IFERROR(INDEX(Portfolio!$B:$B, MATCH($B162, Portfolio!$A:$A, 0)),Transactions!$B162)</f>
        <v/>
      </c>
      <c r="D162" s="51" t="str">
        <f>IF($B162&lt;&gt;"",Transactions!$E162*1,)</f>
        <v/>
      </c>
      <c r="E162" s="51" t="str">
        <f>IF($B162&lt;&gt;"",Transactions!$F162*1,)</f>
        <v/>
      </c>
      <c r="F162" s="42" t="str">
        <f>IF(Transactions!$G162&lt;&gt;"",Transactions!$H162&amp;" "&amp;Transactions!$G162,)</f>
        <v/>
      </c>
    </row>
    <row r="163">
      <c r="A163" s="55" t="str">
        <f>IF(Transactions!$B163&lt;&gt;"",DATE(LEFT(Transactions!$B163,4),MID(Transactions!$B163,6,2),MID(Transactions!$B163,9,2)),)</f>
        <v/>
      </c>
      <c r="B163" s="56" t="str">
        <f>Transactions!$C163</f>
        <v/>
      </c>
      <c r="C163" s="51" t="str">
        <f t="array" ref="C163">IFERROR(INDEX(Portfolio!$B:$B, MATCH($B163, Portfolio!$A:$A, 0)),Transactions!$B163)</f>
        <v/>
      </c>
      <c r="D163" s="51" t="str">
        <f>IF($B163&lt;&gt;"",Transactions!$E163*1,)</f>
        <v/>
      </c>
      <c r="E163" s="51" t="str">
        <f>IF($B163&lt;&gt;"",Transactions!$F163*1,)</f>
        <v/>
      </c>
      <c r="F163" s="42" t="str">
        <f>IF(Transactions!$G163&lt;&gt;"",Transactions!$H163&amp;" "&amp;Transactions!$G163,)</f>
        <v/>
      </c>
    </row>
    <row r="164">
      <c r="A164" s="55" t="str">
        <f>IF(Transactions!$B164&lt;&gt;"",DATE(LEFT(Transactions!$B164,4),MID(Transactions!$B164,6,2),MID(Transactions!$B164,9,2)),)</f>
        <v/>
      </c>
      <c r="B164" s="56" t="str">
        <f>Transactions!$C164</f>
        <v/>
      </c>
      <c r="C164" s="51" t="str">
        <f t="array" ref="C164">IFERROR(INDEX(Portfolio!$B:$B, MATCH($B164, Portfolio!$A:$A, 0)),Transactions!$B164)</f>
        <v/>
      </c>
      <c r="D164" s="51" t="str">
        <f>IF($B164&lt;&gt;"",Transactions!$E164*1,)</f>
        <v/>
      </c>
      <c r="E164" s="51" t="str">
        <f>IF($B164&lt;&gt;"",Transactions!$F164*1,)</f>
        <v/>
      </c>
      <c r="F164" s="42" t="str">
        <f>IF(Transactions!$G164&lt;&gt;"",Transactions!$H164&amp;" "&amp;Transactions!$G164,)</f>
        <v/>
      </c>
    </row>
    <row r="165">
      <c r="A165" s="55" t="str">
        <f>IF(Transactions!$B165&lt;&gt;"",DATE(LEFT(Transactions!$B165,4),MID(Transactions!$B165,6,2),MID(Transactions!$B165,9,2)),)</f>
        <v/>
      </c>
      <c r="B165" s="56" t="str">
        <f>Transactions!$C165</f>
        <v/>
      </c>
      <c r="C165" s="51" t="str">
        <f t="array" ref="C165">IFERROR(INDEX(Portfolio!$B:$B, MATCH($B165, Portfolio!$A:$A, 0)),Transactions!$B165)</f>
        <v/>
      </c>
      <c r="D165" s="51" t="str">
        <f>IF($B165&lt;&gt;"",Transactions!$E165*1,)</f>
        <v/>
      </c>
      <c r="E165" s="51" t="str">
        <f>IF($B165&lt;&gt;"",Transactions!$F165*1,)</f>
        <v/>
      </c>
      <c r="F165" s="42" t="str">
        <f>IF(Transactions!$G165&lt;&gt;"",Transactions!$H165&amp;" "&amp;Transactions!$G165,)</f>
        <v/>
      </c>
    </row>
    <row r="166">
      <c r="A166" s="55" t="str">
        <f>IF(Transactions!$B166&lt;&gt;"",DATE(LEFT(Transactions!$B166,4),MID(Transactions!$B166,6,2),MID(Transactions!$B166,9,2)),)</f>
        <v/>
      </c>
      <c r="B166" s="56" t="str">
        <f>Transactions!$C166</f>
        <v/>
      </c>
      <c r="C166" s="51" t="str">
        <f t="array" ref="C166">IFERROR(INDEX(Portfolio!$B:$B, MATCH($B166, Portfolio!$A:$A, 0)),Transactions!$B166)</f>
        <v/>
      </c>
      <c r="D166" s="51" t="str">
        <f>IF($B166&lt;&gt;"",Transactions!$E166*1,)</f>
        <v/>
      </c>
      <c r="E166" s="51" t="str">
        <f>IF($B166&lt;&gt;"",Transactions!$F166*1,)</f>
        <v/>
      </c>
      <c r="F166" s="42" t="str">
        <f>IF(Transactions!$G166&lt;&gt;"",Transactions!$H166&amp;" "&amp;Transactions!$G166,)</f>
        <v/>
      </c>
    </row>
    <row r="167">
      <c r="A167" s="55" t="str">
        <f>IF(Transactions!$B167&lt;&gt;"",DATE(LEFT(Transactions!$B167,4),MID(Transactions!$B167,6,2),MID(Transactions!$B167,9,2)),)</f>
        <v/>
      </c>
      <c r="B167" s="56" t="str">
        <f>Transactions!$C167</f>
        <v/>
      </c>
      <c r="C167" s="51" t="str">
        <f t="array" ref="C167">IFERROR(INDEX(Portfolio!$B:$B, MATCH($B167, Portfolio!$A:$A, 0)),Transactions!$B167)</f>
        <v/>
      </c>
      <c r="D167" s="51" t="str">
        <f>IF($B167&lt;&gt;"",Transactions!$E167*1,)</f>
        <v/>
      </c>
      <c r="E167" s="51" t="str">
        <f>IF($B167&lt;&gt;"",Transactions!$F167*1,)</f>
        <v/>
      </c>
      <c r="F167" s="42" t="str">
        <f>IF(Transactions!$G167&lt;&gt;"",Transactions!$H167&amp;" "&amp;Transactions!$G167,)</f>
        <v/>
      </c>
    </row>
    <row r="168">
      <c r="A168" s="55" t="str">
        <f>IF(Transactions!$B168&lt;&gt;"",DATE(LEFT(Transactions!$B168,4),MID(Transactions!$B168,6,2),MID(Transactions!$B168,9,2)),)</f>
        <v/>
      </c>
      <c r="B168" s="56" t="str">
        <f>Transactions!$C168</f>
        <v/>
      </c>
      <c r="C168" s="51" t="str">
        <f t="array" ref="C168">IFERROR(INDEX(Portfolio!$B:$B, MATCH($B168, Portfolio!$A:$A, 0)),Transactions!$B168)</f>
        <v/>
      </c>
      <c r="D168" s="51" t="str">
        <f>IF($B168&lt;&gt;"",Transactions!$E168*1,)</f>
        <v/>
      </c>
      <c r="E168" s="51" t="str">
        <f>IF($B168&lt;&gt;"",Transactions!$F168*1,)</f>
        <v/>
      </c>
      <c r="F168" s="42" t="str">
        <f>IF(Transactions!$G168&lt;&gt;"",Transactions!$H168&amp;" "&amp;Transactions!$G168,)</f>
        <v/>
      </c>
    </row>
    <row r="169">
      <c r="A169" s="55" t="str">
        <f>IF(Transactions!$B169&lt;&gt;"",DATE(LEFT(Transactions!$B169,4),MID(Transactions!$B169,6,2),MID(Transactions!$B169,9,2)),)</f>
        <v/>
      </c>
      <c r="B169" s="56" t="str">
        <f>Transactions!$C169</f>
        <v/>
      </c>
      <c r="C169" s="51" t="str">
        <f t="array" ref="C169">IFERROR(INDEX(Portfolio!$B:$B, MATCH($B169, Portfolio!$A:$A, 0)),Transactions!$B169)</f>
        <v/>
      </c>
      <c r="D169" s="51" t="str">
        <f>IF($B169&lt;&gt;"",Transactions!$E169*1,)</f>
        <v/>
      </c>
      <c r="E169" s="51" t="str">
        <f>IF($B169&lt;&gt;"",Transactions!$F169*1,)</f>
        <v/>
      </c>
      <c r="F169" s="42" t="str">
        <f>IF(Transactions!$G169&lt;&gt;"",Transactions!$H169&amp;" "&amp;Transactions!$G169,)</f>
        <v/>
      </c>
    </row>
    <row r="170">
      <c r="A170" s="55" t="str">
        <f>IF(Transactions!$B170&lt;&gt;"",DATE(LEFT(Transactions!$B170,4),MID(Transactions!$B170,6,2),MID(Transactions!$B170,9,2)),)</f>
        <v/>
      </c>
      <c r="B170" s="56" t="str">
        <f>Transactions!$C170</f>
        <v/>
      </c>
      <c r="C170" s="51" t="str">
        <f t="array" ref="C170">IFERROR(INDEX(Portfolio!$B:$B, MATCH($B170, Portfolio!$A:$A, 0)),Transactions!$B170)</f>
        <v/>
      </c>
      <c r="D170" s="51" t="str">
        <f>IF($B170&lt;&gt;"",Transactions!$E170*1,)</f>
        <v/>
      </c>
      <c r="E170" s="51" t="str">
        <f>IF($B170&lt;&gt;"",Transactions!$F170*1,)</f>
        <v/>
      </c>
      <c r="F170" s="42" t="str">
        <f>IF(Transactions!$G170&lt;&gt;"",Transactions!$H170&amp;" "&amp;Transactions!$G170,)</f>
        <v/>
      </c>
    </row>
    <row r="171">
      <c r="A171" s="55" t="str">
        <f>IF(Transactions!$B171&lt;&gt;"",DATE(LEFT(Transactions!$B171,4),MID(Transactions!$B171,6,2),MID(Transactions!$B171,9,2)),)</f>
        <v/>
      </c>
      <c r="B171" s="56" t="str">
        <f>Transactions!$C171</f>
        <v/>
      </c>
      <c r="C171" s="51" t="str">
        <f t="array" ref="C171">IFERROR(INDEX(Portfolio!$B:$B, MATCH($B171, Portfolio!$A:$A, 0)),Transactions!$B171)</f>
        <v/>
      </c>
      <c r="D171" s="51" t="str">
        <f>IF($B171&lt;&gt;"",Transactions!$E171*1,)</f>
        <v/>
      </c>
      <c r="E171" s="51" t="str">
        <f>IF($B171&lt;&gt;"",Transactions!$F171*1,)</f>
        <v/>
      </c>
      <c r="F171" s="42" t="str">
        <f>IF(Transactions!$G171&lt;&gt;"",Transactions!$H171&amp;" "&amp;Transactions!$G171,)</f>
        <v/>
      </c>
    </row>
    <row r="172">
      <c r="A172" s="55" t="str">
        <f>IF(Transactions!$B172&lt;&gt;"",DATE(LEFT(Transactions!$B172,4),MID(Transactions!$B172,6,2),MID(Transactions!$B172,9,2)),)</f>
        <v/>
      </c>
      <c r="B172" s="56" t="str">
        <f>Transactions!$C172</f>
        <v/>
      </c>
      <c r="C172" s="51" t="str">
        <f t="array" ref="C172">IFERROR(INDEX(Portfolio!$B:$B, MATCH($B172, Portfolio!$A:$A, 0)),Transactions!$B172)</f>
        <v/>
      </c>
      <c r="D172" s="51" t="str">
        <f>IF($B172&lt;&gt;"",Transactions!$E172*1,)</f>
        <v/>
      </c>
      <c r="E172" s="51" t="str">
        <f>IF($B172&lt;&gt;"",Transactions!$F172*1,)</f>
        <v/>
      </c>
      <c r="F172" s="42" t="str">
        <f>IF(Transactions!$G172&lt;&gt;"",Transactions!$H172&amp;" "&amp;Transactions!$G172,)</f>
        <v/>
      </c>
    </row>
    <row r="173">
      <c r="A173" s="55" t="str">
        <f>IF(Transactions!$B173&lt;&gt;"",DATE(LEFT(Transactions!$B173,4),MID(Transactions!$B173,6,2),MID(Transactions!$B173,9,2)),)</f>
        <v/>
      </c>
      <c r="B173" s="56" t="str">
        <f>Transactions!$C173</f>
        <v/>
      </c>
      <c r="C173" s="51" t="str">
        <f t="array" ref="C173">IFERROR(INDEX(Portfolio!$B:$B, MATCH($B173, Portfolio!$A:$A, 0)),Transactions!$B173)</f>
        <v/>
      </c>
      <c r="D173" s="51" t="str">
        <f>IF($B173&lt;&gt;"",Transactions!$E173*1,)</f>
        <v/>
      </c>
      <c r="E173" s="51" t="str">
        <f>IF($B173&lt;&gt;"",Transactions!$F173*1,)</f>
        <v/>
      </c>
      <c r="F173" s="42" t="str">
        <f>IF(Transactions!$G173&lt;&gt;"",Transactions!$H173&amp;" "&amp;Transactions!$G173,)</f>
        <v/>
      </c>
    </row>
    <row r="174">
      <c r="A174" s="55" t="str">
        <f>IF(Transactions!$B174&lt;&gt;"",DATE(LEFT(Transactions!$B174,4),MID(Transactions!$B174,6,2),MID(Transactions!$B174,9,2)),)</f>
        <v/>
      </c>
      <c r="B174" s="56" t="str">
        <f>Transactions!$C174</f>
        <v/>
      </c>
      <c r="C174" s="51" t="str">
        <f t="array" ref="C174">IFERROR(INDEX(Portfolio!$B:$B, MATCH($B174, Portfolio!$A:$A, 0)),Transactions!$B174)</f>
        <v/>
      </c>
      <c r="D174" s="51" t="str">
        <f>IF($B174&lt;&gt;"",Transactions!$E174*1,)</f>
        <v/>
      </c>
      <c r="E174" s="51" t="str">
        <f>IF($B174&lt;&gt;"",Transactions!$F174*1,)</f>
        <v/>
      </c>
      <c r="F174" s="42" t="str">
        <f>IF(Transactions!$G174&lt;&gt;"",Transactions!$H174&amp;" "&amp;Transactions!$G174,)</f>
        <v/>
      </c>
    </row>
    <row r="175">
      <c r="A175" s="55" t="str">
        <f>IF(Transactions!$B175&lt;&gt;"",DATE(LEFT(Transactions!$B175,4),MID(Transactions!$B175,6,2),MID(Transactions!$B175,9,2)),)</f>
        <v/>
      </c>
      <c r="B175" s="56" t="str">
        <f>Transactions!$C175</f>
        <v/>
      </c>
      <c r="C175" s="51" t="str">
        <f t="array" ref="C175">IFERROR(INDEX(Portfolio!$B:$B, MATCH($B175, Portfolio!$A:$A, 0)),Transactions!$B175)</f>
        <v/>
      </c>
      <c r="D175" s="51" t="str">
        <f>IF($B175&lt;&gt;"",Transactions!$E175*1,)</f>
        <v/>
      </c>
      <c r="E175" s="51" t="str">
        <f>IF($B175&lt;&gt;"",Transactions!$F175*1,)</f>
        <v/>
      </c>
      <c r="F175" s="42" t="str">
        <f>IF(Transactions!$G175&lt;&gt;"",Transactions!$H175&amp;" "&amp;Transactions!$G175,)</f>
        <v/>
      </c>
    </row>
    <row r="176">
      <c r="A176" s="55" t="str">
        <f>IF(Transactions!$B176&lt;&gt;"",DATE(LEFT(Transactions!$B176,4),MID(Transactions!$B176,6,2),MID(Transactions!$B176,9,2)),)</f>
        <v/>
      </c>
      <c r="B176" s="56" t="str">
        <f>Transactions!$C176</f>
        <v/>
      </c>
      <c r="C176" s="51" t="str">
        <f t="array" ref="C176">IFERROR(INDEX(Portfolio!$B:$B, MATCH($B176, Portfolio!$A:$A, 0)),Transactions!$B176)</f>
        <v/>
      </c>
      <c r="D176" s="51" t="str">
        <f>IF($B176&lt;&gt;"",Transactions!$E176*1,)</f>
        <v/>
      </c>
      <c r="E176" s="51" t="str">
        <f>IF($B176&lt;&gt;"",Transactions!$F176*1,)</f>
        <v/>
      </c>
      <c r="F176" s="42" t="str">
        <f>IF(Transactions!$G176&lt;&gt;"",Transactions!$H176&amp;" "&amp;Transactions!$G176,)</f>
        <v/>
      </c>
    </row>
    <row r="177">
      <c r="A177" s="55" t="str">
        <f>IF(Transactions!$B177&lt;&gt;"",DATE(LEFT(Transactions!$B177,4),MID(Transactions!$B177,6,2),MID(Transactions!$B177,9,2)),)</f>
        <v/>
      </c>
      <c r="B177" s="56" t="str">
        <f>Transactions!$C177</f>
        <v/>
      </c>
      <c r="C177" s="51" t="str">
        <f t="array" ref="C177">IFERROR(INDEX(Portfolio!$B:$B, MATCH($B177, Portfolio!$A:$A, 0)),Transactions!$B177)</f>
        <v/>
      </c>
      <c r="D177" s="51" t="str">
        <f>IF($B177&lt;&gt;"",Transactions!$E177*1,)</f>
        <v/>
      </c>
      <c r="E177" s="51" t="str">
        <f>IF($B177&lt;&gt;"",Transactions!$F177*1,)</f>
        <v/>
      </c>
      <c r="F177" s="42" t="str">
        <f>IF(Transactions!$G177&lt;&gt;"",Transactions!$H177&amp;" "&amp;Transactions!$G177,)</f>
        <v/>
      </c>
    </row>
    <row r="178">
      <c r="A178" s="55" t="str">
        <f>IF(Transactions!$B178&lt;&gt;"",DATE(LEFT(Transactions!$B178,4),MID(Transactions!$B178,6,2),MID(Transactions!$B178,9,2)),)</f>
        <v/>
      </c>
      <c r="B178" s="56" t="str">
        <f>Transactions!$C178</f>
        <v/>
      </c>
      <c r="C178" s="51" t="str">
        <f t="array" ref="C178">IFERROR(INDEX(Portfolio!$B:$B, MATCH($B178, Portfolio!$A:$A, 0)),Transactions!$B178)</f>
        <v/>
      </c>
      <c r="D178" s="51" t="str">
        <f>IF($B178&lt;&gt;"",Transactions!$E178*1,)</f>
        <v/>
      </c>
      <c r="E178" s="51" t="str">
        <f>IF($B178&lt;&gt;"",Transactions!$F178*1,)</f>
        <v/>
      </c>
      <c r="F178" s="42" t="str">
        <f>IF(Transactions!$G178&lt;&gt;"",Transactions!$H178&amp;" "&amp;Transactions!$G178,)</f>
        <v/>
      </c>
    </row>
    <row r="179">
      <c r="A179" s="55" t="str">
        <f>IF(Transactions!$B179&lt;&gt;"",DATE(LEFT(Transactions!$B179,4),MID(Transactions!$B179,6,2),MID(Transactions!$B179,9,2)),)</f>
        <v/>
      </c>
      <c r="B179" s="56" t="str">
        <f>Transactions!$C179</f>
        <v/>
      </c>
      <c r="C179" s="51" t="str">
        <f t="array" ref="C179">IFERROR(INDEX(Portfolio!$B:$B, MATCH($B179, Portfolio!$A:$A, 0)),Transactions!$B179)</f>
        <v/>
      </c>
      <c r="D179" s="51" t="str">
        <f>IF($B179&lt;&gt;"",Transactions!$E179*1,)</f>
        <v/>
      </c>
      <c r="E179" s="51" t="str">
        <f>IF($B179&lt;&gt;"",Transactions!$F179*1,)</f>
        <v/>
      </c>
      <c r="F179" s="42" t="str">
        <f>IF(Transactions!$G179&lt;&gt;"",Transactions!$H179&amp;" "&amp;Transactions!$G179,)</f>
        <v/>
      </c>
    </row>
    <row r="180">
      <c r="A180" s="55" t="str">
        <f>IF(Transactions!$B180&lt;&gt;"",DATE(LEFT(Transactions!$B180,4),MID(Transactions!$B180,6,2),MID(Transactions!$B180,9,2)),)</f>
        <v/>
      </c>
      <c r="B180" s="56" t="str">
        <f>Transactions!$C180</f>
        <v/>
      </c>
      <c r="C180" s="51" t="str">
        <f t="array" ref="C180">IFERROR(INDEX(Portfolio!$B:$B, MATCH($B180, Portfolio!$A:$A, 0)),Transactions!$B180)</f>
        <v/>
      </c>
      <c r="D180" s="51" t="str">
        <f>IF($B180&lt;&gt;"",Transactions!$E180*1,)</f>
        <v/>
      </c>
      <c r="E180" s="51" t="str">
        <f>IF($B180&lt;&gt;"",Transactions!$F180*1,)</f>
        <v/>
      </c>
      <c r="F180" s="42" t="str">
        <f>IF(Transactions!$G180&lt;&gt;"",Transactions!$H180&amp;" "&amp;Transactions!$G180,)</f>
        <v/>
      </c>
    </row>
    <row r="181">
      <c r="A181" s="55" t="str">
        <f>IF(Transactions!$B181&lt;&gt;"",DATE(LEFT(Transactions!$B181,4),MID(Transactions!$B181,6,2),MID(Transactions!$B181,9,2)),)</f>
        <v/>
      </c>
      <c r="B181" s="56" t="str">
        <f>Transactions!$C181</f>
        <v/>
      </c>
      <c r="C181" s="51" t="str">
        <f t="array" ref="C181">IFERROR(INDEX(Portfolio!$B:$B, MATCH($B181, Portfolio!$A:$A, 0)),Transactions!$B181)</f>
        <v/>
      </c>
      <c r="D181" s="51" t="str">
        <f>IF($B181&lt;&gt;"",Transactions!$E181*1,)</f>
        <v/>
      </c>
      <c r="E181" s="51" t="str">
        <f>IF($B181&lt;&gt;"",Transactions!$F181*1,)</f>
        <v/>
      </c>
      <c r="F181" s="42" t="str">
        <f>IF(Transactions!$G181&lt;&gt;"",Transactions!$H181&amp;" "&amp;Transactions!$G181,)</f>
        <v/>
      </c>
    </row>
    <row r="182">
      <c r="A182" s="55" t="str">
        <f>IF(Transactions!$B182&lt;&gt;"",DATE(LEFT(Transactions!$B182,4),MID(Transactions!$B182,6,2),MID(Transactions!$B182,9,2)),)</f>
        <v/>
      </c>
      <c r="B182" s="56" t="str">
        <f>Transactions!$C182</f>
        <v/>
      </c>
      <c r="C182" s="51" t="str">
        <f t="array" ref="C182">IFERROR(INDEX(Portfolio!$B:$B, MATCH($B182, Portfolio!$A:$A, 0)),Transactions!$B182)</f>
        <v/>
      </c>
      <c r="D182" s="51" t="str">
        <f>IF($B182&lt;&gt;"",Transactions!$E182*1,)</f>
        <v/>
      </c>
      <c r="E182" s="51" t="str">
        <f>IF($B182&lt;&gt;"",Transactions!$F182*1,)</f>
        <v/>
      </c>
      <c r="F182" s="42" t="str">
        <f>IF(Transactions!$G182&lt;&gt;"",Transactions!$H182&amp;" "&amp;Transactions!$G182,)</f>
        <v/>
      </c>
    </row>
    <row r="183">
      <c r="A183" s="55" t="str">
        <f>IF(Transactions!$B183&lt;&gt;"",DATE(LEFT(Transactions!$B183,4),MID(Transactions!$B183,6,2),MID(Transactions!$B183,9,2)),)</f>
        <v/>
      </c>
      <c r="B183" s="56" t="str">
        <f>Transactions!$C183</f>
        <v/>
      </c>
      <c r="C183" s="51" t="str">
        <f t="array" ref="C183">IFERROR(INDEX(Portfolio!$B:$B, MATCH($B183, Portfolio!$A:$A, 0)),Transactions!$B183)</f>
        <v/>
      </c>
      <c r="D183" s="51" t="str">
        <f>IF($B183&lt;&gt;"",Transactions!$E183*1,)</f>
        <v/>
      </c>
      <c r="E183" s="51" t="str">
        <f>IF($B183&lt;&gt;"",Transactions!$F183*1,)</f>
        <v/>
      </c>
      <c r="F183" s="42" t="str">
        <f>IF(Transactions!$G183&lt;&gt;"",Transactions!$H183&amp;" "&amp;Transactions!$G183,)</f>
        <v/>
      </c>
    </row>
    <row r="184">
      <c r="A184" s="55" t="str">
        <f>IF(Transactions!$B184&lt;&gt;"",DATE(LEFT(Transactions!$B184,4),MID(Transactions!$B184,6,2),MID(Transactions!$B184,9,2)),)</f>
        <v/>
      </c>
      <c r="B184" s="56" t="str">
        <f>Transactions!$C184</f>
        <v/>
      </c>
      <c r="C184" s="51" t="str">
        <f t="array" ref="C184">IFERROR(INDEX(Portfolio!$B:$B, MATCH($B184, Portfolio!$A:$A, 0)),Transactions!$B184)</f>
        <v/>
      </c>
      <c r="D184" s="51" t="str">
        <f>IF($B184&lt;&gt;"",Transactions!$E184*1,)</f>
        <v/>
      </c>
      <c r="E184" s="51" t="str">
        <f>IF($B184&lt;&gt;"",Transactions!$F184*1,)</f>
        <v/>
      </c>
      <c r="F184" s="42" t="str">
        <f>IF(Transactions!$G184&lt;&gt;"",Transactions!$H184&amp;" "&amp;Transactions!$G184,)</f>
        <v/>
      </c>
    </row>
    <row r="185">
      <c r="A185" s="55" t="str">
        <f>IF(Transactions!$B185&lt;&gt;"",DATE(LEFT(Transactions!$B185,4),MID(Transactions!$B185,6,2),MID(Transactions!$B185,9,2)),)</f>
        <v/>
      </c>
      <c r="B185" s="56" t="str">
        <f>Transactions!$C185</f>
        <v/>
      </c>
      <c r="C185" s="51" t="str">
        <f t="array" ref="C185">IFERROR(INDEX(Portfolio!$B:$B, MATCH($B185, Portfolio!$A:$A, 0)),Transactions!$B185)</f>
        <v/>
      </c>
      <c r="D185" s="51" t="str">
        <f>IF($B185&lt;&gt;"",Transactions!$E185*1,)</f>
        <v/>
      </c>
      <c r="E185" s="51" t="str">
        <f>IF($B185&lt;&gt;"",Transactions!$F185*1,)</f>
        <v/>
      </c>
      <c r="F185" s="42" t="str">
        <f>IF(Transactions!$G185&lt;&gt;"",Transactions!$H185&amp;" "&amp;Transactions!$G185,)</f>
        <v/>
      </c>
    </row>
    <row r="186">
      <c r="A186" s="55" t="str">
        <f>IF(Transactions!$B186&lt;&gt;"",DATE(LEFT(Transactions!$B186,4),MID(Transactions!$B186,6,2),MID(Transactions!$B186,9,2)),)</f>
        <v/>
      </c>
      <c r="B186" s="56" t="str">
        <f>Transactions!$C186</f>
        <v/>
      </c>
      <c r="C186" s="51" t="str">
        <f t="array" ref="C186">IFERROR(INDEX(Portfolio!$B:$B, MATCH($B186, Portfolio!$A:$A, 0)),Transactions!$B186)</f>
        <v/>
      </c>
      <c r="D186" s="51" t="str">
        <f>IF($B186&lt;&gt;"",Transactions!$E186*1,)</f>
        <v/>
      </c>
      <c r="E186" s="51" t="str">
        <f>IF($B186&lt;&gt;"",Transactions!$F186*1,)</f>
        <v/>
      </c>
      <c r="F186" s="42" t="str">
        <f>IF(Transactions!$G186&lt;&gt;"",Transactions!$H186&amp;" "&amp;Transactions!$G186,)</f>
        <v/>
      </c>
    </row>
    <row r="187">
      <c r="A187" s="55" t="str">
        <f>IF(Transactions!$B187&lt;&gt;"",DATE(LEFT(Transactions!$B187,4),MID(Transactions!$B187,6,2),MID(Transactions!$B187,9,2)),)</f>
        <v/>
      </c>
      <c r="B187" s="56" t="str">
        <f>Transactions!$C187</f>
        <v/>
      </c>
      <c r="C187" s="51" t="str">
        <f t="array" ref="C187">IFERROR(INDEX(Portfolio!$B:$B, MATCH($B187, Portfolio!$A:$A, 0)),Transactions!$B187)</f>
        <v/>
      </c>
      <c r="D187" s="51" t="str">
        <f>IF($B187&lt;&gt;"",Transactions!$E187*1,)</f>
        <v/>
      </c>
      <c r="E187" s="51" t="str">
        <f>IF($B187&lt;&gt;"",Transactions!$F187*1,)</f>
        <v/>
      </c>
      <c r="F187" s="42" t="str">
        <f>IF(Transactions!$G187&lt;&gt;"",Transactions!$H187&amp;" "&amp;Transactions!$G187,)</f>
        <v/>
      </c>
    </row>
    <row r="188">
      <c r="A188" s="55" t="str">
        <f>IF(Transactions!$B188&lt;&gt;"",DATE(LEFT(Transactions!$B188,4),MID(Transactions!$B188,6,2),MID(Transactions!$B188,9,2)),)</f>
        <v/>
      </c>
      <c r="B188" s="56" t="str">
        <f>Transactions!$C188</f>
        <v/>
      </c>
      <c r="C188" s="51" t="str">
        <f t="array" ref="C188">IFERROR(INDEX(Portfolio!$B:$B, MATCH($B188, Portfolio!$A:$A, 0)),Transactions!$B188)</f>
        <v/>
      </c>
      <c r="D188" s="51" t="str">
        <f>IF($B188&lt;&gt;"",Transactions!$E188*1,)</f>
        <v/>
      </c>
      <c r="E188" s="51" t="str">
        <f>IF($B188&lt;&gt;"",Transactions!$F188*1,)</f>
        <v/>
      </c>
      <c r="F188" s="42" t="str">
        <f>IF(Transactions!$G188&lt;&gt;"",Transactions!$H188&amp;" "&amp;Transactions!$G188,)</f>
        <v/>
      </c>
    </row>
    <row r="189">
      <c r="A189" s="55" t="str">
        <f>IF(Transactions!$B189&lt;&gt;"",DATE(LEFT(Transactions!$B189,4),MID(Transactions!$B189,6,2),MID(Transactions!$B189,9,2)),)</f>
        <v/>
      </c>
      <c r="B189" s="56" t="str">
        <f>Transactions!$C189</f>
        <v/>
      </c>
      <c r="C189" s="51" t="str">
        <f t="array" ref="C189">IFERROR(INDEX(Portfolio!$B:$B, MATCH($B189, Portfolio!$A:$A, 0)),Transactions!$B189)</f>
        <v/>
      </c>
      <c r="D189" s="51" t="str">
        <f>IF($B189&lt;&gt;"",Transactions!$E189*1,)</f>
        <v/>
      </c>
      <c r="E189" s="51" t="str">
        <f>IF($B189&lt;&gt;"",Transactions!$F189*1,)</f>
        <v/>
      </c>
      <c r="F189" s="42" t="str">
        <f>IF(Transactions!$G189&lt;&gt;"",Transactions!$H189&amp;" "&amp;Transactions!$G189,)</f>
        <v/>
      </c>
    </row>
    <row r="190">
      <c r="A190" s="55" t="str">
        <f>IF(Transactions!$B190&lt;&gt;"",DATE(LEFT(Transactions!$B190,4),MID(Transactions!$B190,6,2),MID(Transactions!$B190,9,2)),)</f>
        <v/>
      </c>
      <c r="B190" s="56" t="str">
        <f>Transactions!$C190</f>
        <v/>
      </c>
      <c r="C190" s="51" t="str">
        <f t="array" ref="C190">IFERROR(INDEX(Portfolio!$B:$B, MATCH($B190, Portfolio!$A:$A, 0)),Transactions!$B190)</f>
        <v/>
      </c>
      <c r="D190" s="51" t="str">
        <f>IF($B190&lt;&gt;"",Transactions!$E190*1,)</f>
        <v/>
      </c>
      <c r="E190" s="51" t="str">
        <f>IF($B190&lt;&gt;"",Transactions!$F190*1,)</f>
        <v/>
      </c>
      <c r="F190" s="42" t="str">
        <f>IF(Transactions!$G190&lt;&gt;"",Transactions!$H190&amp;" "&amp;Transactions!$G190,)</f>
        <v/>
      </c>
    </row>
    <row r="191">
      <c r="A191" s="55" t="str">
        <f>IF(Transactions!$B191&lt;&gt;"",DATE(LEFT(Transactions!$B191,4),MID(Transactions!$B191,6,2),MID(Transactions!$B191,9,2)),)</f>
        <v/>
      </c>
      <c r="B191" s="56" t="str">
        <f>Transactions!$C191</f>
        <v/>
      </c>
      <c r="C191" s="51" t="str">
        <f t="array" ref="C191">IFERROR(INDEX(Portfolio!$B:$B, MATCH($B191, Portfolio!$A:$A, 0)),Transactions!$B191)</f>
        <v/>
      </c>
      <c r="D191" s="51" t="str">
        <f>IF($B191&lt;&gt;"",Transactions!$E191*1,)</f>
        <v/>
      </c>
      <c r="E191" s="51" t="str">
        <f>IF($B191&lt;&gt;"",Transactions!$F191*1,)</f>
        <v/>
      </c>
      <c r="F191" s="42" t="str">
        <f>IF(Transactions!$G191&lt;&gt;"",Transactions!$H191&amp;" "&amp;Transactions!$G191,)</f>
        <v/>
      </c>
    </row>
    <row r="192">
      <c r="A192" s="55" t="str">
        <f>IF(Transactions!$B192&lt;&gt;"",DATE(LEFT(Transactions!$B192,4),MID(Transactions!$B192,6,2),MID(Transactions!$B192,9,2)),)</f>
        <v/>
      </c>
      <c r="B192" s="56" t="str">
        <f>Transactions!$C192</f>
        <v/>
      </c>
      <c r="C192" s="51" t="str">
        <f t="array" ref="C192">IFERROR(INDEX(Portfolio!$B:$B, MATCH($B192, Portfolio!$A:$A, 0)),Transactions!$B192)</f>
        <v/>
      </c>
      <c r="D192" s="51" t="str">
        <f>IF($B192&lt;&gt;"",Transactions!$E192*1,)</f>
        <v/>
      </c>
      <c r="E192" s="51" t="str">
        <f>IF($B192&lt;&gt;"",Transactions!$F192*1,)</f>
        <v/>
      </c>
      <c r="F192" s="42" t="str">
        <f>IF(Transactions!$G192&lt;&gt;"",Transactions!$H192&amp;" "&amp;Transactions!$G192,)</f>
        <v/>
      </c>
    </row>
    <row r="193">
      <c r="A193" s="55" t="str">
        <f>IF(Transactions!$B193&lt;&gt;"",DATE(LEFT(Transactions!$B193,4),MID(Transactions!$B193,6,2),MID(Transactions!$B193,9,2)),)</f>
        <v/>
      </c>
      <c r="B193" s="56" t="str">
        <f>Transactions!$C193</f>
        <v/>
      </c>
      <c r="C193" s="51" t="str">
        <f t="array" ref="C193">IFERROR(INDEX(Portfolio!$B:$B, MATCH($B193, Portfolio!$A:$A, 0)),Transactions!$B193)</f>
        <v/>
      </c>
      <c r="D193" s="51" t="str">
        <f>IF($B193&lt;&gt;"",Transactions!$E193*1,)</f>
        <v/>
      </c>
      <c r="E193" s="51" t="str">
        <f>IF($B193&lt;&gt;"",Transactions!$F193*1,)</f>
        <v/>
      </c>
      <c r="F193" s="42" t="str">
        <f>IF(Transactions!$G193&lt;&gt;"",Transactions!$H193&amp;" "&amp;Transactions!$G193,)</f>
        <v/>
      </c>
    </row>
    <row r="194">
      <c r="A194" s="55" t="str">
        <f>IF(Transactions!$B194&lt;&gt;"",DATE(LEFT(Transactions!$B194,4),MID(Transactions!$B194,6,2),MID(Transactions!$B194,9,2)),)</f>
        <v/>
      </c>
      <c r="B194" s="56" t="str">
        <f>Transactions!$C194</f>
        <v/>
      </c>
      <c r="C194" s="51" t="str">
        <f t="array" ref="C194">IFERROR(INDEX(Portfolio!$B:$B, MATCH($B194, Portfolio!$A:$A, 0)),Transactions!$B194)</f>
        <v/>
      </c>
      <c r="D194" s="51" t="str">
        <f>IF($B194&lt;&gt;"",Transactions!$E194*1,)</f>
        <v/>
      </c>
      <c r="E194" s="51" t="str">
        <f>IF($B194&lt;&gt;"",Transactions!$F194*1,)</f>
        <v/>
      </c>
      <c r="F194" s="42" t="str">
        <f>IF(Transactions!$G194&lt;&gt;"",Transactions!$H194&amp;" "&amp;Transactions!$G194,)</f>
        <v/>
      </c>
    </row>
    <row r="195">
      <c r="A195" s="55" t="str">
        <f>IF(Transactions!$B195&lt;&gt;"",DATE(LEFT(Transactions!$B195,4),MID(Transactions!$B195,6,2),MID(Transactions!$B195,9,2)),)</f>
        <v/>
      </c>
      <c r="B195" s="56" t="str">
        <f>Transactions!$C195</f>
        <v/>
      </c>
      <c r="C195" s="51" t="str">
        <f t="array" ref="C195">IFERROR(INDEX(Portfolio!$B:$B, MATCH($B195, Portfolio!$A:$A, 0)),Transactions!$B195)</f>
        <v/>
      </c>
      <c r="D195" s="51" t="str">
        <f>IF($B195&lt;&gt;"",Transactions!$E195*1,)</f>
        <v/>
      </c>
      <c r="E195" s="51" t="str">
        <f>IF($B195&lt;&gt;"",Transactions!$F195*1,)</f>
        <v/>
      </c>
      <c r="F195" s="42" t="str">
        <f>IF(Transactions!$G195&lt;&gt;"",Transactions!$H195&amp;" "&amp;Transactions!$G195,)</f>
        <v/>
      </c>
    </row>
    <row r="196">
      <c r="A196" s="55" t="str">
        <f>IF(Transactions!$B196&lt;&gt;"",DATE(LEFT(Transactions!$B196,4),MID(Transactions!$B196,6,2),MID(Transactions!$B196,9,2)),)</f>
        <v/>
      </c>
      <c r="B196" s="56" t="str">
        <f>Transactions!$C196</f>
        <v/>
      </c>
      <c r="C196" s="51" t="str">
        <f t="array" ref="C196">IFERROR(INDEX(Portfolio!$B:$B, MATCH($B196, Portfolio!$A:$A, 0)),Transactions!$B196)</f>
        <v/>
      </c>
      <c r="D196" s="51" t="str">
        <f>IF($B196&lt;&gt;"",Transactions!$E196*1,)</f>
        <v/>
      </c>
      <c r="E196" s="51" t="str">
        <f>IF($B196&lt;&gt;"",Transactions!$F196*1,)</f>
        <v/>
      </c>
      <c r="F196" s="42" t="str">
        <f>IF(Transactions!$G196&lt;&gt;"",Transactions!$H196&amp;" "&amp;Transactions!$G196,)</f>
        <v/>
      </c>
    </row>
    <row r="197">
      <c r="A197" s="55" t="str">
        <f>IF(Transactions!$B197&lt;&gt;"",DATE(LEFT(Transactions!$B197,4),MID(Transactions!$B197,6,2),MID(Transactions!$B197,9,2)),)</f>
        <v/>
      </c>
      <c r="B197" s="56" t="str">
        <f>Transactions!$C197</f>
        <v/>
      </c>
      <c r="C197" s="51" t="str">
        <f t="array" ref="C197">IFERROR(INDEX(Portfolio!$B:$B, MATCH($B197, Portfolio!$A:$A, 0)),Transactions!$B197)</f>
        <v/>
      </c>
      <c r="D197" s="51" t="str">
        <f>IF($B197&lt;&gt;"",Transactions!$E197*1,)</f>
        <v/>
      </c>
      <c r="E197" s="51" t="str">
        <f>IF($B197&lt;&gt;"",Transactions!$F197*1,)</f>
        <v/>
      </c>
      <c r="F197" s="42" t="str">
        <f>IF(Transactions!$G197&lt;&gt;"",Transactions!$H197&amp;" "&amp;Transactions!$G197,)</f>
        <v/>
      </c>
    </row>
    <row r="198">
      <c r="A198" s="55" t="str">
        <f>IF(Transactions!$B198&lt;&gt;"",DATE(LEFT(Transactions!$B198,4),MID(Transactions!$B198,6,2),MID(Transactions!$B198,9,2)),)</f>
        <v/>
      </c>
      <c r="B198" s="56" t="str">
        <f>Transactions!$C198</f>
        <v/>
      </c>
      <c r="C198" s="51" t="str">
        <f t="array" ref="C198">IFERROR(INDEX(Portfolio!$B:$B, MATCH($B198, Portfolio!$A:$A, 0)),Transactions!$B198)</f>
        <v/>
      </c>
      <c r="D198" s="51" t="str">
        <f>IF($B198&lt;&gt;"",Transactions!$E198*1,)</f>
        <v/>
      </c>
      <c r="E198" s="51" t="str">
        <f>IF($B198&lt;&gt;"",Transactions!$F198*1,)</f>
        <v/>
      </c>
      <c r="F198" s="42" t="str">
        <f>IF(Transactions!$G198&lt;&gt;"",Transactions!$H198&amp;" "&amp;Transactions!$G198,)</f>
        <v/>
      </c>
    </row>
    <row r="199">
      <c r="A199" s="55" t="str">
        <f>IF(Transactions!$B199&lt;&gt;"",DATE(LEFT(Transactions!$B199,4),MID(Transactions!$B199,6,2),MID(Transactions!$B199,9,2)),)</f>
        <v/>
      </c>
      <c r="B199" s="56" t="str">
        <f>Transactions!$C199</f>
        <v/>
      </c>
      <c r="C199" s="51" t="str">
        <f t="array" ref="C199">IFERROR(INDEX(Portfolio!$B:$B, MATCH($B199, Portfolio!$A:$A, 0)),Transactions!$B199)</f>
        <v/>
      </c>
      <c r="D199" s="51" t="str">
        <f>IF($B199&lt;&gt;"",Transactions!$E199*1,)</f>
        <v/>
      </c>
      <c r="E199" s="51" t="str">
        <f>IF($B199&lt;&gt;"",Transactions!$F199*1,)</f>
        <v/>
      </c>
      <c r="F199" s="42" t="str">
        <f>IF(Transactions!$G199&lt;&gt;"",Transactions!$H199&amp;" "&amp;Transactions!$G199,)</f>
        <v/>
      </c>
    </row>
    <row r="200">
      <c r="A200" s="55" t="str">
        <f>IF(Transactions!$B200&lt;&gt;"",DATE(LEFT(Transactions!$B200,4),MID(Transactions!$B200,6,2),MID(Transactions!$B200,9,2)),)</f>
        <v/>
      </c>
      <c r="B200" s="56" t="str">
        <f>Transactions!$C200</f>
        <v/>
      </c>
      <c r="C200" s="51" t="str">
        <f t="array" ref="C200">IFERROR(INDEX(Portfolio!$B:$B, MATCH($B200, Portfolio!$A:$A, 0)),Transactions!$B200)</f>
        <v/>
      </c>
      <c r="D200" s="51" t="str">
        <f>IF($B200&lt;&gt;"",Transactions!$E200*1,)</f>
        <v/>
      </c>
      <c r="E200" s="51" t="str">
        <f>IF($B200&lt;&gt;"",Transactions!$F200*1,)</f>
        <v/>
      </c>
      <c r="F200" s="42" t="str">
        <f>IF(Transactions!$G200&lt;&gt;"",Transactions!$H200&amp;" "&amp;Transactions!$G200,)</f>
        <v/>
      </c>
    </row>
    <row r="201">
      <c r="A201" s="55" t="str">
        <f>IF(Transactions!$B201&lt;&gt;"",DATE(LEFT(Transactions!$B201,4),MID(Transactions!$B201,6,2),MID(Transactions!$B201,9,2)),)</f>
        <v/>
      </c>
      <c r="B201" s="56" t="str">
        <f>Transactions!$C201</f>
        <v/>
      </c>
      <c r="C201" s="51" t="str">
        <f t="array" ref="C201">IFERROR(INDEX(Portfolio!$B:$B, MATCH($B201, Portfolio!$A:$A, 0)),Transactions!$B201)</f>
        <v/>
      </c>
      <c r="D201" s="51" t="str">
        <f>IF($B201&lt;&gt;"",Transactions!$E201*1,)</f>
        <v/>
      </c>
      <c r="E201" s="51" t="str">
        <f>IF($B201&lt;&gt;"",Transactions!$F201*1,)</f>
        <v/>
      </c>
      <c r="F201" s="42" t="str">
        <f>IF(Transactions!$G201&lt;&gt;"",Transactions!$H201&amp;" "&amp;Transactions!$G201,)</f>
        <v/>
      </c>
    </row>
    <row r="202">
      <c r="A202" s="55" t="str">
        <f>IF(Transactions!$B202&lt;&gt;"",DATE(LEFT(Transactions!$B202,4),MID(Transactions!$B202,6,2),MID(Transactions!$B202,9,2)),)</f>
        <v/>
      </c>
      <c r="B202" s="56" t="str">
        <f>Transactions!$C202</f>
        <v/>
      </c>
      <c r="C202" s="51" t="str">
        <f t="array" ref="C202">IFERROR(INDEX(Portfolio!$B:$B, MATCH($B202, Portfolio!$A:$A, 0)),Transactions!$B202)</f>
        <v/>
      </c>
      <c r="D202" s="51" t="str">
        <f>IF($B202&lt;&gt;"",Transactions!$E202*1,)</f>
        <v/>
      </c>
      <c r="E202" s="51" t="str">
        <f>IF($B202&lt;&gt;"",Transactions!$F202*1,)</f>
        <v/>
      </c>
      <c r="F202" s="42" t="str">
        <f>IF(Transactions!$G202&lt;&gt;"",Transactions!$H202&amp;" "&amp;Transactions!$G202,)</f>
        <v/>
      </c>
    </row>
    <row r="203">
      <c r="A203" s="55" t="str">
        <f>IF(Transactions!$B203&lt;&gt;"",DATE(LEFT(Transactions!$B203,4),MID(Transactions!$B203,6,2),MID(Transactions!$B203,9,2)),)</f>
        <v/>
      </c>
      <c r="B203" s="56" t="str">
        <f>Transactions!$C203</f>
        <v/>
      </c>
      <c r="C203" s="51" t="str">
        <f t="array" ref="C203">IFERROR(INDEX(Portfolio!$B:$B, MATCH($B203, Portfolio!$A:$A, 0)),Transactions!$B203)</f>
        <v/>
      </c>
      <c r="D203" s="51" t="str">
        <f>IF($B203&lt;&gt;"",Transactions!$E203*1,)</f>
        <v/>
      </c>
      <c r="E203" s="51" t="str">
        <f>IF($B203&lt;&gt;"",Transactions!$F203*1,)</f>
        <v/>
      </c>
      <c r="F203" s="42" t="str">
        <f>IF(Transactions!$G203&lt;&gt;"",Transactions!$H203&amp;" "&amp;Transactions!$G203,)</f>
        <v/>
      </c>
    </row>
    <row r="204">
      <c r="A204" s="55" t="str">
        <f>IF(Transactions!$B204&lt;&gt;"",DATE(LEFT(Transactions!$B204,4),MID(Transactions!$B204,6,2),MID(Transactions!$B204,9,2)),)</f>
        <v/>
      </c>
      <c r="B204" s="56" t="str">
        <f>Transactions!$C204</f>
        <v/>
      </c>
      <c r="C204" s="51" t="str">
        <f t="array" ref="C204">IFERROR(INDEX(Portfolio!$B:$B, MATCH($B204, Portfolio!$A:$A, 0)),Transactions!$B204)</f>
        <v/>
      </c>
      <c r="D204" s="51" t="str">
        <f>IF($B204&lt;&gt;"",Transactions!$E204*1,)</f>
        <v/>
      </c>
      <c r="E204" s="51" t="str">
        <f>IF($B204&lt;&gt;"",Transactions!$F204*1,)</f>
        <v/>
      </c>
      <c r="F204" s="42" t="str">
        <f>IF(Transactions!$G204&lt;&gt;"",Transactions!$H204&amp;" "&amp;Transactions!$G204,)</f>
        <v/>
      </c>
    </row>
    <row r="205">
      <c r="A205" s="55" t="str">
        <f>IF(Transactions!$B205&lt;&gt;"",DATE(LEFT(Transactions!$B205,4),MID(Transactions!$B205,6,2),MID(Transactions!$B205,9,2)),)</f>
        <v/>
      </c>
      <c r="B205" s="56" t="str">
        <f>Transactions!$C205</f>
        <v/>
      </c>
      <c r="C205" s="51" t="str">
        <f t="array" ref="C205">IFERROR(INDEX(Portfolio!$B:$B, MATCH($B205, Portfolio!$A:$A, 0)),Transactions!$B205)</f>
        <v/>
      </c>
      <c r="D205" s="51" t="str">
        <f>IF($B205&lt;&gt;"",Transactions!$E205*1,)</f>
        <v/>
      </c>
      <c r="E205" s="51" t="str">
        <f>IF($B205&lt;&gt;"",Transactions!$F205*1,)</f>
        <v/>
      </c>
      <c r="F205" s="42" t="str">
        <f>IF(Transactions!$G205&lt;&gt;"",Transactions!$H205&amp;" "&amp;Transactions!$G205,)</f>
        <v/>
      </c>
    </row>
    <row r="206">
      <c r="A206" s="55" t="str">
        <f>IF(Transactions!$B206&lt;&gt;"",DATE(LEFT(Transactions!$B206,4),MID(Transactions!$B206,6,2),MID(Transactions!$B206,9,2)),)</f>
        <v/>
      </c>
      <c r="B206" s="56" t="str">
        <f>Transactions!$C206</f>
        <v/>
      </c>
      <c r="C206" s="51" t="str">
        <f t="array" ref="C206">IFERROR(INDEX(Portfolio!$B:$B, MATCH($B206, Portfolio!$A:$A, 0)),Transactions!$B206)</f>
        <v/>
      </c>
      <c r="D206" s="51" t="str">
        <f>IF($B206&lt;&gt;"",Transactions!$E206*1,)</f>
        <v/>
      </c>
      <c r="E206" s="51" t="str">
        <f>IF($B206&lt;&gt;"",Transactions!$F206*1,)</f>
        <v/>
      </c>
      <c r="F206" s="42" t="str">
        <f>IF(Transactions!$G206&lt;&gt;"",Transactions!$H206&amp;" "&amp;Transactions!$G206,)</f>
        <v/>
      </c>
    </row>
    <row r="207">
      <c r="A207" s="55" t="str">
        <f>IF(Transactions!$B207&lt;&gt;"",DATE(LEFT(Transactions!$B207,4),MID(Transactions!$B207,6,2),MID(Transactions!$B207,9,2)),)</f>
        <v/>
      </c>
      <c r="B207" s="56" t="str">
        <f>Transactions!$C207</f>
        <v/>
      </c>
      <c r="C207" s="51" t="str">
        <f t="array" ref="C207">IFERROR(INDEX(Portfolio!$B:$B, MATCH($B207, Portfolio!$A:$A, 0)),Transactions!$B207)</f>
        <v/>
      </c>
      <c r="D207" s="51" t="str">
        <f>IF($B207&lt;&gt;"",Transactions!$E207*1,)</f>
        <v/>
      </c>
      <c r="E207" s="51" t="str">
        <f>IF($B207&lt;&gt;"",Transactions!$F207*1,)</f>
        <v/>
      </c>
      <c r="F207" s="42" t="str">
        <f>IF(Transactions!$G207&lt;&gt;"",Transactions!$H207&amp;" "&amp;Transactions!$G207,)</f>
        <v/>
      </c>
    </row>
    <row r="208">
      <c r="A208" s="55" t="str">
        <f>IF(Transactions!$B208&lt;&gt;"",DATE(LEFT(Transactions!$B208,4),MID(Transactions!$B208,6,2),MID(Transactions!$B208,9,2)),)</f>
        <v/>
      </c>
      <c r="B208" s="56" t="str">
        <f>Transactions!$C208</f>
        <v/>
      </c>
      <c r="C208" s="51" t="str">
        <f t="array" ref="C208">IFERROR(INDEX(Portfolio!$B:$B, MATCH($B208, Portfolio!$A:$A, 0)),Transactions!$B208)</f>
        <v/>
      </c>
      <c r="D208" s="51" t="str">
        <f>IF($B208&lt;&gt;"",Transactions!$E208*1,)</f>
        <v/>
      </c>
      <c r="E208" s="51" t="str">
        <f>IF($B208&lt;&gt;"",Transactions!$F208*1,)</f>
        <v/>
      </c>
      <c r="F208" s="42" t="str">
        <f>IF(Transactions!$G208&lt;&gt;"",Transactions!$H208&amp;" "&amp;Transactions!$G208,)</f>
        <v/>
      </c>
    </row>
    <row r="209">
      <c r="A209" s="55" t="str">
        <f>IF(Transactions!$B209&lt;&gt;"",DATE(LEFT(Transactions!$B209,4),MID(Transactions!$B209,6,2),MID(Transactions!$B209,9,2)),)</f>
        <v/>
      </c>
      <c r="B209" s="56" t="str">
        <f>Transactions!$C209</f>
        <v/>
      </c>
      <c r="C209" s="51" t="str">
        <f t="array" ref="C209">IFERROR(INDEX(Portfolio!$B:$B, MATCH($B209, Portfolio!$A:$A, 0)),Transactions!$B209)</f>
        <v/>
      </c>
      <c r="D209" s="51" t="str">
        <f>IF($B209&lt;&gt;"",Transactions!$E209*1,)</f>
        <v/>
      </c>
      <c r="E209" s="51" t="str">
        <f>IF($B209&lt;&gt;"",Transactions!$F209*1,)</f>
        <v/>
      </c>
      <c r="F209" s="42" t="str">
        <f>IF(Transactions!$G209&lt;&gt;"",Transactions!$H209&amp;" "&amp;Transactions!$G209,)</f>
        <v/>
      </c>
    </row>
    <row r="210">
      <c r="A210" s="55" t="str">
        <f>IF(Transactions!$B210&lt;&gt;"",DATE(LEFT(Transactions!$B210,4),MID(Transactions!$B210,6,2),MID(Transactions!$B210,9,2)),)</f>
        <v/>
      </c>
      <c r="B210" s="56" t="str">
        <f>Transactions!$C210</f>
        <v/>
      </c>
      <c r="C210" s="51" t="str">
        <f t="array" ref="C210">IFERROR(INDEX(Portfolio!$B:$B, MATCH($B210, Portfolio!$A:$A, 0)),Transactions!$B210)</f>
        <v/>
      </c>
      <c r="D210" s="51" t="str">
        <f>IF($B210&lt;&gt;"",Transactions!$E210*1,)</f>
        <v/>
      </c>
      <c r="E210" s="51" t="str">
        <f>IF($B210&lt;&gt;"",Transactions!$F210*1,)</f>
        <v/>
      </c>
      <c r="F210" s="42" t="str">
        <f>IF(Transactions!$G210&lt;&gt;"",Transactions!$H210&amp;" "&amp;Transactions!$G210,)</f>
        <v/>
      </c>
    </row>
    <row r="211">
      <c r="A211" s="55" t="str">
        <f>IF(Transactions!$B211&lt;&gt;"",DATE(LEFT(Transactions!$B211,4),MID(Transactions!$B211,6,2),MID(Transactions!$B211,9,2)),)</f>
        <v/>
      </c>
      <c r="B211" s="56" t="str">
        <f>Transactions!$C211</f>
        <v/>
      </c>
      <c r="C211" s="51" t="str">
        <f t="array" ref="C211">IFERROR(INDEX(Portfolio!$B:$B, MATCH($B211, Portfolio!$A:$A, 0)),Transactions!$B211)</f>
        <v/>
      </c>
      <c r="D211" s="51" t="str">
        <f>IF($B211&lt;&gt;"",Transactions!$E211*1,)</f>
        <v/>
      </c>
      <c r="E211" s="51" t="str">
        <f>IF($B211&lt;&gt;"",Transactions!$F211*1,)</f>
        <v/>
      </c>
      <c r="F211" s="42" t="str">
        <f>IF(Transactions!$G211&lt;&gt;"",Transactions!$H211&amp;" "&amp;Transactions!$G211,)</f>
        <v/>
      </c>
    </row>
    <row r="212">
      <c r="A212" s="55" t="str">
        <f>IF(Transactions!$B212&lt;&gt;"",DATE(LEFT(Transactions!$B212,4),MID(Transactions!$B212,6,2),MID(Transactions!$B212,9,2)),)</f>
        <v/>
      </c>
      <c r="B212" s="56" t="str">
        <f>Transactions!$C212</f>
        <v/>
      </c>
      <c r="C212" s="51" t="str">
        <f t="array" ref="C212">IFERROR(INDEX(Portfolio!$B:$B, MATCH($B212, Portfolio!$A:$A, 0)),Transactions!$B212)</f>
        <v/>
      </c>
      <c r="D212" s="51" t="str">
        <f>IF($B212&lt;&gt;"",Transactions!$E212*1,)</f>
        <v/>
      </c>
      <c r="E212" s="51" t="str">
        <f>IF($B212&lt;&gt;"",Transactions!$F212*1,)</f>
        <v/>
      </c>
      <c r="F212" s="42" t="str">
        <f>IF(Transactions!$G212&lt;&gt;"",Transactions!$H212&amp;" "&amp;Transactions!$G212,)</f>
        <v/>
      </c>
    </row>
    <row r="213">
      <c r="A213" s="55" t="str">
        <f>IF(Transactions!$B213&lt;&gt;"",DATE(LEFT(Transactions!$B213,4),MID(Transactions!$B213,6,2),MID(Transactions!$B213,9,2)),)</f>
        <v/>
      </c>
      <c r="B213" s="56" t="str">
        <f>Transactions!$C213</f>
        <v/>
      </c>
      <c r="C213" s="51" t="str">
        <f t="array" ref="C213">IFERROR(INDEX(Portfolio!$B:$B, MATCH($B213, Portfolio!$A:$A, 0)),Transactions!$B213)</f>
        <v/>
      </c>
      <c r="D213" s="51" t="str">
        <f>IF($B213&lt;&gt;"",Transactions!$E213*1,)</f>
        <v/>
      </c>
      <c r="E213" s="51" t="str">
        <f>IF($B213&lt;&gt;"",Transactions!$F213*1,)</f>
        <v/>
      </c>
      <c r="F213" s="42" t="str">
        <f>IF(Transactions!$G213&lt;&gt;"",Transactions!$H213&amp;" "&amp;Transactions!$G213,)</f>
        <v/>
      </c>
    </row>
    <row r="214">
      <c r="A214" s="55" t="str">
        <f>IF(Transactions!$B214&lt;&gt;"",DATE(LEFT(Transactions!$B214,4),MID(Transactions!$B214,6,2),MID(Transactions!$B214,9,2)),)</f>
        <v/>
      </c>
      <c r="B214" s="56" t="str">
        <f>Transactions!$C214</f>
        <v/>
      </c>
      <c r="C214" s="51" t="str">
        <f t="array" ref="C214">IFERROR(INDEX(Portfolio!$B:$B, MATCH($B214, Portfolio!$A:$A, 0)),Transactions!$B214)</f>
        <v/>
      </c>
      <c r="D214" s="51" t="str">
        <f>IF($B214&lt;&gt;"",Transactions!$E214*1,)</f>
        <v/>
      </c>
      <c r="E214" s="51" t="str">
        <f>IF($B214&lt;&gt;"",Transactions!$F214*1,)</f>
        <v/>
      </c>
      <c r="F214" s="42" t="str">
        <f>IF(Transactions!$G214&lt;&gt;"",Transactions!$H214&amp;" "&amp;Transactions!$G214,)</f>
        <v/>
      </c>
    </row>
    <row r="215">
      <c r="A215" s="55" t="str">
        <f>IF(Transactions!$B215&lt;&gt;"",DATE(LEFT(Transactions!$B215,4),MID(Transactions!$B215,6,2),MID(Transactions!$B215,9,2)),)</f>
        <v/>
      </c>
      <c r="B215" s="56" t="str">
        <f>Transactions!$C215</f>
        <v/>
      </c>
      <c r="C215" s="51" t="str">
        <f t="array" ref="C215">IFERROR(INDEX(Portfolio!$B:$B, MATCH($B215, Portfolio!$A:$A, 0)),Transactions!$B215)</f>
        <v/>
      </c>
      <c r="D215" s="51" t="str">
        <f>IF($B215&lt;&gt;"",Transactions!$E215*1,)</f>
        <v/>
      </c>
      <c r="E215" s="51" t="str">
        <f>IF($B215&lt;&gt;"",Transactions!$F215*1,)</f>
        <v/>
      </c>
      <c r="F215" s="42" t="str">
        <f>IF(Transactions!$G215&lt;&gt;"",Transactions!$H215&amp;" "&amp;Transactions!$G215,)</f>
        <v/>
      </c>
    </row>
    <row r="216">
      <c r="A216" s="55" t="str">
        <f>IF(Transactions!$B216&lt;&gt;"",DATE(LEFT(Transactions!$B216,4),MID(Transactions!$B216,6,2),MID(Transactions!$B216,9,2)),)</f>
        <v/>
      </c>
      <c r="B216" s="56" t="str">
        <f>Transactions!$C216</f>
        <v/>
      </c>
      <c r="C216" s="51" t="str">
        <f t="array" ref="C216">IFERROR(INDEX(Portfolio!$B:$B, MATCH($B216, Portfolio!$A:$A, 0)),Transactions!$B216)</f>
        <v/>
      </c>
      <c r="D216" s="51" t="str">
        <f>IF($B216&lt;&gt;"",Transactions!$E216*1,)</f>
        <v/>
      </c>
      <c r="E216" s="51" t="str">
        <f>IF($B216&lt;&gt;"",Transactions!$F216*1,)</f>
        <v/>
      </c>
      <c r="F216" s="42" t="str">
        <f>IF(Transactions!$G216&lt;&gt;"",Transactions!$H216&amp;" "&amp;Transactions!$G216,)</f>
        <v/>
      </c>
    </row>
    <row r="217">
      <c r="A217" s="55" t="str">
        <f>IF(Transactions!$B217&lt;&gt;"",DATE(LEFT(Transactions!$B217,4),MID(Transactions!$B217,6,2),MID(Transactions!$B217,9,2)),)</f>
        <v/>
      </c>
      <c r="B217" s="56" t="str">
        <f>Transactions!$C217</f>
        <v/>
      </c>
      <c r="C217" s="51" t="str">
        <f t="array" ref="C217">IFERROR(INDEX(Portfolio!$B:$B, MATCH($B217, Portfolio!$A:$A, 0)),Transactions!$B217)</f>
        <v/>
      </c>
      <c r="D217" s="51" t="str">
        <f>IF($B217&lt;&gt;"",Transactions!$E217*1,)</f>
        <v/>
      </c>
      <c r="E217" s="51" t="str">
        <f>IF($B217&lt;&gt;"",Transactions!$F217*1,)</f>
        <v/>
      </c>
      <c r="F217" s="42" t="str">
        <f>IF(Transactions!$G217&lt;&gt;"",Transactions!$H217&amp;" "&amp;Transactions!$G217,)</f>
        <v/>
      </c>
    </row>
    <row r="218">
      <c r="A218" s="55" t="str">
        <f>IF(Transactions!$B218&lt;&gt;"",DATE(LEFT(Transactions!$B218,4),MID(Transactions!$B218,6,2),MID(Transactions!$B218,9,2)),)</f>
        <v/>
      </c>
      <c r="B218" s="56" t="str">
        <f>Transactions!$C218</f>
        <v/>
      </c>
      <c r="C218" s="51" t="str">
        <f t="array" ref="C218">IFERROR(INDEX(Portfolio!$B:$B, MATCH($B218, Portfolio!$A:$A, 0)),Transactions!$B218)</f>
        <v/>
      </c>
      <c r="D218" s="51" t="str">
        <f>IF($B218&lt;&gt;"",Transactions!$E218*1,)</f>
        <v/>
      </c>
      <c r="E218" s="51" t="str">
        <f>IF($B218&lt;&gt;"",Transactions!$F218*1,)</f>
        <v/>
      </c>
      <c r="F218" s="42" t="str">
        <f>IF(Transactions!$G218&lt;&gt;"",Transactions!$H218&amp;" "&amp;Transactions!$G218,)</f>
        <v/>
      </c>
    </row>
    <row r="219">
      <c r="A219" s="55" t="str">
        <f>IF(Transactions!$B219&lt;&gt;"",DATE(LEFT(Transactions!$B219,4),MID(Transactions!$B219,6,2),MID(Transactions!$B219,9,2)),)</f>
        <v/>
      </c>
      <c r="B219" s="56" t="str">
        <f>Transactions!$C219</f>
        <v/>
      </c>
      <c r="C219" s="51" t="str">
        <f t="array" ref="C219">IFERROR(INDEX(Portfolio!$B:$B, MATCH($B219, Portfolio!$A:$A, 0)),Transactions!$B219)</f>
        <v/>
      </c>
      <c r="D219" s="51" t="str">
        <f>IF($B219&lt;&gt;"",Transactions!$E219*1,)</f>
        <v/>
      </c>
      <c r="E219" s="51" t="str">
        <f>IF($B219&lt;&gt;"",Transactions!$F219*1,)</f>
        <v/>
      </c>
      <c r="F219" s="42" t="str">
        <f>IF(Transactions!$G219&lt;&gt;"",Transactions!$H219&amp;" "&amp;Transactions!$G219,)</f>
        <v/>
      </c>
    </row>
    <row r="220">
      <c r="A220" s="55" t="str">
        <f>IF(Transactions!$B220&lt;&gt;"",DATE(LEFT(Transactions!$B220,4),MID(Transactions!$B220,6,2),MID(Transactions!$B220,9,2)),)</f>
        <v/>
      </c>
      <c r="B220" s="56" t="str">
        <f>Transactions!$C220</f>
        <v/>
      </c>
      <c r="C220" s="51" t="str">
        <f t="array" ref="C220">IFERROR(INDEX(Portfolio!$B:$B, MATCH($B220, Portfolio!$A:$A, 0)),Transactions!$B220)</f>
        <v/>
      </c>
      <c r="D220" s="51" t="str">
        <f>IF($B220&lt;&gt;"",Transactions!$E220*1,)</f>
        <v/>
      </c>
      <c r="E220" s="51" t="str">
        <f>IF($B220&lt;&gt;"",Transactions!$F220*1,)</f>
        <v/>
      </c>
      <c r="F220" s="42" t="str">
        <f>IF(Transactions!$G220&lt;&gt;"",Transactions!$H220&amp;" "&amp;Transactions!$G220,)</f>
        <v/>
      </c>
    </row>
    <row r="221">
      <c r="A221" s="55" t="str">
        <f>IF(Transactions!$B221&lt;&gt;"",DATE(LEFT(Transactions!$B221,4),MID(Transactions!$B221,6,2),MID(Transactions!$B221,9,2)),)</f>
        <v/>
      </c>
      <c r="B221" s="56" t="str">
        <f>Transactions!$C221</f>
        <v/>
      </c>
      <c r="C221" s="51" t="str">
        <f t="array" ref="C221">IFERROR(INDEX(Portfolio!$B:$B, MATCH($B221, Portfolio!$A:$A, 0)),Transactions!$B221)</f>
        <v/>
      </c>
      <c r="D221" s="51" t="str">
        <f>IF($B221&lt;&gt;"",Transactions!$E221*1,)</f>
        <v/>
      </c>
      <c r="E221" s="51" t="str">
        <f>IF($B221&lt;&gt;"",Transactions!$F221*1,)</f>
        <v/>
      </c>
      <c r="F221" s="42" t="str">
        <f>IF(Transactions!$G221&lt;&gt;"",Transactions!$H221&amp;" "&amp;Transactions!$G221,)</f>
        <v/>
      </c>
    </row>
    <row r="222">
      <c r="A222" s="55" t="str">
        <f>IF(Transactions!$B222&lt;&gt;"",DATE(LEFT(Transactions!$B222,4),MID(Transactions!$B222,6,2),MID(Transactions!$B222,9,2)),)</f>
        <v/>
      </c>
      <c r="B222" s="56" t="str">
        <f>Transactions!$C222</f>
        <v/>
      </c>
      <c r="C222" s="51" t="str">
        <f t="array" ref="C222">IFERROR(INDEX(Portfolio!$B:$B, MATCH($B222, Portfolio!$A:$A, 0)),Transactions!$B222)</f>
        <v/>
      </c>
      <c r="D222" s="51" t="str">
        <f>IF($B222&lt;&gt;"",Transactions!$E222*1,)</f>
        <v/>
      </c>
      <c r="E222" s="51" t="str">
        <f>IF($B222&lt;&gt;"",Transactions!$F222*1,)</f>
        <v/>
      </c>
      <c r="F222" s="42" t="str">
        <f>IF(Transactions!$G222&lt;&gt;"",Transactions!$H222&amp;" "&amp;Transactions!$G222,)</f>
        <v/>
      </c>
    </row>
    <row r="223">
      <c r="A223" s="55" t="str">
        <f>IF(Transactions!$B223&lt;&gt;"",DATE(LEFT(Transactions!$B223,4),MID(Transactions!$B223,6,2),MID(Transactions!$B223,9,2)),)</f>
        <v/>
      </c>
      <c r="B223" s="56" t="str">
        <f>Transactions!$C223</f>
        <v/>
      </c>
      <c r="C223" s="51" t="str">
        <f t="array" ref="C223">IFERROR(INDEX(Portfolio!$B:$B, MATCH($B223, Portfolio!$A:$A, 0)),Transactions!$B223)</f>
        <v/>
      </c>
      <c r="D223" s="51" t="str">
        <f>IF($B223&lt;&gt;"",Transactions!$E223*1,)</f>
        <v/>
      </c>
      <c r="E223" s="51" t="str">
        <f>IF($B223&lt;&gt;"",Transactions!$F223*1,)</f>
        <v/>
      </c>
      <c r="F223" s="42" t="str">
        <f>IF(Transactions!$G223&lt;&gt;"",Transactions!$H223&amp;" "&amp;Transactions!$G223,)</f>
        <v/>
      </c>
    </row>
    <row r="224">
      <c r="A224" s="55" t="str">
        <f>IF(Transactions!$B224&lt;&gt;"",DATE(LEFT(Transactions!$B224,4),MID(Transactions!$B224,6,2),MID(Transactions!$B224,9,2)),)</f>
        <v/>
      </c>
      <c r="B224" s="56" t="str">
        <f>Transactions!$C224</f>
        <v/>
      </c>
      <c r="C224" s="51" t="str">
        <f t="array" ref="C224">IFERROR(INDEX(Portfolio!$B:$B, MATCH($B224, Portfolio!$A:$A, 0)),Transactions!$B224)</f>
        <v/>
      </c>
      <c r="D224" s="51" t="str">
        <f>IF($B224&lt;&gt;"",Transactions!$E224*1,)</f>
        <v/>
      </c>
      <c r="E224" s="51" t="str">
        <f>IF($B224&lt;&gt;"",Transactions!$F224*1,)</f>
        <v/>
      </c>
      <c r="F224" s="42" t="str">
        <f>IF(Transactions!$G224&lt;&gt;"",Transactions!$H224&amp;" "&amp;Transactions!$G224,)</f>
        <v/>
      </c>
    </row>
    <row r="225">
      <c r="A225" s="55" t="str">
        <f>IF(Transactions!$B225&lt;&gt;"",DATE(LEFT(Transactions!$B225,4),MID(Transactions!$B225,6,2),MID(Transactions!$B225,9,2)),)</f>
        <v/>
      </c>
      <c r="B225" s="56" t="str">
        <f>Transactions!$C225</f>
        <v/>
      </c>
      <c r="C225" s="51" t="str">
        <f t="array" ref="C225">IFERROR(INDEX(Portfolio!$B:$B, MATCH($B225, Portfolio!$A:$A, 0)),Transactions!$B225)</f>
        <v/>
      </c>
      <c r="D225" s="51" t="str">
        <f>IF($B225&lt;&gt;"",Transactions!$E225*1,)</f>
        <v/>
      </c>
      <c r="E225" s="51" t="str">
        <f>IF($B225&lt;&gt;"",Transactions!$F225*1,)</f>
        <v/>
      </c>
      <c r="F225" s="42" t="str">
        <f>IF(Transactions!$G225&lt;&gt;"",Transactions!$H225&amp;" "&amp;Transactions!$G225,)</f>
        <v/>
      </c>
    </row>
    <row r="226">
      <c r="A226" s="55" t="str">
        <f>IF(Transactions!$B226&lt;&gt;"",DATE(LEFT(Transactions!$B226,4),MID(Transactions!$B226,6,2),MID(Transactions!$B226,9,2)),)</f>
        <v/>
      </c>
      <c r="B226" s="56" t="str">
        <f>Transactions!$C226</f>
        <v/>
      </c>
      <c r="C226" s="51" t="str">
        <f t="array" ref="C226">IFERROR(INDEX(Portfolio!$B:$B, MATCH($B226, Portfolio!$A:$A, 0)),Transactions!$B226)</f>
        <v/>
      </c>
      <c r="D226" s="51" t="str">
        <f>IF($B226&lt;&gt;"",Transactions!$E226*1,)</f>
        <v/>
      </c>
      <c r="E226" s="51" t="str">
        <f>IF($B226&lt;&gt;"",Transactions!$F226*1,)</f>
        <v/>
      </c>
      <c r="F226" s="42" t="str">
        <f>IF(Transactions!$G226&lt;&gt;"",Transactions!$H226&amp;" "&amp;Transactions!$G226,)</f>
        <v/>
      </c>
    </row>
    <row r="227">
      <c r="A227" s="55" t="str">
        <f>IF(Transactions!$B227&lt;&gt;"",DATE(LEFT(Transactions!$B227,4),MID(Transactions!$B227,6,2),MID(Transactions!$B227,9,2)),)</f>
        <v/>
      </c>
      <c r="B227" s="56" t="str">
        <f>Transactions!$C227</f>
        <v/>
      </c>
      <c r="C227" s="51" t="str">
        <f t="array" ref="C227">IFERROR(INDEX(Portfolio!$B:$B, MATCH($B227, Portfolio!$A:$A, 0)),Transactions!$B227)</f>
        <v/>
      </c>
      <c r="D227" s="51" t="str">
        <f>IF($B227&lt;&gt;"",Transactions!$E227*1,)</f>
        <v/>
      </c>
      <c r="E227" s="51" t="str">
        <f>IF($B227&lt;&gt;"",Transactions!$F227*1,)</f>
        <v/>
      </c>
      <c r="F227" s="42" t="str">
        <f>IF(Transactions!$G227&lt;&gt;"",Transactions!$H227&amp;" "&amp;Transactions!$G227,)</f>
        <v/>
      </c>
    </row>
    <row r="228">
      <c r="A228" s="55" t="str">
        <f>IF(Transactions!$B228&lt;&gt;"",DATE(LEFT(Transactions!$B228,4),MID(Transactions!$B228,6,2),MID(Transactions!$B228,9,2)),)</f>
        <v/>
      </c>
      <c r="B228" s="56" t="str">
        <f>Transactions!$C228</f>
        <v/>
      </c>
      <c r="C228" s="51" t="str">
        <f t="array" ref="C228">IFERROR(INDEX(Portfolio!$B:$B, MATCH($B228, Portfolio!$A:$A, 0)),Transactions!$B228)</f>
        <v/>
      </c>
      <c r="D228" s="51" t="str">
        <f>IF($B228&lt;&gt;"",Transactions!$E228*1,)</f>
        <v/>
      </c>
      <c r="E228" s="51" t="str">
        <f>IF($B228&lt;&gt;"",Transactions!$F228*1,)</f>
        <v/>
      </c>
      <c r="F228" s="42" t="str">
        <f>IF(Transactions!$G228&lt;&gt;"",Transactions!$H228&amp;" "&amp;Transactions!$G228,)</f>
        <v/>
      </c>
    </row>
    <row r="229">
      <c r="A229" s="55" t="str">
        <f>IF(Transactions!$B229&lt;&gt;"",DATE(LEFT(Transactions!$B229,4),MID(Transactions!$B229,6,2),MID(Transactions!$B229,9,2)),)</f>
        <v/>
      </c>
      <c r="B229" s="56" t="str">
        <f>Transactions!$C229</f>
        <v/>
      </c>
      <c r="C229" s="51" t="str">
        <f t="array" ref="C229">IFERROR(INDEX(Portfolio!$B:$B, MATCH($B229, Portfolio!$A:$A, 0)),Transactions!$B229)</f>
        <v/>
      </c>
      <c r="D229" s="51" t="str">
        <f>IF($B229&lt;&gt;"",Transactions!$E229*1,)</f>
        <v/>
      </c>
      <c r="E229" s="51" t="str">
        <f>IF($B229&lt;&gt;"",Transactions!$F229*1,)</f>
        <v/>
      </c>
      <c r="F229" s="42" t="str">
        <f>IF(Transactions!$G229&lt;&gt;"",Transactions!$H229&amp;" "&amp;Transactions!$G229,)</f>
        <v/>
      </c>
    </row>
    <row r="230">
      <c r="A230" s="55" t="str">
        <f>IF(Transactions!$B230&lt;&gt;"",DATE(LEFT(Transactions!$B230,4),MID(Transactions!$B230,6,2),MID(Transactions!$B230,9,2)),)</f>
        <v/>
      </c>
      <c r="B230" s="56" t="str">
        <f>Transactions!$C230</f>
        <v/>
      </c>
      <c r="C230" s="51" t="str">
        <f t="array" ref="C230">IFERROR(INDEX(Portfolio!$B:$B, MATCH($B230, Portfolio!$A:$A, 0)),Transactions!$B230)</f>
        <v/>
      </c>
      <c r="D230" s="51" t="str">
        <f>IF($B230&lt;&gt;"",Transactions!$E230*1,)</f>
        <v/>
      </c>
      <c r="E230" s="51" t="str">
        <f>IF($B230&lt;&gt;"",Transactions!$F230*1,)</f>
        <v/>
      </c>
      <c r="F230" s="42" t="str">
        <f>IF(Transactions!$G230&lt;&gt;"",Transactions!$H230&amp;" "&amp;Transactions!$G230,)</f>
        <v/>
      </c>
    </row>
    <row r="231">
      <c r="A231" s="55" t="str">
        <f>IF(Transactions!$B231&lt;&gt;"",DATE(LEFT(Transactions!$B231,4),MID(Transactions!$B231,6,2),MID(Transactions!$B231,9,2)),)</f>
        <v/>
      </c>
      <c r="B231" s="56" t="str">
        <f>Transactions!$C231</f>
        <v/>
      </c>
      <c r="C231" s="51" t="str">
        <f t="array" ref="C231">IFERROR(INDEX(Portfolio!$B:$B, MATCH($B231, Portfolio!$A:$A, 0)),Transactions!$B231)</f>
        <v/>
      </c>
      <c r="D231" s="51" t="str">
        <f>IF($B231&lt;&gt;"",Transactions!$E231*1,)</f>
        <v/>
      </c>
      <c r="E231" s="51" t="str">
        <f>IF($B231&lt;&gt;"",Transactions!$F231*1,)</f>
        <v/>
      </c>
      <c r="F231" s="42" t="str">
        <f>IF(Transactions!$G231&lt;&gt;"",Transactions!$H231&amp;" "&amp;Transactions!$G231,)</f>
        <v/>
      </c>
    </row>
    <row r="232">
      <c r="A232" s="55" t="str">
        <f>IF(Transactions!$B232&lt;&gt;"",DATE(LEFT(Transactions!$B232,4),MID(Transactions!$B232,6,2),MID(Transactions!$B232,9,2)),)</f>
        <v/>
      </c>
      <c r="B232" s="56" t="str">
        <f>Transactions!$C232</f>
        <v/>
      </c>
      <c r="C232" s="51" t="str">
        <f t="array" ref="C232">IFERROR(INDEX(Portfolio!$B:$B, MATCH($B232, Portfolio!$A:$A, 0)),Transactions!$B232)</f>
        <v/>
      </c>
      <c r="D232" s="51" t="str">
        <f>IF($B232&lt;&gt;"",Transactions!$E232*1,)</f>
        <v/>
      </c>
      <c r="E232" s="51" t="str">
        <f>IF($B232&lt;&gt;"",Transactions!$F232*1,)</f>
        <v/>
      </c>
      <c r="F232" s="42" t="str">
        <f>IF(Transactions!$G232&lt;&gt;"",Transactions!$H232&amp;" "&amp;Transactions!$G232,)</f>
        <v/>
      </c>
    </row>
    <row r="233">
      <c r="A233" s="55" t="str">
        <f>IF(Transactions!$B233&lt;&gt;"",DATE(LEFT(Transactions!$B233,4),MID(Transactions!$B233,6,2),MID(Transactions!$B233,9,2)),)</f>
        <v/>
      </c>
      <c r="B233" s="56" t="str">
        <f>Transactions!$C233</f>
        <v/>
      </c>
      <c r="C233" s="51" t="str">
        <f t="array" ref="C233">IFERROR(INDEX(Portfolio!$B:$B, MATCH($B233, Portfolio!$A:$A, 0)),Transactions!$B233)</f>
        <v/>
      </c>
      <c r="D233" s="51" t="str">
        <f>IF($B233&lt;&gt;"",Transactions!$E233*1,)</f>
        <v/>
      </c>
      <c r="E233" s="51" t="str">
        <f>IF($B233&lt;&gt;"",Transactions!$F233*1,)</f>
        <v/>
      </c>
      <c r="F233" s="42" t="str">
        <f>IF(Transactions!$G233&lt;&gt;"",Transactions!$H233&amp;" "&amp;Transactions!$G233,)</f>
        <v/>
      </c>
    </row>
    <row r="234">
      <c r="A234" s="55" t="str">
        <f>IF(Transactions!$B234&lt;&gt;"",DATE(LEFT(Transactions!$B234,4),MID(Transactions!$B234,6,2),MID(Transactions!$B234,9,2)),)</f>
        <v/>
      </c>
      <c r="B234" s="56" t="str">
        <f>Transactions!$C234</f>
        <v/>
      </c>
      <c r="C234" s="51" t="str">
        <f t="array" ref="C234">IFERROR(INDEX(Portfolio!$B:$B, MATCH($B234, Portfolio!$A:$A, 0)),Transactions!$B234)</f>
        <v/>
      </c>
      <c r="D234" s="51" t="str">
        <f>IF($B234&lt;&gt;"",Transactions!$E234*1,)</f>
        <v/>
      </c>
      <c r="E234" s="51" t="str">
        <f>IF($B234&lt;&gt;"",Transactions!$F234*1,)</f>
        <v/>
      </c>
      <c r="F234" s="42" t="str">
        <f>IF(Transactions!$G234&lt;&gt;"",Transactions!$H234&amp;" "&amp;Transactions!$G234,)</f>
        <v/>
      </c>
    </row>
    <row r="235">
      <c r="A235" s="55" t="str">
        <f>IF(Transactions!$B235&lt;&gt;"",DATE(LEFT(Transactions!$B235,4),MID(Transactions!$B235,6,2),MID(Transactions!$B235,9,2)),)</f>
        <v/>
      </c>
      <c r="B235" s="56" t="str">
        <f>Transactions!$C235</f>
        <v/>
      </c>
      <c r="C235" s="51" t="str">
        <f t="array" ref="C235">IFERROR(INDEX(Portfolio!$B:$B, MATCH($B235, Portfolio!$A:$A, 0)),Transactions!$B235)</f>
        <v/>
      </c>
      <c r="D235" s="51" t="str">
        <f>IF($B235&lt;&gt;"",Transactions!$E235*1,)</f>
        <v/>
      </c>
      <c r="E235" s="51" t="str">
        <f>IF($B235&lt;&gt;"",Transactions!$F235*1,)</f>
        <v/>
      </c>
      <c r="F235" s="42" t="str">
        <f>IF(Transactions!$G235&lt;&gt;"",Transactions!$H235&amp;" "&amp;Transactions!$G235,)</f>
        <v/>
      </c>
    </row>
    <row r="236">
      <c r="A236" s="55" t="str">
        <f>IF(Transactions!$B236&lt;&gt;"",DATE(LEFT(Transactions!$B236,4),MID(Transactions!$B236,6,2),MID(Transactions!$B236,9,2)),)</f>
        <v/>
      </c>
      <c r="B236" s="56" t="str">
        <f>Transactions!$C236</f>
        <v/>
      </c>
      <c r="C236" s="51" t="str">
        <f t="array" ref="C236">IFERROR(INDEX(Portfolio!$B:$B, MATCH($B236, Portfolio!$A:$A, 0)),Transactions!$B236)</f>
        <v/>
      </c>
      <c r="D236" s="51" t="str">
        <f>IF($B236&lt;&gt;"",Transactions!$E236*1,)</f>
        <v/>
      </c>
      <c r="E236" s="51" t="str">
        <f>IF($B236&lt;&gt;"",Transactions!$F236*1,)</f>
        <v/>
      </c>
      <c r="F236" s="42" t="str">
        <f>IF(Transactions!$G236&lt;&gt;"",Transactions!$H236&amp;" "&amp;Transactions!$G236,)</f>
        <v/>
      </c>
    </row>
    <row r="237">
      <c r="A237" s="55" t="str">
        <f>IF(Transactions!$B237&lt;&gt;"",DATE(LEFT(Transactions!$B237,4),MID(Transactions!$B237,6,2),MID(Transactions!$B237,9,2)),)</f>
        <v/>
      </c>
      <c r="B237" s="56" t="str">
        <f>Transactions!$C237</f>
        <v/>
      </c>
      <c r="C237" s="51" t="str">
        <f t="array" ref="C237">IFERROR(INDEX(Portfolio!$B:$B, MATCH($B237, Portfolio!$A:$A, 0)),Transactions!$B237)</f>
        <v/>
      </c>
      <c r="D237" s="51" t="str">
        <f>IF($B237&lt;&gt;"",Transactions!$E237*1,)</f>
        <v/>
      </c>
      <c r="E237" s="51" t="str">
        <f>IF($B237&lt;&gt;"",Transactions!$F237*1,)</f>
        <v/>
      </c>
      <c r="F237" s="42" t="str">
        <f>IF(Transactions!$G237&lt;&gt;"",Transactions!$H237&amp;" "&amp;Transactions!$G237,)</f>
        <v/>
      </c>
    </row>
    <row r="238">
      <c r="A238" s="55" t="str">
        <f>IF(Transactions!$B238&lt;&gt;"",DATE(LEFT(Transactions!$B238,4),MID(Transactions!$B238,6,2),MID(Transactions!$B238,9,2)),)</f>
        <v/>
      </c>
      <c r="B238" s="56" t="str">
        <f>Transactions!$C238</f>
        <v/>
      </c>
      <c r="C238" s="51" t="str">
        <f t="array" ref="C238">IFERROR(INDEX(Portfolio!$B:$B, MATCH($B238, Portfolio!$A:$A, 0)),Transactions!$B238)</f>
        <v/>
      </c>
      <c r="D238" s="51" t="str">
        <f>IF($B238&lt;&gt;"",Transactions!$E238*1,)</f>
        <v/>
      </c>
      <c r="E238" s="51" t="str">
        <f>IF($B238&lt;&gt;"",Transactions!$F238*1,)</f>
        <v/>
      </c>
      <c r="F238" s="42" t="str">
        <f>IF(Transactions!$G238&lt;&gt;"",Transactions!$H238&amp;" "&amp;Transactions!$G238,)</f>
        <v/>
      </c>
    </row>
    <row r="239">
      <c r="A239" s="55" t="str">
        <f>IF(Transactions!$B239&lt;&gt;"",DATE(LEFT(Transactions!$B239,4),MID(Transactions!$B239,6,2),MID(Transactions!$B239,9,2)),)</f>
        <v/>
      </c>
      <c r="B239" s="56" t="str">
        <f>Transactions!$C239</f>
        <v/>
      </c>
      <c r="C239" s="51" t="str">
        <f t="array" ref="C239">IFERROR(INDEX(Portfolio!$B:$B, MATCH($B239, Portfolio!$A:$A, 0)),Transactions!$B239)</f>
        <v/>
      </c>
      <c r="D239" s="51" t="str">
        <f>IF($B239&lt;&gt;"",Transactions!$E239*1,)</f>
        <v/>
      </c>
      <c r="E239" s="51" t="str">
        <f>IF($B239&lt;&gt;"",Transactions!$F239*1,)</f>
        <v/>
      </c>
      <c r="F239" s="42" t="str">
        <f>IF(Transactions!$G239&lt;&gt;"",Transactions!$H239&amp;" "&amp;Transactions!$G239,)</f>
        <v/>
      </c>
    </row>
    <row r="240">
      <c r="A240" s="55" t="str">
        <f>IF(Transactions!$B240&lt;&gt;"",DATE(LEFT(Transactions!$B240,4),MID(Transactions!$B240,6,2),MID(Transactions!$B240,9,2)),)</f>
        <v/>
      </c>
      <c r="B240" s="56" t="str">
        <f>Transactions!$C240</f>
        <v/>
      </c>
      <c r="C240" s="51" t="str">
        <f t="array" ref="C240">IFERROR(INDEX(Portfolio!$B:$B, MATCH($B240, Portfolio!$A:$A, 0)),Transactions!$B240)</f>
        <v/>
      </c>
      <c r="D240" s="51" t="str">
        <f>IF($B240&lt;&gt;"",Transactions!$E240*1,)</f>
        <v/>
      </c>
      <c r="E240" s="51" t="str">
        <f>IF($B240&lt;&gt;"",Transactions!$F240*1,)</f>
        <v/>
      </c>
      <c r="F240" s="42" t="str">
        <f>IF(Transactions!$G240&lt;&gt;"",Transactions!$H240&amp;" "&amp;Transactions!$G240,)</f>
        <v/>
      </c>
    </row>
    <row r="241">
      <c r="A241" s="55" t="str">
        <f>IF(Transactions!$B241&lt;&gt;"",DATE(LEFT(Transactions!$B241,4),MID(Transactions!$B241,6,2),MID(Transactions!$B241,9,2)),)</f>
        <v/>
      </c>
      <c r="B241" s="56" t="str">
        <f>Transactions!$C241</f>
        <v/>
      </c>
      <c r="C241" s="51" t="str">
        <f t="array" ref="C241">IFERROR(INDEX(Portfolio!$B:$B, MATCH($B241, Portfolio!$A:$A, 0)),Transactions!$B241)</f>
        <v/>
      </c>
      <c r="D241" s="51" t="str">
        <f>IF($B241&lt;&gt;"",Transactions!$E241*1,)</f>
        <v/>
      </c>
      <c r="E241" s="51" t="str">
        <f>IF($B241&lt;&gt;"",Transactions!$F241*1,)</f>
        <v/>
      </c>
      <c r="F241" s="42" t="str">
        <f>IF(Transactions!$G241&lt;&gt;"",Transactions!$H241&amp;" "&amp;Transactions!$G241,)</f>
        <v/>
      </c>
    </row>
    <row r="242">
      <c r="A242" s="55" t="str">
        <f>IF(Transactions!$B242&lt;&gt;"",DATE(LEFT(Transactions!$B242,4),MID(Transactions!$B242,6,2),MID(Transactions!$B242,9,2)),)</f>
        <v/>
      </c>
      <c r="B242" s="56" t="str">
        <f>Transactions!$C242</f>
        <v/>
      </c>
      <c r="C242" s="51" t="str">
        <f t="array" ref="C242">IFERROR(INDEX(Portfolio!$B:$B, MATCH($B242, Portfolio!$A:$A, 0)),Transactions!$B242)</f>
        <v/>
      </c>
      <c r="D242" s="51" t="str">
        <f>IF($B242&lt;&gt;"",Transactions!$E242*1,)</f>
        <v/>
      </c>
      <c r="E242" s="51" t="str">
        <f>IF($B242&lt;&gt;"",Transactions!$F242*1,)</f>
        <v/>
      </c>
      <c r="F242" s="42" t="str">
        <f>IF(Transactions!$G242&lt;&gt;"",Transactions!$H242&amp;" "&amp;Transactions!$G242,)</f>
        <v/>
      </c>
    </row>
    <row r="243">
      <c r="A243" s="55" t="str">
        <f>IF(Transactions!$B243&lt;&gt;"",DATE(LEFT(Transactions!$B243,4),MID(Transactions!$B243,6,2),MID(Transactions!$B243,9,2)),)</f>
        <v/>
      </c>
      <c r="B243" s="56" t="str">
        <f>Transactions!$C243</f>
        <v/>
      </c>
      <c r="C243" s="51" t="str">
        <f t="array" ref="C243">IFERROR(INDEX(Portfolio!$B:$B, MATCH($B243, Portfolio!$A:$A, 0)),Transactions!$B243)</f>
        <v/>
      </c>
      <c r="D243" s="51" t="str">
        <f>IF($B243&lt;&gt;"",Transactions!$E243*1,)</f>
        <v/>
      </c>
      <c r="E243" s="51" t="str">
        <f>IF($B243&lt;&gt;"",Transactions!$F243*1,)</f>
        <v/>
      </c>
      <c r="F243" s="42" t="str">
        <f>IF(Transactions!$G243&lt;&gt;"",Transactions!$H243&amp;" "&amp;Transactions!$G243,)</f>
        <v/>
      </c>
    </row>
    <row r="244">
      <c r="A244" s="55" t="str">
        <f>IF(Transactions!$B244&lt;&gt;"",DATE(LEFT(Transactions!$B244,4),MID(Transactions!$B244,6,2),MID(Transactions!$B244,9,2)),)</f>
        <v/>
      </c>
      <c r="B244" s="56" t="str">
        <f>Transactions!$C244</f>
        <v/>
      </c>
      <c r="C244" s="51" t="str">
        <f t="array" ref="C244">IFERROR(INDEX(Portfolio!$B:$B, MATCH($B244, Portfolio!$A:$A, 0)),Transactions!$B244)</f>
        <v/>
      </c>
      <c r="D244" s="51" t="str">
        <f>IF($B244&lt;&gt;"",Transactions!$E244*1,)</f>
        <v/>
      </c>
      <c r="E244" s="51" t="str">
        <f>IF($B244&lt;&gt;"",Transactions!$F244*1,)</f>
        <v/>
      </c>
      <c r="F244" s="42" t="str">
        <f>IF(Transactions!$G244&lt;&gt;"",Transactions!$H244&amp;" "&amp;Transactions!$G244,)</f>
        <v/>
      </c>
    </row>
    <row r="245">
      <c r="A245" s="55" t="str">
        <f>IF(Transactions!$B245&lt;&gt;"",DATE(LEFT(Transactions!$B245,4),MID(Transactions!$B245,6,2),MID(Transactions!$B245,9,2)),)</f>
        <v/>
      </c>
      <c r="B245" s="56" t="str">
        <f>Transactions!$C245</f>
        <v/>
      </c>
      <c r="C245" s="51" t="str">
        <f t="array" ref="C245">IFERROR(INDEX(Portfolio!$B:$B, MATCH($B245, Portfolio!$A:$A, 0)),Transactions!$B245)</f>
        <v/>
      </c>
      <c r="D245" s="51" t="str">
        <f>IF($B245&lt;&gt;"",Transactions!$E245*1,)</f>
        <v/>
      </c>
      <c r="E245" s="51" t="str">
        <f>IF($B245&lt;&gt;"",Transactions!$F245*1,)</f>
        <v/>
      </c>
      <c r="F245" s="42" t="str">
        <f>IF(Transactions!$G245&lt;&gt;"",Transactions!$H245&amp;" "&amp;Transactions!$G245,)</f>
        <v/>
      </c>
    </row>
    <row r="246">
      <c r="A246" s="55" t="str">
        <f>IF(Transactions!$B246&lt;&gt;"",DATE(LEFT(Transactions!$B246,4),MID(Transactions!$B246,6,2),MID(Transactions!$B246,9,2)),)</f>
        <v/>
      </c>
      <c r="B246" s="56" t="str">
        <f>Transactions!$C246</f>
        <v/>
      </c>
      <c r="C246" s="51" t="str">
        <f t="array" ref="C246">IFERROR(INDEX(Portfolio!$B:$B, MATCH($B246, Portfolio!$A:$A, 0)),Transactions!$B246)</f>
        <v/>
      </c>
      <c r="D246" s="51" t="str">
        <f>IF($B246&lt;&gt;"",Transactions!$E246*1,)</f>
        <v/>
      </c>
      <c r="E246" s="51" t="str">
        <f>IF($B246&lt;&gt;"",Transactions!$F246*1,)</f>
        <v/>
      </c>
      <c r="F246" s="42" t="str">
        <f>IF(Transactions!$G246&lt;&gt;"",Transactions!$H246&amp;" "&amp;Transactions!$G246,)</f>
        <v/>
      </c>
    </row>
    <row r="247">
      <c r="A247" s="55" t="str">
        <f>IF(Transactions!$B247&lt;&gt;"",DATE(LEFT(Transactions!$B247,4),MID(Transactions!$B247,6,2),MID(Transactions!$B247,9,2)),)</f>
        <v/>
      </c>
      <c r="B247" s="56" t="str">
        <f>Transactions!$C247</f>
        <v/>
      </c>
      <c r="C247" s="51" t="str">
        <f t="array" ref="C247">IFERROR(INDEX(Portfolio!$B:$B, MATCH($B247, Portfolio!$A:$A, 0)),Transactions!$B247)</f>
        <v/>
      </c>
      <c r="D247" s="51" t="str">
        <f>IF($B247&lt;&gt;"",Transactions!$E247*1,)</f>
        <v/>
      </c>
      <c r="E247" s="51" t="str">
        <f>IF($B247&lt;&gt;"",Transactions!$F247*1,)</f>
        <v/>
      </c>
      <c r="F247" s="42" t="str">
        <f>IF(Transactions!$G247&lt;&gt;"",Transactions!$H247&amp;" "&amp;Transactions!$G247,)</f>
        <v/>
      </c>
    </row>
    <row r="248">
      <c r="A248" s="55" t="str">
        <f>IF(Transactions!$B248&lt;&gt;"",DATE(LEFT(Transactions!$B248,4),MID(Transactions!$B248,6,2),MID(Transactions!$B248,9,2)),)</f>
        <v/>
      </c>
      <c r="B248" s="56" t="str">
        <f>Transactions!$C248</f>
        <v/>
      </c>
      <c r="C248" s="51" t="str">
        <f t="array" ref="C248">IFERROR(INDEX(Portfolio!$B:$B, MATCH($B248, Portfolio!$A:$A, 0)),Transactions!$B248)</f>
        <v/>
      </c>
      <c r="D248" s="51" t="str">
        <f>IF($B248&lt;&gt;"",Transactions!$E248*1,)</f>
        <v/>
      </c>
      <c r="E248" s="51" t="str">
        <f>IF($B248&lt;&gt;"",Transactions!$F248*1,)</f>
        <v/>
      </c>
      <c r="F248" s="42" t="str">
        <f>IF(Transactions!$G248&lt;&gt;"",Transactions!$H248&amp;" "&amp;Transactions!$G248,)</f>
        <v/>
      </c>
    </row>
    <row r="249">
      <c r="A249" s="55" t="str">
        <f>IF(Transactions!$B249&lt;&gt;"",DATE(LEFT(Transactions!$B249,4),MID(Transactions!$B249,6,2),MID(Transactions!$B249,9,2)),)</f>
        <v/>
      </c>
      <c r="B249" s="56" t="str">
        <f>Transactions!$C249</f>
        <v/>
      </c>
      <c r="C249" s="51" t="str">
        <f t="array" ref="C249">IFERROR(INDEX(Portfolio!$B:$B, MATCH($B249, Portfolio!$A:$A, 0)),Transactions!$B249)</f>
        <v/>
      </c>
      <c r="D249" s="51" t="str">
        <f>IF($B249&lt;&gt;"",Transactions!$E249*1,)</f>
        <v/>
      </c>
      <c r="E249" s="51" t="str">
        <f>IF($B249&lt;&gt;"",Transactions!$F249*1,)</f>
        <v/>
      </c>
      <c r="F249" s="42" t="str">
        <f>IF(Transactions!$G249&lt;&gt;"",Transactions!$H249&amp;" "&amp;Transactions!$G249,)</f>
        <v/>
      </c>
    </row>
    <row r="250">
      <c r="A250" s="55" t="str">
        <f>IF(Transactions!$B250&lt;&gt;"",DATE(LEFT(Transactions!$B250,4),MID(Transactions!$B250,6,2),MID(Transactions!$B250,9,2)),)</f>
        <v/>
      </c>
      <c r="B250" s="56" t="str">
        <f>Transactions!$C250</f>
        <v/>
      </c>
      <c r="C250" s="51" t="str">
        <f t="array" ref="C250">IFERROR(INDEX(Portfolio!$B:$B, MATCH($B250, Portfolio!$A:$A, 0)),Transactions!$B250)</f>
        <v/>
      </c>
      <c r="D250" s="51" t="str">
        <f>IF($B250&lt;&gt;"",Transactions!$E250*1,)</f>
        <v/>
      </c>
      <c r="E250" s="51" t="str">
        <f>IF($B250&lt;&gt;"",Transactions!$F250*1,)</f>
        <v/>
      </c>
      <c r="F250" s="42" t="str">
        <f>IF(Transactions!$G250&lt;&gt;"",Transactions!$H250&amp;" "&amp;Transactions!$G250,)</f>
        <v/>
      </c>
    </row>
    <row r="251">
      <c r="A251" s="55" t="str">
        <f>IF(Transactions!$B251&lt;&gt;"",DATE(LEFT(Transactions!$B251,4),MID(Transactions!$B251,6,2),MID(Transactions!$B251,9,2)),)</f>
        <v/>
      </c>
      <c r="B251" s="56" t="str">
        <f>Transactions!$C251</f>
        <v/>
      </c>
      <c r="C251" s="51" t="str">
        <f t="array" ref="C251">IFERROR(INDEX(Portfolio!$B:$B, MATCH($B251, Portfolio!$A:$A, 0)),Transactions!$B251)</f>
        <v/>
      </c>
      <c r="D251" s="51" t="str">
        <f>IF($B251&lt;&gt;"",Transactions!$E251*1,)</f>
        <v/>
      </c>
      <c r="E251" s="51" t="str">
        <f>IF($B251&lt;&gt;"",Transactions!$F251*1,)</f>
        <v/>
      </c>
      <c r="F251" s="42" t="str">
        <f>IF(Transactions!$G251&lt;&gt;"",Transactions!$H251&amp;" "&amp;Transactions!$G251,)</f>
        <v/>
      </c>
    </row>
    <row r="252">
      <c r="A252" s="55" t="str">
        <f>IF(Transactions!$B252&lt;&gt;"",DATE(LEFT(Transactions!$B252,4),MID(Transactions!$B252,6,2),MID(Transactions!$B252,9,2)),)</f>
        <v/>
      </c>
      <c r="B252" s="56" t="str">
        <f>Transactions!$C252</f>
        <v/>
      </c>
      <c r="C252" s="51" t="str">
        <f t="array" ref="C252">IFERROR(INDEX(Portfolio!$B:$B, MATCH($B252, Portfolio!$A:$A, 0)),Transactions!$B252)</f>
        <v/>
      </c>
      <c r="D252" s="51" t="str">
        <f>IF($B252&lt;&gt;"",Transactions!$E252*1,)</f>
        <v/>
      </c>
      <c r="E252" s="51" t="str">
        <f>IF($B252&lt;&gt;"",Transactions!$F252*1,)</f>
        <v/>
      </c>
      <c r="F252" s="42" t="str">
        <f>IF(Transactions!$G252&lt;&gt;"",Transactions!$H252&amp;" "&amp;Transactions!$G252,)</f>
        <v/>
      </c>
    </row>
    <row r="253">
      <c r="A253" s="55" t="str">
        <f>IF(Transactions!$B253&lt;&gt;"",DATE(LEFT(Transactions!$B253,4),MID(Transactions!$B253,6,2),MID(Transactions!$B253,9,2)),)</f>
        <v/>
      </c>
      <c r="B253" s="56" t="str">
        <f>Transactions!$C253</f>
        <v/>
      </c>
      <c r="C253" s="51" t="str">
        <f t="array" ref="C253">IFERROR(INDEX(Portfolio!$B:$B, MATCH($B253, Portfolio!$A:$A, 0)),Transactions!$B253)</f>
        <v/>
      </c>
      <c r="D253" s="51" t="str">
        <f>IF($B253&lt;&gt;"",Transactions!$E253*1,)</f>
        <v/>
      </c>
      <c r="E253" s="51" t="str">
        <f>IF($B253&lt;&gt;"",Transactions!$F253*1,)</f>
        <v/>
      </c>
      <c r="F253" s="42" t="str">
        <f>IF(Transactions!$G253&lt;&gt;"",Transactions!$H253&amp;" "&amp;Transactions!$G253,)</f>
        <v/>
      </c>
    </row>
    <row r="254">
      <c r="A254" s="55" t="str">
        <f>IF(Transactions!$B254&lt;&gt;"",DATE(LEFT(Transactions!$B254,4),MID(Transactions!$B254,6,2),MID(Transactions!$B254,9,2)),)</f>
        <v/>
      </c>
      <c r="B254" s="56" t="str">
        <f>Transactions!$C254</f>
        <v/>
      </c>
      <c r="C254" s="51" t="str">
        <f t="array" ref="C254">IFERROR(INDEX(Portfolio!$B:$B, MATCH($B254, Portfolio!$A:$A, 0)),Transactions!$B254)</f>
        <v/>
      </c>
      <c r="D254" s="51" t="str">
        <f>IF($B254&lt;&gt;"",Transactions!$E254*1,)</f>
        <v/>
      </c>
      <c r="E254" s="51" t="str">
        <f>IF($B254&lt;&gt;"",Transactions!$F254*1,)</f>
        <v/>
      </c>
      <c r="F254" s="42" t="str">
        <f>IF(Transactions!$G254&lt;&gt;"",Transactions!$H254&amp;" "&amp;Transactions!$G254,)</f>
        <v/>
      </c>
    </row>
    <row r="255">
      <c r="A255" s="55" t="str">
        <f>IF(Transactions!$B255&lt;&gt;"",DATE(LEFT(Transactions!$B255,4),MID(Transactions!$B255,6,2),MID(Transactions!$B255,9,2)),)</f>
        <v/>
      </c>
      <c r="B255" s="56" t="str">
        <f>Transactions!$C255</f>
        <v/>
      </c>
      <c r="C255" s="51" t="str">
        <f t="array" ref="C255">IFERROR(INDEX(Portfolio!$B:$B, MATCH($B255, Portfolio!$A:$A, 0)),Transactions!$B255)</f>
        <v/>
      </c>
      <c r="D255" s="51" t="str">
        <f>IF($B255&lt;&gt;"",Transactions!$E255*1,)</f>
        <v/>
      </c>
      <c r="E255" s="51" t="str">
        <f>IF($B255&lt;&gt;"",Transactions!$F255*1,)</f>
        <v/>
      </c>
      <c r="F255" s="42" t="str">
        <f>IF(Transactions!$G255&lt;&gt;"",Transactions!$H255&amp;" "&amp;Transactions!$G255,)</f>
        <v/>
      </c>
    </row>
    <row r="256">
      <c r="A256" s="55" t="str">
        <f>IF(Transactions!$B256&lt;&gt;"",DATE(LEFT(Transactions!$B256,4),MID(Transactions!$B256,6,2),MID(Transactions!$B256,9,2)),)</f>
        <v/>
      </c>
      <c r="B256" s="56" t="str">
        <f>Transactions!$C256</f>
        <v/>
      </c>
      <c r="C256" s="51" t="str">
        <f t="array" ref="C256">IFERROR(INDEX(Portfolio!$B:$B, MATCH($B256, Portfolio!$A:$A, 0)),Transactions!$B256)</f>
        <v/>
      </c>
      <c r="D256" s="51" t="str">
        <f>IF($B256&lt;&gt;"",Transactions!$E256*1,)</f>
        <v/>
      </c>
      <c r="E256" s="51" t="str">
        <f>IF($B256&lt;&gt;"",Transactions!$F256*1,)</f>
        <v/>
      </c>
      <c r="F256" s="42" t="str">
        <f>IF(Transactions!$G256&lt;&gt;"",Transactions!$H256&amp;" "&amp;Transactions!$G256,)</f>
        <v/>
      </c>
    </row>
    <row r="257">
      <c r="A257" s="55" t="str">
        <f>IF(Transactions!$B257&lt;&gt;"",DATE(LEFT(Transactions!$B257,4),MID(Transactions!$B257,6,2),MID(Transactions!$B257,9,2)),)</f>
        <v/>
      </c>
      <c r="B257" s="56" t="str">
        <f>Transactions!$C257</f>
        <v/>
      </c>
      <c r="C257" s="51" t="str">
        <f t="array" ref="C257">IFERROR(INDEX(Portfolio!$B:$B, MATCH($B257, Portfolio!$A:$A, 0)),Transactions!$B257)</f>
        <v/>
      </c>
      <c r="D257" s="51" t="str">
        <f>IF($B257&lt;&gt;"",Transactions!$E257*1,)</f>
        <v/>
      </c>
      <c r="E257" s="51" t="str">
        <f>IF($B257&lt;&gt;"",Transactions!$F257*1,)</f>
        <v/>
      </c>
      <c r="F257" s="42" t="str">
        <f>IF(Transactions!$G257&lt;&gt;"",Transactions!$H257&amp;" "&amp;Transactions!$G257,)</f>
        <v/>
      </c>
    </row>
    <row r="258">
      <c r="A258" s="55" t="str">
        <f>IF(Transactions!$B258&lt;&gt;"",DATE(LEFT(Transactions!$B258,4),MID(Transactions!$B258,6,2),MID(Transactions!$B258,9,2)),)</f>
        <v/>
      </c>
      <c r="B258" s="56" t="str">
        <f>Transactions!$C258</f>
        <v/>
      </c>
      <c r="C258" s="51" t="str">
        <f t="array" ref="C258">IFERROR(INDEX(Portfolio!$B:$B, MATCH($B258, Portfolio!$A:$A, 0)),Transactions!$B258)</f>
        <v/>
      </c>
      <c r="D258" s="51" t="str">
        <f>IF($B258&lt;&gt;"",Transactions!$E258*1,)</f>
        <v/>
      </c>
      <c r="E258" s="51" t="str">
        <f>IF($B258&lt;&gt;"",Transactions!$F258*1,)</f>
        <v/>
      </c>
      <c r="F258" s="42" t="str">
        <f>IF(Transactions!$G258&lt;&gt;"",Transactions!$H258&amp;" "&amp;Transactions!$G258,)</f>
        <v/>
      </c>
    </row>
    <row r="259">
      <c r="A259" s="55" t="str">
        <f>IF(Transactions!$B259&lt;&gt;"",DATE(LEFT(Transactions!$B259,4),MID(Transactions!$B259,6,2),MID(Transactions!$B259,9,2)),)</f>
        <v/>
      </c>
      <c r="B259" s="56" t="str">
        <f>Transactions!$C259</f>
        <v/>
      </c>
      <c r="C259" s="51" t="str">
        <f t="array" ref="C259">IFERROR(INDEX(Portfolio!$B:$B, MATCH($B259, Portfolio!$A:$A, 0)),Transactions!$B259)</f>
        <v/>
      </c>
      <c r="D259" s="51" t="str">
        <f>IF($B259&lt;&gt;"",Transactions!$E259*1,)</f>
        <v/>
      </c>
      <c r="E259" s="51" t="str">
        <f>IF($B259&lt;&gt;"",Transactions!$F259*1,)</f>
        <v/>
      </c>
      <c r="F259" s="42" t="str">
        <f>IF(Transactions!$G259&lt;&gt;"",Transactions!$H259&amp;" "&amp;Transactions!$G259,)</f>
        <v/>
      </c>
    </row>
    <row r="260">
      <c r="A260" s="55" t="str">
        <f>IF(Transactions!$B260&lt;&gt;"",DATE(LEFT(Transactions!$B260,4),MID(Transactions!$B260,6,2),MID(Transactions!$B260,9,2)),)</f>
        <v/>
      </c>
      <c r="B260" s="56" t="str">
        <f>Transactions!$C260</f>
        <v/>
      </c>
      <c r="C260" s="51" t="str">
        <f t="array" ref="C260">IFERROR(INDEX(Portfolio!$B:$B, MATCH($B260, Portfolio!$A:$A, 0)),Transactions!$B260)</f>
        <v/>
      </c>
      <c r="D260" s="51" t="str">
        <f>IF($B260&lt;&gt;"",Transactions!$E260*1,)</f>
        <v/>
      </c>
      <c r="E260" s="51" t="str">
        <f>IF($B260&lt;&gt;"",Transactions!$F260*1,)</f>
        <v/>
      </c>
      <c r="F260" s="42" t="str">
        <f>IF(Transactions!$G260&lt;&gt;"",Transactions!$H260&amp;" "&amp;Transactions!$G260,)</f>
        <v/>
      </c>
    </row>
    <row r="261">
      <c r="A261" s="55" t="str">
        <f>IF(Transactions!$B261&lt;&gt;"",DATE(LEFT(Transactions!$B261,4),MID(Transactions!$B261,6,2),MID(Transactions!$B261,9,2)),)</f>
        <v/>
      </c>
      <c r="B261" s="56" t="str">
        <f>Transactions!$C261</f>
        <v/>
      </c>
      <c r="C261" s="51" t="str">
        <f t="array" ref="C261">IFERROR(INDEX(Portfolio!$B:$B, MATCH($B261, Portfolio!$A:$A, 0)),Transactions!$B261)</f>
        <v/>
      </c>
      <c r="D261" s="51" t="str">
        <f>IF($B261&lt;&gt;"",Transactions!$E261*1,)</f>
        <v/>
      </c>
      <c r="E261" s="51" t="str">
        <f>IF($B261&lt;&gt;"",Transactions!$F261*1,)</f>
        <v/>
      </c>
      <c r="F261" s="42" t="str">
        <f>IF(Transactions!$G261&lt;&gt;"",Transactions!$H261&amp;" "&amp;Transactions!$G261,)</f>
        <v/>
      </c>
    </row>
    <row r="262">
      <c r="A262" s="55" t="str">
        <f>IF(Transactions!$B262&lt;&gt;"",DATE(LEFT(Transactions!$B262,4),MID(Transactions!$B262,6,2),MID(Transactions!$B262,9,2)),)</f>
        <v/>
      </c>
      <c r="B262" s="56" t="str">
        <f>Transactions!$C262</f>
        <v/>
      </c>
      <c r="C262" s="51" t="str">
        <f t="array" ref="C262">IFERROR(INDEX(Portfolio!$B:$B, MATCH($B262, Portfolio!$A:$A, 0)),Transactions!$B262)</f>
        <v/>
      </c>
      <c r="D262" s="51" t="str">
        <f>IF($B262&lt;&gt;"",Transactions!$E262*1,)</f>
        <v/>
      </c>
      <c r="E262" s="51" t="str">
        <f>IF($B262&lt;&gt;"",Transactions!$F262*1,)</f>
        <v/>
      </c>
      <c r="F262" s="42" t="str">
        <f>IF(Transactions!$G262&lt;&gt;"",Transactions!$H262&amp;" "&amp;Transactions!$G262,)</f>
        <v/>
      </c>
    </row>
    <row r="263">
      <c r="A263" s="55" t="str">
        <f>IF(Transactions!$B263&lt;&gt;"",DATE(LEFT(Transactions!$B263,4),MID(Transactions!$B263,6,2),MID(Transactions!$B263,9,2)),)</f>
        <v/>
      </c>
      <c r="B263" s="56" t="str">
        <f>Transactions!$C263</f>
        <v/>
      </c>
      <c r="C263" s="51" t="str">
        <f t="array" ref="C263">IFERROR(INDEX(Portfolio!$B:$B, MATCH($B263, Portfolio!$A:$A, 0)),Transactions!$B263)</f>
        <v/>
      </c>
      <c r="D263" s="51" t="str">
        <f>IF($B263&lt;&gt;"",Transactions!$E263*1,)</f>
        <v/>
      </c>
      <c r="E263" s="51" t="str">
        <f>IF($B263&lt;&gt;"",Transactions!$F263*1,)</f>
        <v/>
      </c>
      <c r="F263" s="42" t="str">
        <f>IF(Transactions!$G263&lt;&gt;"",Transactions!$H263&amp;" "&amp;Transactions!$G263,)</f>
        <v/>
      </c>
    </row>
    <row r="264">
      <c r="A264" s="55" t="str">
        <f>IF(Transactions!$B264&lt;&gt;"",DATE(LEFT(Transactions!$B264,4),MID(Transactions!$B264,6,2),MID(Transactions!$B264,9,2)),)</f>
        <v/>
      </c>
      <c r="B264" s="56" t="str">
        <f>Transactions!$C264</f>
        <v/>
      </c>
      <c r="C264" s="51" t="str">
        <f t="array" ref="C264">IFERROR(INDEX(Portfolio!$B:$B, MATCH($B264, Portfolio!$A:$A, 0)),Transactions!$B264)</f>
        <v/>
      </c>
      <c r="D264" s="51" t="str">
        <f>IF($B264&lt;&gt;"",Transactions!$E264*1,)</f>
        <v/>
      </c>
      <c r="E264" s="51" t="str">
        <f>IF($B264&lt;&gt;"",Transactions!$F264*1,)</f>
        <v/>
      </c>
      <c r="F264" s="42" t="str">
        <f>IF(Transactions!$G264&lt;&gt;"",Transactions!$H264&amp;" "&amp;Transactions!$G264,)</f>
        <v/>
      </c>
    </row>
    <row r="265">
      <c r="A265" s="55" t="str">
        <f>IF(Transactions!$B265&lt;&gt;"",DATE(LEFT(Transactions!$B265,4),MID(Transactions!$B265,6,2),MID(Transactions!$B265,9,2)),)</f>
        <v/>
      </c>
      <c r="B265" s="56" t="str">
        <f>Transactions!$C265</f>
        <v/>
      </c>
      <c r="C265" s="51" t="str">
        <f t="array" ref="C265">IFERROR(INDEX(Portfolio!$B:$B, MATCH($B265, Portfolio!$A:$A, 0)),Transactions!$B265)</f>
        <v/>
      </c>
      <c r="D265" s="51" t="str">
        <f>IF($B265&lt;&gt;"",Transactions!$E265*1,)</f>
        <v/>
      </c>
      <c r="E265" s="51" t="str">
        <f>IF($B265&lt;&gt;"",Transactions!$F265*1,)</f>
        <v/>
      </c>
      <c r="F265" s="42" t="str">
        <f>IF(Transactions!$G265&lt;&gt;"",Transactions!$H265&amp;" "&amp;Transactions!$G265,)</f>
        <v/>
      </c>
    </row>
    <row r="266">
      <c r="A266" s="55" t="str">
        <f>IF(Transactions!$B266&lt;&gt;"",DATE(LEFT(Transactions!$B266,4),MID(Transactions!$B266,6,2),MID(Transactions!$B266,9,2)),)</f>
        <v/>
      </c>
      <c r="B266" s="56" t="str">
        <f>Transactions!$C266</f>
        <v/>
      </c>
      <c r="C266" s="51" t="str">
        <f t="array" ref="C266">IFERROR(INDEX(Portfolio!$B:$B, MATCH($B266, Portfolio!$A:$A, 0)),Transactions!$B266)</f>
        <v/>
      </c>
      <c r="D266" s="51" t="str">
        <f>IF($B266&lt;&gt;"",Transactions!$E266*1,)</f>
        <v/>
      </c>
      <c r="E266" s="51" t="str">
        <f>IF($B266&lt;&gt;"",Transactions!$F266*1,)</f>
        <v/>
      </c>
      <c r="F266" s="42" t="str">
        <f>IF(Transactions!$G266&lt;&gt;"",Transactions!$H266&amp;" "&amp;Transactions!$G266,)</f>
        <v/>
      </c>
    </row>
    <row r="267">
      <c r="A267" s="55" t="str">
        <f>IF(Transactions!$B267&lt;&gt;"",DATE(LEFT(Transactions!$B267,4),MID(Transactions!$B267,6,2),MID(Transactions!$B267,9,2)),)</f>
        <v/>
      </c>
      <c r="B267" s="56" t="str">
        <f>Transactions!$C267</f>
        <v/>
      </c>
      <c r="C267" s="51" t="str">
        <f t="array" ref="C267">IFERROR(INDEX(Portfolio!$B:$B, MATCH($B267, Portfolio!$A:$A, 0)),Transactions!$B267)</f>
        <v/>
      </c>
      <c r="D267" s="51" t="str">
        <f>IF($B267&lt;&gt;"",Transactions!$E267*1,)</f>
        <v/>
      </c>
      <c r="E267" s="51" t="str">
        <f>IF($B267&lt;&gt;"",Transactions!$F267*1,)</f>
        <v/>
      </c>
      <c r="F267" s="42" t="str">
        <f>IF(Transactions!$G267&lt;&gt;"",Transactions!$H267&amp;" "&amp;Transactions!$G267,)</f>
        <v/>
      </c>
    </row>
    <row r="268">
      <c r="A268" s="55" t="str">
        <f>IF(Transactions!$B268&lt;&gt;"",DATE(LEFT(Transactions!$B268,4),MID(Transactions!$B268,6,2),MID(Transactions!$B268,9,2)),)</f>
        <v/>
      </c>
      <c r="B268" s="56" t="str">
        <f>Transactions!$C268</f>
        <v/>
      </c>
      <c r="C268" s="51" t="str">
        <f t="array" ref="C268">IFERROR(INDEX(Portfolio!$B:$B, MATCH($B268, Portfolio!$A:$A, 0)),Transactions!$B268)</f>
        <v/>
      </c>
      <c r="D268" s="51" t="str">
        <f>IF($B268&lt;&gt;"",Transactions!$E268*1,)</f>
        <v/>
      </c>
      <c r="E268" s="51" t="str">
        <f>IF($B268&lt;&gt;"",Transactions!$F268*1,)</f>
        <v/>
      </c>
      <c r="F268" s="42" t="str">
        <f>IF(Transactions!$G268&lt;&gt;"",Transactions!$H268&amp;" "&amp;Transactions!$G268,)</f>
        <v/>
      </c>
    </row>
    <row r="269">
      <c r="A269" s="55" t="str">
        <f>IF(Transactions!$B269&lt;&gt;"",DATE(LEFT(Transactions!$B269,4),MID(Transactions!$B269,6,2),MID(Transactions!$B269,9,2)),)</f>
        <v/>
      </c>
      <c r="B269" s="56" t="str">
        <f>Transactions!$C269</f>
        <v/>
      </c>
      <c r="C269" s="51" t="str">
        <f t="array" ref="C269">IFERROR(INDEX(Portfolio!$B:$B, MATCH($B269, Portfolio!$A:$A, 0)),Transactions!$B269)</f>
        <v/>
      </c>
      <c r="D269" s="51" t="str">
        <f>IF($B269&lt;&gt;"",Transactions!$E269*1,)</f>
        <v/>
      </c>
      <c r="E269" s="51" t="str">
        <f>IF($B269&lt;&gt;"",Transactions!$F269*1,)</f>
        <v/>
      </c>
      <c r="F269" s="42" t="str">
        <f>IF(Transactions!$G269&lt;&gt;"",Transactions!$H269&amp;" "&amp;Transactions!$G269,)</f>
        <v/>
      </c>
    </row>
    <row r="270">
      <c r="A270" s="55" t="str">
        <f>IF(Transactions!$B270&lt;&gt;"",DATE(LEFT(Transactions!$B270,4),MID(Transactions!$B270,6,2),MID(Transactions!$B270,9,2)),)</f>
        <v/>
      </c>
      <c r="B270" s="56" t="str">
        <f>Transactions!$C270</f>
        <v/>
      </c>
      <c r="C270" s="51" t="str">
        <f t="array" ref="C270">IFERROR(INDEX(Portfolio!$B:$B, MATCH($B270, Portfolio!$A:$A, 0)),Transactions!$B270)</f>
        <v/>
      </c>
      <c r="D270" s="51" t="str">
        <f>IF($B270&lt;&gt;"",Transactions!$E270*1,)</f>
        <v/>
      </c>
      <c r="E270" s="51" t="str">
        <f>IF($B270&lt;&gt;"",Transactions!$F270*1,)</f>
        <v/>
      </c>
      <c r="F270" s="42" t="str">
        <f>IF(Transactions!$G270&lt;&gt;"",Transactions!$H270&amp;" "&amp;Transactions!$G270,)</f>
        <v/>
      </c>
    </row>
    <row r="271">
      <c r="A271" s="55" t="str">
        <f>IF(Transactions!$B271&lt;&gt;"",DATE(LEFT(Transactions!$B271,4),MID(Transactions!$B271,6,2),MID(Transactions!$B271,9,2)),)</f>
        <v/>
      </c>
      <c r="B271" s="56" t="str">
        <f>Transactions!$C271</f>
        <v/>
      </c>
      <c r="C271" s="51" t="str">
        <f t="array" ref="C271">IFERROR(INDEX(Portfolio!$B:$B, MATCH($B271, Portfolio!$A:$A, 0)),Transactions!$B271)</f>
        <v/>
      </c>
      <c r="D271" s="51" t="str">
        <f>IF($B271&lt;&gt;"",Transactions!$E271*1,)</f>
        <v/>
      </c>
      <c r="E271" s="51" t="str">
        <f>IF($B271&lt;&gt;"",Transactions!$F271*1,)</f>
        <v/>
      </c>
      <c r="F271" s="42" t="str">
        <f>IF(Transactions!$G271&lt;&gt;"",Transactions!$H271&amp;" "&amp;Transactions!$G271,)</f>
        <v/>
      </c>
    </row>
    <row r="272">
      <c r="A272" s="55" t="str">
        <f>IF(Transactions!$B272&lt;&gt;"",DATE(LEFT(Transactions!$B272,4),MID(Transactions!$B272,6,2),MID(Transactions!$B272,9,2)),)</f>
        <v/>
      </c>
      <c r="B272" s="56" t="str">
        <f>Transactions!$C272</f>
        <v/>
      </c>
      <c r="C272" s="51" t="str">
        <f t="array" ref="C272">IFERROR(INDEX(Portfolio!$B:$B, MATCH($B272, Portfolio!$A:$A, 0)),Transactions!$B272)</f>
        <v/>
      </c>
      <c r="D272" s="51" t="str">
        <f>IF($B272&lt;&gt;"",Transactions!$E272*1,)</f>
        <v/>
      </c>
      <c r="E272" s="51" t="str">
        <f>IF($B272&lt;&gt;"",Transactions!$F272*1,)</f>
        <v/>
      </c>
      <c r="F272" s="42" t="str">
        <f>IF(Transactions!$G272&lt;&gt;"",Transactions!$H272&amp;" "&amp;Transactions!$G272,)</f>
        <v/>
      </c>
    </row>
    <row r="273">
      <c r="A273" s="55" t="str">
        <f>IF(Transactions!$B273&lt;&gt;"",DATE(LEFT(Transactions!$B273,4),MID(Transactions!$B273,6,2),MID(Transactions!$B273,9,2)),)</f>
        <v/>
      </c>
      <c r="B273" s="56" t="str">
        <f>Transactions!$C273</f>
        <v/>
      </c>
      <c r="C273" s="51" t="str">
        <f t="array" ref="C273">IFERROR(INDEX(Portfolio!$B:$B, MATCH($B273, Portfolio!$A:$A, 0)),Transactions!$B273)</f>
        <v/>
      </c>
      <c r="D273" s="51" t="str">
        <f>IF($B273&lt;&gt;"",Transactions!$E273*1,)</f>
        <v/>
      </c>
      <c r="E273" s="51" t="str">
        <f>IF($B273&lt;&gt;"",Transactions!$F273*1,)</f>
        <v/>
      </c>
      <c r="F273" s="42" t="str">
        <f>IF(Transactions!$G273&lt;&gt;"",Transactions!$H273&amp;" "&amp;Transactions!$G273,)</f>
        <v/>
      </c>
    </row>
    <row r="274">
      <c r="A274" s="55" t="str">
        <f>IF(Transactions!$B274&lt;&gt;"",DATE(LEFT(Transactions!$B274,4),MID(Transactions!$B274,6,2),MID(Transactions!$B274,9,2)),)</f>
        <v/>
      </c>
      <c r="B274" s="56" t="str">
        <f>Transactions!$C274</f>
        <v/>
      </c>
      <c r="C274" s="51" t="str">
        <f t="array" ref="C274">IFERROR(INDEX(Portfolio!$B:$B, MATCH($B274, Portfolio!$A:$A, 0)),Transactions!$B274)</f>
        <v/>
      </c>
      <c r="D274" s="51" t="str">
        <f>IF($B274&lt;&gt;"",Transactions!$E274*1,)</f>
        <v/>
      </c>
      <c r="E274" s="51" t="str">
        <f>IF($B274&lt;&gt;"",Transactions!$F274*1,)</f>
        <v/>
      </c>
      <c r="F274" s="42" t="str">
        <f>IF(Transactions!$G274&lt;&gt;"",Transactions!$H274&amp;" "&amp;Transactions!$G274,)</f>
        <v/>
      </c>
    </row>
    <row r="275">
      <c r="A275" s="55" t="str">
        <f>IF(Transactions!$B275&lt;&gt;"",DATE(LEFT(Transactions!$B275,4),MID(Transactions!$B275,6,2),MID(Transactions!$B275,9,2)),)</f>
        <v/>
      </c>
      <c r="B275" s="56" t="str">
        <f>Transactions!$C275</f>
        <v/>
      </c>
      <c r="C275" s="51" t="str">
        <f t="array" ref="C275">IFERROR(INDEX(Portfolio!$B:$B, MATCH($B275, Portfolio!$A:$A, 0)),Transactions!$B275)</f>
        <v/>
      </c>
      <c r="D275" s="51" t="str">
        <f>IF($B275&lt;&gt;"",Transactions!$E275*1,)</f>
        <v/>
      </c>
      <c r="E275" s="51" t="str">
        <f>IF($B275&lt;&gt;"",Transactions!$F275*1,)</f>
        <v/>
      </c>
      <c r="F275" s="42" t="str">
        <f>IF(Transactions!$G275&lt;&gt;"",Transactions!$H275&amp;" "&amp;Transactions!$G275,)</f>
        <v/>
      </c>
    </row>
    <row r="276">
      <c r="A276" s="55" t="str">
        <f>IF(Transactions!$B276&lt;&gt;"",DATE(LEFT(Transactions!$B276,4),MID(Transactions!$B276,6,2),MID(Transactions!$B276,9,2)),)</f>
        <v/>
      </c>
      <c r="B276" s="56" t="str">
        <f>Transactions!$C276</f>
        <v/>
      </c>
      <c r="C276" s="51" t="str">
        <f t="array" ref="C276">IFERROR(INDEX(Portfolio!$B:$B, MATCH($B276, Portfolio!$A:$A, 0)),Transactions!$B276)</f>
        <v/>
      </c>
      <c r="D276" s="51" t="str">
        <f>IF($B276&lt;&gt;"",Transactions!$E276*1,)</f>
        <v/>
      </c>
      <c r="E276" s="51" t="str">
        <f>IF($B276&lt;&gt;"",Transactions!$F276*1,)</f>
        <v/>
      </c>
      <c r="F276" s="42" t="str">
        <f>IF(Transactions!$G276&lt;&gt;"",Transactions!$H276&amp;" "&amp;Transactions!$G276,)</f>
        <v/>
      </c>
    </row>
    <row r="277">
      <c r="A277" s="55" t="str">
        <f>IF(Transactions!$B277&lt;&gt;"",DATE(LEFT(Transactions!$B277,4),MID(Transactions!$B277,6,2),MID(Transactions!$B277,9,2)),)</f>
        <v/>
      </c>
      <c r="B277" s="56" t="str">
        <f>Transactions!$C277</f>
        <v/>
      </c>
      <c r="C277" s="51" t="str">
        <f t="array" ref="C277">IFERROR(INDEX(Portfolio!$B:$B, MATCH($B277, Portfolio!$A:$A, 0)),Transactions!$B277)</f>
        <v/>
      </c>
      <c r="D277" s="51" t="str">
        <f>IF($B277&lt;&gt;"",Transactions!$E277*1,)</f>
        <v/>
      </c>
      <c r="E277" s="51" t="str">
        <f>IF($B277&lt;&gt;"",Transactions!$F277*1,)</f>
        <v/>
      </c>
      <c r="F277" s="42" t="str">
        <f>IF(Transactions!$G277&lt;&gt;"",Transactions!$H277&amp;" "&amp;Transactions!$G277,)</f>
        <v/>
      </c>
    </row>
    <row r="278">
      <c r="A278" s="55" t="str">
        <f>IF(Transactions!$B278&lt;&gt;"",DATE(LEFT(Transactions!$B278,4),MID(Transactions!$B278,6,2),MID(Transactions!$B278,9,2)),)</f>
        <v/>
      </c>
      <c r="B278" s="56" t="str">
        <f>Transactions!$C278</f>
        <v/>
      </c>
      <c r="C278" s="51" t="str">
        <f t="array" ref="C278">IFERROR(INDEX(Portfolio!$B:$B, MATCH($B278, Portfolio!$A:$A, 0)),Transactions!$B278)</f>
        <v/>
      </c>
      <c r="D278" s="51" t="str">
        <f>IF($B278&lt;&gt;"",Transactions!$E278*1,)</f>
        <v/>
      </c>
      <c r="E278" s="51" t="str">
        <f>IF($B278&lt;&gt;"",Transactions!$F278*1,)</f>
        <v/>
      </c>
      <c r="F278" s="42" t="str">
        <f>IF(Transactions!$G278&lt;&gt;"",Transactions!$H278&amp;" "&amp;Transactions!$G278,)</f>
        <v/>
      </c>
    </row>
    <row r="279">
      <c r="A279" s="55" t="str">
        <f>IF(Transactions!$B279&lt;&gt;"",DATE(LEFT(Transactions!$B279,4),MID(Transactions!$B279,6,2),MID(Transactions!$B279,9,2)),)</f>
        <v/>
      </c>
      <c r="B279" s="56" t="str">
        <f>Transactions!$C279</f>
        <v/>
      </c>
      <c r="C279" s="51" t="str">
        <f t="array" ref="C279">IFERROR(INDEX(Portfolio!$B:$B, MATCH($B279, Portfolio!$A:$A, 0)),Transactions!$B279)</f>
        <v/>
      </c>
      <c r="D279" s="51" t="str">
        <f>IF($B279&lt;&gt;"",Transactions!$E279*1,)</f>
        <v/>
      </c>
      <c r="E279" s="51" t="str">
        <f>IF($B279&lt;&gt;"",Transactions!$F279*1,)</f>
        <v/>
      </c>
      <c r="F279" s="42" t="str">
        <f>IF(Transactions!$G279&lt;&gt;"",Transactions!$H279&amp;" "&amp;Transactions!$G279,)</f>
        <v/>
      </c>
    </row>
    <row r="280">
      <c r="A280" s="55" t="str">
        <f>IF(Transactions!$B280&lt;&gt;"",DATE(LEFT(Transactions!$B280,4),MID(Transactions!$B280,6,2),MID(Transactions!$B280,9,2)),)</f>
        <v/>
      </c>
      <c r="B280" s="56" t="str">
        <f>Transactions!$C280</f>
        <v/>
      </c>
      <c r="C280" s="51" t="str">
        <f t="array" ref="C280">IFERROR(INDEX(Portfolio!$B:$B, MATCH($B280, Portfolio!$A:$A, 0)),Transactions!$B280)</f>
        <v/>
      </c>
      <c r="D280" s="51" t="str">
        <f>IF($B280&lt;&gt;"",Transactions!$E280*1,)</f>
        <v/>
      </c>
      <c r="E280" s="51" t="str">
        <f>IF($B280&lt;&gt;"",Transactions!$F280*1,)</f>
        <v/>
      </c>
      <c r="F280" s="42" t="str">
        <f>IF(Transactions!$G280&lt;&gt;"",Transactions!$H280&amp;" "&amp;Transactions!$G280,)</f>
        <v/>
      </c>
    </row>
    <row r="281">
      <c r="A281" s="55" t="str">
        <f>IF(Transactions!$B281&lt;&gt;"",DATE(LEFT(Transactions!$B281,4),MID(Transactions!$B281,6,2),MID(Transactions!$B281,9,2)),)</f>
        <v/>
      </c>
      <c r="B281" s="56" t="str">
        <f>Transactions!$C281</f>
        <v/>
      </c>
      <c r="C281" s="51" t="str">
        <f t="array" ref="C281">IFERROR(INDEX(Portfolio!$B:$B, MATCH($B281, Portfolio!$A:$A, 0)),Transactions!$B281)</f>
        <v/>
      </c>
      <c r="D281" s="51" t="str">
        <f>IF($B281&lt;&gt;"",Transactions!$E281*1,)</f>
        <v/>
      </c>
      <c r="E281" s="51" t="str">
        <f>IF($B281&lt;&gt;"",Transactions!$F281*1,)</f>
        <v/>
      </c>
      <c r="F281" s="42" t="str">
        <f>IF(Transactions!$G281&lt;&gt;"",Transactions!$H281&amp;" "&amp;Transactions!$G281,)</f>
        <v/>
      </c>
    </row>
    <row r="282">
      <c r="A282" s="55" t="str">
        <f>IF(Transactions!$B282&lt;&gt;"",DATE(LEFT(Transactions!$B282,4),MID(Transactions!$B282,6,2),MID(Transactions!$B282,9,2)),)</f>
        <v/>
      </c>
      <c r="B282" s="56" t="str">
        <f>Transactions!$C282</f>
        <v/>
      </c>
      <c r="C282" s="51" t="str">
        <f t="array" ref="C282">IFERROR(INDEX(Portfolio!$B:$B, MATCH($B282, Portfolio!$A:$A, 0)),Transactions!$B282)</f>
        <v/>
      </c>
      <c r="D282" s="51" t="str">
        <f>IF($B282&lt;&gt;"",Transactions!$E282*1,)</f>
        <v/>
      </c>
      <c r="E282" s="51" t="str">
        <f>IF($B282&lt;&gt;"",Transactions!$F282*1,)</f>
        <v/>
      </c>
      <c r="F282" s="42" t="str">
        <f>IF(Transactions!$G282&lt;&gt;"",Transactions!$H282&amp;" "&amp;Transactions!$G282,)</f>
        <v/>
      </c>
    </row>
    <row r="283">
      <c r="A283" s="55" t="str">
        <f>IF(Transactions!$B283&lt;&gt;"",DATE(LEFT(Transactions!$B283,4),MID(Transactions!$B283,6,2),MID(Transactions!$B283,9,2)),)</f>
        <v/>
      </c>
      <c r="B283" s="56" t="str">
        <f>Transactions!$C283</f>
        <v/>
      </c>
      <c r="C283" s="51" t="str">
        <f t="array" ref="C283">IFERROR(INDEX(Portfolio!$B:$B, MATCH($B283, Portfolio!$A:$A, 0)),Transactions!$B283)</f>
        <v/>
      </c>
      <c r="D283" s="51" t="str">
        <f>IF($B283&lt;&gt;"",Transactions!$E283*1,)</f>
        <v/>
      </c>
      <c r="E283" s="51" t="str">
        <f>IF($B283&lt;&gt;"",Transactions!$F283*1,)</f>
        <v/>
      </c>
      <c r="F283" s="42" t="str">
        <f>IF(Transactions!$G283&lt;&gt;"",Transactions!$H283&amp;" "&amp;Transactions!$G283,)</f>
        <v/>
      </c>
    </row>
    <row r="284">
      <c r="A284" s="55" t="str">
        <f>IF(Transactions!$B284&lt;&gt;"",DATE(LEFT(Transactions!$B284,4),MID(Transactions!$B284,6,2),MID(Transactions!$B284,9,2)),)</f>
        <v/>
      </c>
      <c r="B284" s="56" t="str">
        <f>Transactions!$C284</f>
        <v/>
      </c>
      <c r="C284" s="51" t="str">
        <f t="array" ref="C284">IFERROR(INDEX(Portfolio!$B:$B, MATCH($B284, Portfolio!$A:$A, 0)),Transactions!$B284)</f>
        <v/>
      </c>
      <c r="D284" s="51" t="str">
        <f>IF($B284&lt;&gt;"",Transactions!$E284*1,)</f>
        <v/>
      </c>
      <c r="E284" s="51" t="str">
        <f>IF($B284&lt;&gt;"",Transactions!$F284*1,)</f>
        <v/>
      </c>
      <c r="F284" s="42" t="str">
        <f>IF(Transactions!$G284&lt;&gt;"",Transactions!$H284&amp;" "&amp;Transactions!$G284,)</f>
        <v/>
      </c>
    </row>
    <row r="285">
      <c r="A285" s="55" t="str">
        <f>IF(Transactions!$B285&lt;&gt;"",DATE(LEFT(Transactions!$B285,4),MID(Transactions!$B285,6,2),MID(Transactions!$B285,9,2)),)</f>
        <v/>
      </c>
      <c r="B285" s="56" t="str">
        <f>Transactions!$C285</f>
        <v/>
      </c>
      <c r="C285" s="51" t="str">
        <f t="array" ref="C285">IFERROR(INDEX(Portfolio!$B:$B, MATCH($B285, Portfolio!$A:$A, 0)),Transactions!$B285)</f>
        <v/>
      </c>
      <c r="D285" s="51" t="str">
        <f>IF($B285&lt;&gt;"",Transactions!$E285*1,)</f>
        <v/>
      </c>
      <c r="E285" s="51" t="str">
        <f>IF($B285&lt;&gt;"",Transactions!$F285*1,)</f>
        <v/>
      </c>
      <c r="F285" s="42" t="str">
        <f>IF(Transactions!$G285&lt;&gt;"",Transactions!$H285&amp;" "&amp;Transactions!$G285,)</f>
        <v/>
      </c>
    </row>
    <row r="286">
      <c r="A286" s="55" t="str">
        <f>IF(Transactions!$B286&lt;&gt;"",DATE(LEFT(Transactions!$B286,4),MID(Transactions!$B286,6,2),MID(Transactions!$B286,9,2)),)</f>
        <v/>
      </c>
      <c r="B286" s="56" t="str">
        <f>Transactions!$C286</f>
        <v/>
      </c>
      <c r="C286" s="51" t="str">
        <f t="array" ref="C286">IFERROR(INDEX(Portfolio!$B:$B, MATCH($B286, Portfolio!$A:$A, 0)),Transactions!$B286)</f>
        <v/>
      </c>
      <c r="D286" s="51" t="str">
        <f>IF($B286&lt;&gt;"",Transactions!$E286*1,)</f>
        <v/>
      </c>
      <c r="E286" s="51" t="str">
        <f>IF($B286&lt;&gt;"",Transactions!$F286*1,)</f>
        <v/>
      </c>
      <c r="F286" s="42" t="str">
        <f>IF(Transactions!$G286&lt;&gt;"",Transactions!$H286&amp;" "&amp;Transactions!$G286,)</f>
        <v/>
      </c>
    </row>
    <row r="287">
      <c r="A287" s="55" t="str">
        <f>IF(Transactions!$B287&lt;&gt;"",DATE(LEFT(Transactions!$B287,4),MID(Transactions!$B287,6,2),MID(Transactions!$B287,9,2)),)</f>
        <v/>
      </c>
      <c r="B287" s="56" t="str">
        <f>Transactions!$C287</f>
        <v/>
      </c>
      <c r="C287" s="51" t="str">
        <f t="array" ref="C287">IFERROR(INDEX(Portfolio!$B:$B, MATCH($B287, Portfolio!$A:$A, 0)),Transactions!$B287)</f>
        <v/>
      </c>
      <c r="D287" s="51" t="str">
        <f>IF($B287&lt;&gt;"",Transactions!$E287*1,)</f>
        <v/>
      </c>
      <c r="E287" s="51" t="str">
        <f>IF($B287&lt;&gt;"",Transactions!$F287*1,)</f>
        <v/>
      </c>
      <c r="F287" s="42" t="str">
        <f>IF(Transactions!$G287&lt;&gt;"",Transactions!$H287&amp;" "&amp;Transactions!$G287,)</f>
        <v/>
      </c>
    </row>
    <row r="288">
      <c r="A288" s="55" t="str">
        <f>IF(Transactions!$B288&lt;&gt;"",DATE(LEFT(Transactions!$B288,4),MID(Transactions!$B288,6,2),MID(Transactions!$B288,9,2)),)</f>
        <v/>
      </c>
      <c r="B288" s="56" t="str">
        <f>Transactions!$C288</f>
        <v/>
      </c>
      <c r="C288" s="51" t="str">
        <f t="array" ref="C288">IFERROR(INDEX(Portfolio!$B:$B, MATCH($B288, Portfolio!$A:$A, 0)),Transactions!$B288)</f>
        <v/>
      </c>
      <c r="D288" s="51" t="str">
        <f>IF($B288&lt;&gt;"",Transactions!$E288*1,)</f>
        <v/>
      </c>
      <c r="E288" s="51" t="str">
        <f>IF($B288&lt;&gt;"",Transactions!$F288*1,)</f>
        <v/>
      </c>
      <c r="F288" s="42" t="str">
        <f>IF(Transactions!$G288&lt;&gt;"",Transactions!$H288&amp;" "&amp;Transactions!$G288,)</f>
        <v/>
      </c>
    </row>
    <row r="289">
      <c r="A289" s="55" t="str">
        <f>IF(Transactions!$B289&lt;&gt;"",DATE(LEFT(Transactions!$B289,4),MID(Transactions!$B289,6,2),MID(Transactions!$B289,9,2)),)</f>
        <v/>
      </c>
      <c r="B289" s="56" t="str">
        <f>Transactions!$C289</f>
        <v/>
      </c>
      <c r="C289" s="51" t="str">
        <f t="array" ref="C289">IFERROR(INDEX(Portfolio!$B:$B, MATCH($B289, Portfolio!$A:$A, 0)),Transactions!$B289)</f>
        <v/>
      </c>
      <c r="D289" s="51" t="str">
        <f>IF($B289&lt;&gt;"",Transactions!$E289*1,)</f>
        <v/>
      </c>
      <c r="E289" s="51" t="str">
        <f>IF($B289&lt;&gt;"",Transactions!$F289*1,)</f>
        <v/>
      </c>
      <c r="F289" s="42" t="str">
        <f>IF(Transactions!$G289&lt;&gt;"",Transactions!$H289&amp;" "&amp;Transactions!$G289,)</f>
        <v/>
      </c>
    </row>
    <row r="290">
      <c r="A290" s="55" t="str">
        <f>IF(Transactions!$B290&lt;&gt;"",DATE(LEFT(Transactions!$B290,4),MID(Transactions!$B290,6,2),MID(Transactions!$B290,9,2)),)</f>
        <v/>
      </c>
      <c r="B290" s="56" t="str">
        <f>Transactions!$C290</f>
        <v/>
      </c>
      <c r="C290" s="51" t="str">
        <f t="array" ref="C290">IFERROR(INDEX(Portfolio!$B:$B, MATCH($B290, Portfolio!$A:$A, 0)),Transactions!$B290)</f>
        <v/>
      </c>
      <c r="D290" s="51" t="str">
        <f>IF($B290&lt;&gt;"",Transactions!$E290*1,)</f>
        <v/>
      </c>
      <c r="E290" s="51" t="str">
        <f>IF($B290&lt;&gt;"",Transactions!$F290*1,)</f>
        <v/>
      </c>
      <c r="F290" s="42" t="str">
        <f>IF(Transactions!$G290&lt;&gt;"",Transactions!$H290&amp;" "&amp;Transactions!$G290,)</f>
        <v/>
      </c>
    </row>
    <row r="291">
      <c r="A291" s="55" t="str">
        <f>IF(Transactions!$B291&lt;&gt;"",DATE(LEFT(Transactions!$B291,4),MID(Transactions!$B291,6,2),MID(Transactions!$B291,9,2)),)</f>
        <v/>
      </c>
      <c r="B291" s="56" t="str">
        <f>Transactions!$C291</f>
        <v/>
      </c>
      <c r="C291" s="51" t="str">
        <f t="array" ref="C291">IFERROR(INDEX(Portfolio!$B:$B, MATCH($B291, Portfolio!$A:$A, 0)),Transactions!$B291)</f>
        <v/>
      </c>
      <c r="D291" s="51" t="str">
        <f>IF($B291&lt;&gt;"",Transactions!$E291*1,)</f>
        <v/>
      </c>
      <c r="E291" s="51" t="str">
        <f>IF($B291&lt;&gt;"",Transactions!$F291*1,)</f>
        <v/>
      </c>
      <c r="F291" s="42" t="str">
        <f>IF(Transactions!$G291&lt;&gt;"",Transactions!$H291&amp;" "&amp;Transactions!$G291,)</f>
        <v/>
      </c>
    </row>
    <row r="292">
      <c r="A292" s="55" t="str">
        <f>IF(Transactions!$B292&lt;&gt;"",DATE(LEFT(Transactions!$B292,4),MID(Transactions!$B292,6,2),MID(Transactions!$B292,9,2)),)</f>
        <v/>
      </c>
      <c r="B292" s="56" t="str">
        <f>Transactions!$C292</f>
        <v/>
      </c>
      <c r="C292" s="51" t="str">
        <f t="array" ref="C292">IFERROR(INDEX(Portfolio!$B:$B, MATCH($B292, Portfolio!$A:$A, 0)),Transactions!$B292)</f>
        <v/>
      </c>
      <c r="D292" s="51" t="str">
        <f>IF($B292&lt;&gt;"",Transactions!$E292*1,)</f>
        <v/>
      </c>
      <c r="E292" s="51" t="str">
        <f>IF($B292&lt;&gt;"",Transactions!$F292*1,)</f>
        <v/>
      </c>
      <c r="F292" s="42" t="str">
        <f>IF(Transactions!$G292&lt;&gt;"",Transactions!$H292&amp;" "&amp;Transactions!$G292,)</f>
        <v/>
      </c>
    </row>
    <row r="293">
      <c r="A293" s="55" t="str">
        <f>IF(Transactions!$B293&lt;&gt;"",DATE(LEFT(Transactions!$B293,4),MID(Transactions!$B293,6,2),MID(Transactions!$B293,9,2)),)</f>
        <v/>
      </c>
      <c r="B293" s="56" t="str">
        <f>Transactions!$C293</f>
        <v/>
      </c>
      <c r="C293" s="51" t="str">
        <f t="array" ref="C293">IFERROR(INDEX(Portfolio!$B:$B, MATCH($B293, Portfolio!$A:$A, 0)),Transactions!$B293)</f>
        <v/>
      </c>
      <c r="D293" s="51" t="str">
        <f>IF($B293&lt;&gt;"",Transactions!$E293*1,)</f>
        <v/>
      </c>
      <c r="E293" s="51" t="str">
        <f>IF($B293&lt;&gt;"",Transactions!$F293*1,)</f>
        <v/>
      </c>
      <c r="F293" s="42" t="str">
        <f>IF(Transactions!$G293&lt;&gt;"",Transactions!$H293&amp;" "&amp;Transactions!$G293,)</f>
        <v/>
      </c>
    </row>
    <row r="294">
      <c r="A294" s="55" t="str">
        <f>IF(Transactions!$B294&lt;&gt;"",DATE(LEFT(Transactions!$B294,4),MID(Transactions!$B294,6,2),MID(Transactions!$B294,9,2)),)</f>
        <v/>
      </c>
      <c r="B294" s="56" t="str">
        <f>Transactions!$C294</f>
        <v/>
      </c>
      <c r="C294" s="51" t="str">
        <f t="array" ref="C294">IFERROR(INDEX(Portfolio!$B:$B, MATCH($B294, Portfolio!$A:$A, 0)),Transactions!$B294)</f>
        <v/>
      </c>
      <c r="D294" s="51" t="str">
        <f>IF($B294&lt;&gt;"",Transactions!$E294*1,)</f>
        <v/>
      </c>
      <c r="E294" s="51" t="str">
        <f>IF($B294&lt;&gt;"",Transactions!$F294*1,)</f>
        <v/>
      </c>
      <c r="F294" s="42" t="str">
        <f>IF(Transactions!$G294&lt;&gt;"",Transactions!$H294&amp;" "&amp;Transactions!$G294,)</f>
        <v/>
      </c>
    </row>
    <row r="295">
      <c r="A295" s="55" t="str">
        <f>IF(Transactions!$B295&lt;&gt;"",DATE(LEFT(Transactions!$B295,4),MID(Transactions!$B295,6,2),MID(Transactions!$B295,9,2)),)</f>
        <v/>
      </c>
      <c r="B295" s="56" t="str">
        <f>Transactions!$C295</f>
        <v/>
      </c>
      <c r="C295" s="51" t="str">
        <f t="array" ref="C295">IFERROR(INDEX(Portfolio!$B:$B, MATCH($B295, Portfolio!$A:$A, 0)),Transactions!$B295)</f>
        <v/>
      </c>
      <c r="D295" s="51" t="str">
        <f>IF($B295&lt;&gt;"",Transactions!$E295*1,)</f>
        <v/>
      </c>
      <c r="E295" s="51" t="str">
        <f>IF($B295&lt;&gt;"",Transactions!$F295*1,)</f>
        <v/>
      </c>
      <c r="F295" s="42" t="str">
        <f>IF(Transactions!$G295&lt;&gt;"",Transactions!$H295&amp;" "&amp;Transactions!$G295,)</f>
        <v/>
      </c>
    </row>
    <row r="296">
      <c r="A296" s="55" t="str">
        <f>IF(Transactions!$B296&lt;&gt;"",DATE(LEFT(Transactions!$B296,4),MID(Transactions!$B296,6,2),MID(Transactions!$B296,9,2)),)</f>
        <v/>
      </c>
      <c r="B296" s="56" t="str">
        <f>Transactions!$C296</f>
        <v/>
      </c>
      <c r="C296" s="51" t="str">
        <f t="array" ref="C296">IFERROR(INDEX(Portfolio!$B:$B, MATCH($B296, Portfolio!$A:$A, 0)),Transactions!$B296)</f>
        <v/>
      </c>
      <c r="D296" s="51" t="str">
        <f>IF($B296&lt;&gt;"",Transactions!$E296*1,)</f>
        <v/>
      </c>
      <c r="E296" s="51" t="str">
        <f>IF($B296&lt;&gt;"",Transactions!$F296*1,)</f>
        <v/>
      </c>
      <c r="F296" s="42" t="str">
        <f>IF(Transactions!$G296&lt;&gt;"",Transactions!$H296&amp;" "&amp;Transactions!$G296,)</f>
        <v/>
      </c>
    </row>
    <row r="297">
      <c r="A297" s="55" t="str">
        <f>IF(Transactions!$B297&lt;&gt;"",DATE(LEFT(Transactions!$B297,4),MID(Transactions!$B297,6,2),MID(Transactions!$B297,9,2)),)</f>
        <v/>
      </c>
      <c r="B297" s="56" t="str">
        <f>Transactions!$C297</f>
        <v/>
      </c>
      <c r="C297" s="51" t="str">
        <f t="array" ref="C297">IFERROR(INDEX(Portfolio!$B:$B, MATCH($B297, Portfolio!$A:$A, 0)),Transactions!$B297)</f>
        <v/>
      </c>
      <c r="D297" s="51" t="str">
        <f>IF($B297&lt;&gt;"",Transactions!$E297*1,)</f>
        <v/>
      </c>
      <c r="E297" s="51" t="str">
        <f>IF($B297&lt;&gt;"",Transactions!$F297*1,)</f>
        <v/>
      </c>
      <c r="F297" s="42" t="str">
        <f>IF(Transactions!$G297&lt;&gt;"",Transactions!$H297&amp;" "&amp;Transactions!$G297,)</f>
        <v/>
      </c>
    </row>
    <row r="298">
      <c r="A298" s="55" t="str">
        <f>IF(Transactions!$B298&lt;&gt;"",DATE(LEFT(Transactions!$B298,4),MID(Transactions!$B298,6,2),MID(Transactions!$B298,9,2)),)</f>
        <v/>
      </c>
      <c r="B298" s="56" t="str">
        <f>Transactions!$C298</f>
        <v/>
      </c>
      <c r="C298" s="51" t="str">
        <f t="array" ref="C298">IFERROR(INDEX(Portfolio!$B:$B, MATCH($B298, Portfolio!$A:$A, 0)),Transactions!$B298)</f>
        <v/>
      </c>
      <c r="D298" s="51" t="str">
        <f>IF($B298&lt;&gt;"",Transactions!$E298*1,)</f>
        <v/>
      </c>
      <c r="E298" s="51" t="str">
        <f>IF($B298&lt;&gt;"",Transactions!$F298*1,)</f>
        <v/>
      </c>
      <c r="F298" s="42" t="str">
        <f>IF(Transactions!$G298&lt;&gt;"",Transactions!$H298&amp;" "&amp;Transactions!$G298,)</f>
        <v/>
      </c>
    </row>
    <row r="299">
      <c r="A299" s="55" t="str">
        <f>IF(Transactions!$B299&lt;&gt;"",DATE(LEFT(Transactions!$B299,4),MID(Transactions!$B299,6,2),MID(Transactions!$B299,9,2)),)</f>
        <v/>
      </c>
      <c r="B299" s="56" t="str">
        <f>Transactions!$C299</f>
        <v/>
      </c>
      <c r="C299" s="51" t="str">
        <f t="array" ref="C299">IFERROR(INDEX(Portfolio!$B:$B, MATCH($B299, Portfolio!$A:$A, 0)),Transactions!$B299)</f>
        <v/>
      </c>
      <c r="D299" s="51" t="str">
        <f>IF($B299&lt;&gt;"",Transactions!$E299*1,)</f>
        <v/>
      </c>
      <c r="E299" s="51" t="str">
        <f>IF($B299&lt;&gt;"",Transactions!$F299*1,)</f>
        <v/>
      </c>
      <c r="F299" s="42" t="str">
        <f>IF(Transactions!$G299&lt;&gt;"",Transactions!$H299&amp;" "&amp;Transactions!$G299,)</f>
        <v/>
      </c>
    </row>
    <row r="300">
      <c r="A300" s="55" t="str">
        <f>IF(Transactions!$B300&lt;&gt;"",DATE(LEFT(Transactions!$B300,4),MID(Transactions!$B300,6,2),MID(Transactions!$B300,9,2)),)</f>
        <v/>
      </c>
      <c r="B300" s="56" t="str">
        <f>Transactions!$C300</f>
        <v/>
      </c>
      <c r="C300" s="51" t="str">
        <f t="array" ref="C300">IFERROR(INDEX(Portfolio!$B:$B, MATCH($B300, Portfolio!$A:$A, 0)),Transactions!$B300)</f>
        <v/>
      </c>
      <c r="D300" s="51" t="str">
        <f>IF($B300&lt;&gt;"",Transactions!$E300*1,)</f>
        <v/>
      </c>
      <c r="E300" s="51" t="str">
        <f>IF($B300&lt;&gt;"",Transactions!$F300*1,)</f>
        <v/>
      </c>
      <c r="F300" s="42" t="str">
        <f>IF(Transactions!$G300&lt;&gt;"",Transactions!$H300&amp;" "&amp;Transactions!$G300,)</f>
        <v/>
      </c>
    </row>
    <row r="301">
      <c r="A301" s="55" t="str">
        <f>IF(Transactions!$B301&lt;&gt;"",DATE(LEFT(Transactions!$B301,4),MID(Transactions!$B301,6,2),MID(Transactions!$B301,9,2)),)</f>
        <v/>
      </c>
      <c r="B301" s="56" t="str">
        <f>Transactions!$C301</f>
        <v/>
      </c>
      <c r="C301" s="51" t="str">
        <f t="array" ref="C301">IFERROR(INDEX(Portfolio!$B:$B, MATCH($B301, Portfolio!$A:$A, 0)),Transactions!$B301)</f>
        <v/>
      </c>
      <c r="D301" s="51" t="str">
        <f>IF($B301&lt;&gt;"",Transactions!$E301*1,)</f>
        <v/>
      </c>
      <c r="E301" s="51" t="str">
        <f>IF($B301&lt;&gt;"",Transactions!$F301*1,)</f>
        <v/>
      </c>
      <c r="F301" s="42" t="str">
        <f>IF(Transactions!$G301&lt;&gt;"",Transactions!$H301&amp;" "&amp;Transactions!$G301,)</f>
        <v/>
      </c>
    </row>
    <row r="302">
      <c r="A302" s="55" t="str">
        <f>IF(Transactions!$B302&lt;&gt;"",DATE(LEFT(Transactions!$B302,4),MID(Transactions!$B302,6,2),MID(Transactions!$B302,9,2)),)</f>
        <v/>
      </c>
      <c r="B302" s="56" t="str">
        <f>Transactions!$C302</f>
        <v/>
      </c>
      <c r="C302" s="51" t="str">
        <f t="array" ref="C302">IFERROR(INDEX(Portfolio!$B:$B, MATCH($B302, Portfolio!$A:$A, 0)),Transactions!$B302)</f>
        <v/>
      </c>
      <c r="D302" s="51" t="str">
        <f>IF($B302&lt;&gt;"",Transactions!$E302*1,)</f>
        <v/>
      </c>
      <c r="E302" s="51" t="str">
        <f>IF($B302&lt;&gt;"",Transactions!$F302*1,)</f>
        <v/>
      </c>
      <c r="F302" s="42" t="str">
        <f>IF(Transactions!$G302&lt;&gt;"",Transactions!$H302&amp;" "&amp;Transactions!$G302,)</f>
        <v/>
      </c>
    </row>
    <row r="303">
      <c r="A303" s="55" t="str">
        <f>IF(Transactions!$B303&lt;&gt;"",DATE(LEFT(Transactions!$B303,4),MID(Transactions!$B303,6,2),MID(Transactions!$B303,9,2)),)</f>
        <v/>
      </c>
      <c r="B303" s="56" t="str">
        <f>Transactions!$C303</f>
        <v/>
      </c>
      <c r="C303" s="51" t="str">
        <f t="array" ref="C303">IFERROR(INDEX(Portfolio!$B:$B, MATCH($B303, Portfolio!$A:$A, 0)),Transactions!$B303)</f>
        <v/>
      </c>
      <c r="D303" s="51" t="str">
        <f>IF($B303&lt;&gt;"",Transactions!$E303*1,)</f>
        <v/>
      </c>
      <c r="E303" s="51" t="str">
        <f>IF($B303&lt;&gt;"",Transactions!$F303*1,)</f>
        <v/>
      </c>
      <c r="F303" s="42" t="str">
        <f>IF(Transactions!$G303&lt;&gt;"",Transactions!$H303&amp;" "&amp;Transactions!$G303,)</f>
        <v/>
      </c>
    </row>
    <row r="304">
      <c r="A304" s="55" t="str">
        <f>IF(Transactions!$B304&lt;&gt;"",DATE(LEFT(Transactions!$B304,4),MID(Transactions!$B304,6,2),MID(Transactions!$B304,9,2)),)</f>
        <v/>
      </c>
      <c r="B304" s="56" t="str">
        <f>Transactions!$C304</f>
        <v/>
      </c>
      <c r="C304" s="51" t="str">
        <f t="array" ref="C304">IFERROR(INDEX(Portfolio!$B:$B, MATCH($B304, Portfolio!$A:$A, 0)),Transactions!$B304)</f>
        <v/>
      </c>
      <c r="D304" s="51" t="str">
        <f>IF($B304&lt;&gt;"",Transactions!$E304*1,)</f>
        <v/>
      </c>
      <c r="E304" s="51" t="str">
        <f>IF($B304&lt;&gt;"",Transactions!$F304*1,)</f>
        <v/>
      </c>
      <c r="F304" s="42" t="str">
        <f>IF(Transactions!$G304&lt;&gt;"",Transactions!$H304&amp;" "&amp;Transactions!$G304,)</f>
        <v/>
      </c>
    </row>
    <row r="305">
      <c r="A305" s="55" t="str">
        <f>IF(Transactions!$B305&lt;&gt;"",DATE(LEFT(Transactions!$B305,4),MID(Transactions!$B305,6,2),MID(Transactions!$B305,9,2)),)</f>
        <v/>
      </c>
      <c r="B305" s="56" t="str">
        <f>Transactions!$C305</f>
        <v/>
      </c>
      <c r="C305" s="51" t="str">
        <f t="array" ref="C305">IFERROR(INDEX(Portfolio!$B:$B, MATCH($B305, Portfolio!$A:$A, 0)),Transactions!$B305)</f>
        <v/>
      </c>
      <c r="D305" s="51" t="str">
        <f>IF($B305&lt;&gt;"",Transactions!$E305*1,)</f>
        <v/>
      </c>
      <c r="E305" s="51" t="str">
        <f>IF($B305&lt;&gt;"",Transactions!$F305*1,)</f>
        <v/>
      </c>
      <c r="F305" s="42" t="str">
        <f>IF(Transactions!$G305&lt;&gt;"",Transactions!$H305&amp;" "&amp;Transactions!$G305,)</f>
        <v/>
      </c>
    </row>
    <row r="306">
      <c r="A306" s="55" t="str">
        <f>IF(Transactions!$B306&lt;&gt;"",DATE(LEFT(Transactions!$B306,4),MID(Transactions!$B306,6,2),MID(Transactions!$B306,9,2)),)</f>
        <v/>
      </c>
      <c r="B306" s="56" t="str">
        <f>Transactions!$C306</f>
        <v/>
      </c>
      <c r="C306" s="51" t="str">
        <f t="array" ref="C306">IFERROR(INDEX(Portfolio!$B:$B, MATCH($B306, Portfolio!$A:$A, 0)),Transactions!$B306)</f>
        <v/>
      </c>
      <c r="D306" s="51" t="str">
        <f>IF($B306&lt;&gt;"",Transactions!$E306*1,)</f>
        <v/>
      </c>
      <c r="E306" s="51" t="str">
        <f>IF($B306&lt;&gt;"",Transactions!$F306*1,)</f>
        <v/>
      </c>
      <c r="F306" s="42" t="str">
        <f>IF(Transactions!$G306&lt;&gt;"",Transactions!$H306&amp;" "&amp;Transactions!$G306,)</f>
        <v/>
      </c>
    </row>
    <row r="307">
      <c r="A307" s="55" t="str">
        <f>IF(Transactions!$B307&lt;&gt;"",DATE(LEFT(Transactions!$B307,4),MID(Transactions!$B307,6,2),MID(Transactions!$B307,9,2)),)</f>
        <v/>
      </c>
      <c r="B307" s="56" t="str">
        <f>Transactions!$C307</f>
        <v/>
      </c>
      <c r="C307" s="51" t="str">
        <f t="array" ref="C307">IFERROR(INDEX(Portfolio!$B:$B, MATCH($B307, Portfolio!$A:$A, 0)),Transactions!$B307)</f>
        <v/>
      </c>
      <c r="D307" s="51" t="str">
        <f>IF($B307&lt;&gt;"",Transactions!$E307*1,)</f>
        <v/>
      </c>
      <c r="E307" s="51" t="str">
        <f>IF($B307&lt;&gt;"",Transactions!$F307*1,)</f>
        <v/>
      </c>
      <c r="F307" s="42" t="str">
        <f>IF(Transactions!$G307&lt;&gt;"",Transactions!$H307&amp;" "&amp;Transactions!$G307,)</f>
        <v/>
      </c>
    </row>
    <row r="308">
      <c r="A308" s="55" t="str">
        <f>IF(Transactions!$B308&lt;&gt;"",DATE(LEFT(Transactions!$B308,4),MID(Transactions!$B308,6,2),MID(Transactions!$B308,9,2)),)</f>
        <v/>
      </c>
      <c r="B308" s="56" t="str">
        <f>Transactions!$C308</f>
        <v/>
      </c>
      <c r="C308" s="51" t="str">
        <f t="array" ref="C308">IFERROR(INDEX(Portfolio!$B:$B, MATCH($B308, Portfolio!$A:$A, 0)),Transactions!$B308)</f>
        <v/>
      </c>
      <c r="D308" s="51" t="str">
        <f>IF($B308&lt;&gt;"",Transactions!$E308*1,)</f>
        <v/>
      </c>
      <c r="E308" s="51" t="str">
        <f>IF($B308&lt;&gt;"",Transactions!$F308*1,)</f>
        <v/>
      </c>
      <c r="F308" s="42" t="str">
        <f>IF(Transactions!$G308&lt;&gt;"",Transactions!$H308&amp;" "&amp;Transactions!$G308,)</f>
        <v/>
      </c>
    </row>
    <row r="309">
      <c r="A309" s="55" t="str">
        <f>IF(Transactions!$B309&lt;&gt;"",DATE(LEFT(Transactions!$B309,4),MID(Transactions!$B309,6,2),MID(Transactions!$B309,9,2)),)</f>
        <v/>
      </c>
      <c r="B309" s="56" t="str">
        <f>Transactions!$C309</f>
        <v/>
      </c>
      <c r="C309" s="51" t="str">
        <f t="array" ref="C309">IFERROR(INDEX(Portfolio!$B:$B, MATCH($B309, Portfolio!$A:$A, 0)),Transactions!$B309)</f>
        <v/>
      </c>
      <c r="D309" s="51" t="str">
        <f>IF($B309&lt;&gt;"",Transactions!$E309*1,)</f>
        <v/>
      </c>
      <c r="E309" s="51" t="str">
        <f>IF($B309&lt;&gt;"",Transactions!$F309*1,)</f>
        <v/>
      </c>
      <c r="F309" s="42" t="str">
        <f>IF(Transactions!$G309&lt;&gt;"",Transactions!$H309&amp;" "&amp;Transactions!$G309,)</f>
        <v/>
      </c>
    </row>
    <row r="310">
      <c r="A310" s="55" t="str">
        <f>IF(Transactions!$B310&lt;&gt;"",DATE(LEFT(Transactions!$B310,4),MID(Transactions!$B310,6,2),MID(Transactions!$B310,9,2)),)</f>
        <v/>
      </c>
      <c r="B310" s="56" t="str">
        <f>Transactions!$C310</f>
        <v/>
      </c>
      <c r="C310" s="51" t="str">
        <f t="array" ref="C310">IFERROR(INDEX(Portfolio!$B:$B, MATCH($B310, Portfolio!$A:$A, 0)),Transactions!$B310)</f>
        <v/>
      </c>
      <c r="D310" s="51" t="str">
        <f>IF($B310&lt;&gt;"",Transactions!$E310*1,)</f>
        <v/>
      </c>
      <c r="E310" s="51" t="str">
        <f>IF($B310&lt;&gt;"",Transactions!$F310*1,)</f>
        <v/>
      </c>
      <c r="F310" s="42" t="str">
        <f>IF(Transactions!$G310&lt;&gt;"",Transactions!$H310&amp;" "&amp;Transactions!$G310,)</f>
        <v/>
      </c>
    </row>
    <row r="311">
      <c r="A311" s="55" t="str">
        <f>IF(Transactions!$B311&lt;&gt;"",DATE(LEFT(Transactions!$B311,4),MID(Transactions!$B311,6,2),MID(Transactions!$B311,9,2)),)</f>
        <v/>
      </c>
      <c r="B311" s="56" t="str">
        <f>Transactions!$C311</f>
        <v/>
      </c>
      <c r="C311" s="51" t="str">
        <f t="array" ref="C311">IFERROR(INDEX(Portfolio!$B:$B, MATCH($B311, Portfolio!$A:$A, 0)),Transactions!$B311)</f>
        <v/>
      </c>
      <c r="D311" s="51" t="str">
        <f>IF($B311&lt;&gt;"",Transactions!$E311*1,)</f>
        <v/>
      </c>
      <c r="E311" s="51" t="str">
        <f>IF($B311&lt;&gt;"",Transactions!$F311*1,)</f>
        <v/>
      </c>
      <c r="F311" s="42" t="str">
        <f>IF(Transactions!$G311&lt;&gt;"",Transactions!$H311&amp;" "&amp;Transactions!$G311,)</f>
        <v/>
      </c>
    </row>
    <row r="312">
      <c r="A312" s="55" t="str">
        <f>IF(Transactions!$B312&lt;&gt;"",DATE(LEFT(Transactions!$B312,4),MID(Transactions!$B312,6,2),MID(Transactions!$B312,9,2)),)</f>
        <v/>
      </c>
      <c r="B312" s="56" t="str">
        <f>Transactions!$C312</f>
        <v/>
      </c>
      <c r="C312" s="51" t="str">
        <f t="array" ref="C312">IFERROR(INDEX(Portfolio!$B:$B, MATCH($B312, Portfolio!$A:$A, 0)),Transactions!$B312)</f>
        <v/>
      </c>
      <c r="D312" s="51" t="str">
        <f>IF($B312&lt;&gt;"",Transactions!$E312*1,)</f>
        <v/>
      </c>
      <c r="E312" s="51" t="str">
        <f>IF($B312&lt;&gt;"",Transactions!$F312*1,)</f>
        <v/>
      </c>
      <c r="F312" s="42" t="str">
        <f>IF(Transactions!$G312&lt;&gt;"",Transactions!$H312&amp;" "&amp;Transactions!$G312,)</f>
        <v/>
      </c>
    </row>
    <row r="313">
      <c r="A313" s="55" t="str">
        <f>IF(Transactions!$B313&lt;&gt;"",DATE(LEFT(Transactions!$B313,4),MID(Transactions!$B313,6,2),MID(Transactions!$B313,9,2)),)</f>
        <v/>
      </c>
      <c r="B313" s="56" t="str">
        <f>Transactions!$C313</f>
        <v/>
      </c>
      <c r="C313" s="51" t="str">
        <f t="array" ref="C313">IFERROR(INDEX(Portfolio!$B:$B, MATCH($B313, Portfolio!$A:$A, 0)),Transactions!$B313)</f>
        <v/>
      </c>
      <c r="D313" s="51" t="str">
        <f>IF($B313&lt;&gt;"",Transactions!$E313*1,)</f>
        <v/>
      </c>
      <c r="E313" s="51" t="str">
        <f>IF($B313&lt;&gt;"",Transactions!$F313*1,)</f>
        <v/>
      </c>
      <c r="F313" s="42" t="str">
        <f>IF(Transactions!$G313&lt;&gt;"",Transactions!$H313&amp;" "&amp;Transactions!$G313,)</f>
        <v/>
      </c>
    </row>
    <row r="314">
      <c r="A314" s="55" t="str">
        <f>IF(Transactions!$B314&lt;&gt;"",DATE(LEFT(Transactions!$B314,4),MID(Transactions!$B314,6,2),MID(Transactions!$B314,9,2)),)</f>
        <v/>
      </c>
      <c r="B314" s="56" t="str">
        <f>Transactions!$C314</f>
        <v/>
      </c>
      <c r="C314" s="51" t="str">
        <f t="array" ref="C314">IFERROR(INDEX(Portfolio!$B:$B, MATCH($B314, Portfolio!$A:$A, 0)),Transactions!$B314)</f>
        <v/>
      </c>
      <c r="D314" s="51" t="str">
        <f>IF($B314&lt;&gt;"",Transactions!$E314*1,)</f>
        <v/>
      </c>
      <c r="E314" s="51" t="str">
        <f>IF($B314&lt;&gt;"",Transactions!$F314*1,)</f>
        <v/>
      </c>
      <c r="F314" s="42" t="str">
        <f>IF(Transactions!$G314&lt;&gt;"",Transactions!$H314&amp;" "&amp;Transactions!$G314,)</f>
        <v/>
      </c>
    </row>
    <row r="315">
      <c r="A315" s="55" t="str">
        <f>IF(Transactions!$B315&lt;&gt;"",DATE(LEFT(Transactions!$B315,4),MID(Transactions!$B315,6,2),MID(Transactions!$B315,9,2)),)</f>
        <v/>
      </c>
      <c r="B315" s="56" t="str">
        <f>Transactions!$C315</f>
        <v/>
      </c>
      <c r="C315" s="51" t="str">
        <f t="array" ref="C315">IFERROR(INDEX(Portfolio!$B:$B, MATCH($B315, Portfolio!$A:$A, 0)),Transactions!$B315)</f>
        <v/>
      </c>
      <c r="D315" s="51" t="str">
        <f>IF($B315&lt;&gt;"",Transactions!$E315*1,)</f>
        <v/>
      </c>
      <c r="E315" s="51" t="str">
        <f>IF($B315&lt;&gt;"",Transactions!$F315*1,)</f>
        <v/>
      </c>
      <c r="F315" s="42" t="str">
        <f>IF(Transactions!$G315&lt;&gt;"",Transactions!$H315&amp;" "&amp;Transactions!$G315,)</f>
        <v/>
      </c>
    </row>
    <row r="316">
      <c r="A316" s="55" t="str">
        <f>IF(Transactions!$B316&lt;&gt;"",DATE(LEFT(Transactions!$B316,4),MID(Transactions!$B316,6,2),MID(Transactions!$B316,9,2)),)</f>
        <v/>
      </c>
      <c r="B316" s="56" t="str">
        <f>Transactions!$C316</f>
        <v/>
      </c>
      <c r="C316" s="51" t="str">
        <f t="array" ref="C316">IFERROR(INDEX(Portfolio!$B:$B, MATCH($B316, Portfolio!$A:$A, 0)),Transactions!$B316)</f>
        <v/>
      </c>
      <c r="D316" s="51" t="str">
        <f>IF($B316&lt;&gt;"",Transactions!$E316*1,)</f>
        <v/>
      </c>
      <c r="E316" s="51" t="str">
        <f>IF($B316&lt;&gt;"",Transactions!$F316*1,)</f>
        <v/>
      </c>
      <c r="F316" s="42" t="str">
        <f>IF(Transactions!$G316&lt;&gt;"",Transactions!$H316&amp;" "&amp;Transactions!$G316,)</f>
        <v/>
      </c>
    </row>
    <row r="317">
      <c r="A317" s="55" t="str">
        <f>IF(Transactions!$B317&lt;&gt;"",DATE(LEFT(Transactions!$B317,4),MID(Transactions!$B317,6,2),MID(Transactions!$B317,9,2)),)</f>
        <v/>
      </c>
      <c r="B317" s="56" t="str">
        <f>Transactions!$C317</f>
        <v/>
      </c>
      <c r="C317" s="51" t="str">
        <f t="array" ref="C317">IFERROR(INDEX(Portfolio!$B:$B, MATCH($B317, Portfolio!$A:$A, 0)),Transactions!$B317)</f>
        <v/>
      </c>
      <c r="D317" s="51" t="str">
        <f>IF($B317&lt;&gt;"",Transactions!$E317*1,)</f>
        <v/>
      </c>
      <c r="E317" s="51" t="str">
        <f>IF($B317&lt;&gt;"",Transactions!$F317*1,)</f>
        <v/>
      </c>
      <c r="F317" s="42" t="str">
        <f>IF(Transactions!$G317&lt;&gt;"",Transactions!$H317&amp;" "&amp;Transactions!$G317,)</f>
        <v/>
      </c>
    </row>
    <row r="318">
      <c r="A318" s="55" t="str">
        <f>IF(Transactions!$B318&lt;&gt;"",DATE(LEFT(Transactions!$B318,4),MID(Transactions!$B318,6,2),MID(Transactions!$B318,9,2)),)</f>
        <v/>
      </c>
      <c r="B318" s="56" t="str">
        <f>Transactions!$C318</f>
        <v/>
      </c>
      <c r="C318" s="51" t="str">
        <f t="array" ref="C318">IFERROR(INDEX(Portfolio!$B:$B, MATCH($B318, Portfolio!$A:$A, 0)),Transactions!$B318)</f>
        <v/>
      </c>
      <c r="D318" s="51" t="str">
        <f>IF($B318&lt;&gt;"",Transactions!$E318*1,)</f>
        <v/>
      </c>
      <c r="E318" s="51" t="str">
        <f>IF($B318&lt;&gt;"",Transactions!$F318*1,)</f>
        <v/>
      </c>
      <c r="F318" s="42" t="str">
        <f>IF(Transactions!$G318&lt;&gt;"",Transactions!$H318&amp;" "&amp;Transactions!$G318,)</f>
        <v/>
      </c>
    </row>
    <row r="319">
      <c r="A319" s="55" t="str">
        <f>IF(Transactions!$B319&lt;&gt;"",DATE(LEFT(Transactions!$B319,4),MID(Transactions!$B319,6,2),MID(Transactions!$B319,9,2)),)</f>
        <v/>
      </c>
      <c r="B319" s="56" t="str">
        <f>Transactions!$C319</f>
        <v/>
      </c>
      <c r="C319" s="51" t="str">
        <f t="array" ref="C319">IFERROR(INDEX(Portfolio!$B:$B, MATCH($B319, Portfolio!$A:$A, 0)),Transactions!$B319)</f>
        <v/>
      </c>
      <c r="D319" s="51" t="str">
        <f>IF($B319&lt;&gt;"",Transactions!$E319*1,)</f>
        <v/>
      </c>
      <c r="E319" s="51" t="str">
        <f>IF($B319&lt;&gt;"",Transactions!$F319*1,)</f>
        <v/>
      </c>
      <c r="F319" s="42" t="str">
        <f>IF(Transactions!$G319&lt;&gt;"",Transactions!$H319&amp;" "&amp;Transactions!$G319,)</f>
        <v/>
      </c>
    </row>
    <row r="320">
      <c r="A320" s="55" t="str">
        <f>IF(Transactions!$B320&lt;&gt;"",DATE(LEFT(Transactions!$B320,4),MID(Transactions!$B320,6,2),MID(Transactions!$B320,9,2)),)</f>
        <v/>
      </c>
      <c r="B320" s="56" t="str">
        <f>Transactions!$C320</f>
        <v/>
      </c>
      <c r="C320" s="51" t="str">
        <f t="array" ref="C320">IFERROR(INDEX(Portfolio!$B:$B, MATCH($B320, Portfolio!$A:$A, 0)),Transactions!$B320)</f>
        <v/>
      </c>
      <c r="D320" s="51" t="str">
        <f>IF($B320&lt;&gt;"",Transactions!$E320*1,)</f>
        <v/>
      </c>
      <c r="E320" s="51" t="str">
        <f>IF($B320&lt;&gt;"",Transactions!$F320*1,)</f>
        <v/>
      </c>
      <c r="F320" s="42" t="str">
        <f>IF(Transactions!$G320&lt;&gt;"",Transactions!$H320&amp;" "&amp;Transactions!$G320,)</f>
        <v/>
      </c>
    </row>
    <row r="321">
      <c r="A321" s="55" t="str">
        <f>IF(Transactions!$B321&lt;&gt;"",DATE(LEFT(Transactions!$B321,4),MID(Transactions!$B321,6,2),MID(Transactions!$B321,9,2)),)</f>
        <v/>
      </c>
      <c r="B321" s="56" t="str">
        <f>Transactions!$C321</f>
        <v/>
      </c>
      <c r="C321" s="51" t="str">
        <f t="array" ref="C321">IFERROR(INDEX(Portfolio!$B:$B, MATCH($B321, Portfolio!$A:$A, 0)),Transactions!$B321)</f>
        <v/>
      </c>
      <c r="D321" s="51" t="str">
        <f>IF($B321&lt;&gt;"",Transactions!$E321*1,)</f>
        <v/>
      </c>
      <c r="E321" s="51" t="str">
        <f>IF($B321&lt;&gt;"",Transactions!$F321*1,)</f>
        <v/>
      </c>
      <c r="F321" s="42" t="str">
        <f>IF(Transactions!$G321&lt;&gt;"",Transactions!$H321&amp;" "&amp;Transactions!$G321,)</f>
        <v/>
      </c>
    </row>
    <row r="322">
      <c r="A322" s="55" t="str">
        <f>IF(Transactions!$B322&lt;&gt;"",DATE(LEFT(Transactions!$B322,4),MID(Transactions!$B322,6,2),MID(Transactions!$B322,9,2)),)</f>
        <v/>
      </c>
      <c r="B322" s="56" t="str">
        <f>Transactions!$C322</f>
        <v/>
      </c>
      <c r="C322" s="51" t="str">
        <f t="array" ref="C322">IFERROR(INDEX(Portfolio!$B:$B, MATCH($B322, Portfolio!$A:$A, 0)),Transactions!$B322)</f>
        <v/>
      </c>
      <c r="D322" s="51" t="str">
        <f>IF($B322&lt;&gt;"",Transactions!$E322*1,)</f>
        <v/>
      </c>
      <c r="E322" s="51" t="str">
        <f>IF($B322&lt;&gt;"",Transactions!$F322*1,)</f>
        <v/>
      </c>
      <c r="F322" s="42" t="str">
        <f>IF(Transactions!$G322&lt;&gt;"",Transactions!$H322&amp;" "&amp;Transactions!$G322,)</f>
        <v/>
      </c>
    </row>
    <row r="323">
      <c r="A323" s="55" t="str">
        <f>IF(Transactions!$B323&lt;&gt;"",DATE(LEFT(Transactions!$B323,4),MID(Transactions!$B323,6,2),MID(Transactions!$B323,9,2)),)</f>
        <v/>
      </c>
      <c r="B323" s="56" t="str">
        <f>Transactions!$C323</f>
        <v/>
      </c>
      <c r="C323" s="51" t="str">
        <f t="array" ref="C323">IFERROR(INDEX(Portfolio!$B:$B, MATCH($B323, Portfolio!$A:$A, 0)),Transactions!$B323)</f>
        <v/>
      </c>
      <c r="D323" s="51" t="str">
        <f>IF($B323&lt;&gt;"",Transactions!$E323*1,)</f>
        <v/>
      </c>
      <c r="E323" s="51" t="str">
        <f>IF($B323&lt;&gt;"",Transactions!$F323*1,)</f>
        <v/>
      </c>
      <c r="F323" s="42" t="str">
        <f>IF(Transactions!$G323&lt;&gt;"",Transactions!$H323&amp;" "&amp;Transactions!$G323,)</f>
        <v/>
      </c>
    </row>
    <row r="324">
      <c r="A324" s="55" t="str">
        <f>IF(Transactions!$B324&lt;&gt;"",DATE(LEFT(Transactions!$B324,4),MID(Transactions!$B324,6,2),MID(Transactions!$B324,9,2)),)</f>
        <v/>
      </c>
      <c r="B324" s="56" t="str">
        <f>Transactions!$C324</f>
        <v/>
      </c>
      <c r="C324" s="51" t="str">
        <f t="array" ref="C324">IFERROR(INDEX(Portfolio!$B:$B, MATCH($B324, Portfolio!$A:$A, 0)),Transactions!$B324)</f>
        <v/>
      </c>
      <c r="D324" s="51" t="str">
        <f>IF($B324&lt;&gt;"",Transactions!$E324*1,)</f>
        <v/>
      </c>
      <c r="E324" s="51" t="str">
        <f>IF($B324&lt;&gt;"",Transactions!$F324*1,)</f>
        <v/>
      </c>
      <c r="F324" s="42" t="str">
        <f>IF(Transactions!$G324&lt;&gt;"",Transactions!$H324&amp;" "&amp;Transactions!$G324,)</f>
        <v/>
      </c>
    </row>
    <row r="325">
      <c r="A325" s="55" t="str">
        <f>IF(Transactions!$B325&lt;&gt;"",DATE(LEFT(Transactions!$B325,4),MID(Transactions!$B325,6,2),MID(Transactions!$B325,9,2)),)</f>
        <v/>
      </c>
      <c r="B325" s="56" t="str">
        <f>Transactions!$C325</f>
        <v/>
      </c>
      <c r="C325" s="51" t="str">
        <f t="array" ref="C325">IFERROR(INDEX(Portfolio!$B:$B, MATCH($B325, Portfolio!$A:$A, 0)),Transactions!$B325)</f>
        <v/>
      </c>
      <c r="D325" s="51" t="str">
        <f>IF($B325&lt;&gt;"",Transactions!$E325*1,)</f>
        <v/>
      </c>
      <c r="E325" s="51" t="str">
        <f>IF($B325&lt;&gt;"",Transactions!$F325*1,)</f>
        <v/>
      </c>
      <c r="F325" s="42" t="str">
        <f>IF(Transactions!$G325&lt;&gt;"",Transactions!$H325&amp;" "&amp;Transactions!$G325,)</f>
        <v/>
      </c>
    </row>
    <row r="326">
      <c r="A326" s="55" t="str">
        <f>IF(Transactions!$B326&lt;&gt;"",DATE(LEFT(Transactions!$B326,4),MID(Transactions!$B326,6,2),MID(Transactions!$B326,9,2)),)</f>
        <v/>
      </c>
      <c r="B326" s="56" t="str">
        <f>Transactions!$C326</f>
        <v/>
      </c>
      <c r="C326" s="51" t="str">
        <f t="array" ref="C326">IFERROR(INDEX(Portfolio!$B:$B, MATCH($B326, Portfolio!$A:$A, 0)),Transactions!$B326)</f>
        <v/>
      </c>
      <c r="D326" s="51" t="str">
        <f>IF($B326&lt;&gt;"",Transactions!$E326*1,)</f>
        <v/>
      </c>
      <c r="E326" s="51" t="str">
        <f>IF($B326&lt;&gt;"",Transactions!$F326*1,)</f>
        <v/>
      </c>
      <c r="F326" s="42" t="str">
        <f>IF(Transactions!$G326&lt;&gt;"",Transactions!$H326&amp;" "&amp;Transactions!$G326,)</f>
        <v/>
      </c>
    </row>
    <row r="327">
      <c r="A327" s="55" t="str">
        <f>IF(Transactions!$B327&lt;&gt;"",DATE(LEFT(Transactions!$B327,4),MID(Transactions!$B327,6,2),MID(Transactions!$B327,9,2)),)</f>
        <v/>
      </c>
      <c r="B327" s="56" t="str">
        <f>Transactions!$C327</f>
        <v/>
      </c>
      <c r="C327" s="51" t="str">
        <f t="array" ref="C327">IFERROR(INDEX(Portfolio!$B:$B, MATCH($B327, Portfolio!$A:$A, 0)),Transactions!$B327)</f>
        <v/>
      </c>
      <c r="D327" s="51" t="str">
        <f>IF($B327&lt;&gt;"",Transactions!$E327*1,)</f>
        <v/>
      </c>
      <c r="E327" s="51" t="str">
        <f>IF($B327&lt;&gt;"",Transactions!$F327*1,)</f>
        <v/>
      </c>
      <c r="F327" s="42" t="str">
        <f>IF(Transactions!$G327&lt;&gt;"",Transactions!$H327&amp;" "&amp;Transactions!$G327,)</f>
        <v/>
      </c>
    </row>
    <row r="328">
      <c r="A328" s="55" t="str">
        <f>IF(Transactions!$B328&lt;&gt;"",DATE(LEFT(Transactions!$B328,4),MID(Transactions!$B328,6,2),MID(Transactions!$B328,9,2)),)</f>
        <v/>
      </c>
      <c r="B328" s="56" t="str">
        <f>Transactions!$C328</f>
        <v/>
      </c>
      <c r="C328" s="51" t="str">
        <f t="array" ref="C328">IFERROR(INDEX(Portfolio!$B:$B, MATCH($B328, Portfolio!$A:$A, 0)),Transactions!$B328)</f>
        <v/>
      </c>
      <c r="D328" s="51" t="str">
        <f>IF($B328&lt;&gt;"",Transactions!$E328*1,)</f>
        <v/>
      </c>
      <c r="E328" s="51" t="str">
        <f>IF($B328&lt;&gt;"",Transactions!$F328*1,)</f>
        <v/>
      </c>
      <c r="F328" s="42" t="str">
        <f>IF(Transactions!$G328&lt;&gt;"",Transactions!$H328&amp;" "&amp;Transactions!$G328,)</f>
        <v/>
      </c>
    </row>
    <row r="329">
      <c r="A329" s="55" t="str">
        <f>IF(Transactions!$B329&lt;&gt;"",DATE(LEFT(Transactions!$B329,4),MID(Transactions!$B329,6,2),MID(Transactions!$B329,9,2)),)</f>
        <v/>
      </c>
      <c r="B329" s="56" t="str">
        <f>Transactions!$C329</f>
        <v/>
      </c>
      <c r="C329" s="51" t="str">
        <f t="array" ref="C329">IFERROR(INDEX(Portfolio!$B:$B, MATCH($B329, Portfolio!$A:$A, 0)),Transactions!$B329)</f>
        <v/>
      </c>
      <c r="D329" s="51" t="str">
        <f>IF($B329&lt;&gt;"",Transactions!$E329*1,)</f>
        <v/>
      </c>
      <c r="E329" s="51" t="str">
        <f>IF($B329&lt;&gt;"",Transactions!$F329*1,)</f>
        <v/>
      </c>
      <c r="F329" s="42" t="str">
        <f>IF(Transactions!$G329&lt;&gt;"",Transactions!$H329&amp;" "&amp;Transactions!$G329,)</f>
        <v/>
      </c>
    </row>
    <row r="330">
      <c r="A330" s="55" t="str">
        <f>IF(Transactions!$B330&lt;&gt;"",DATE(LEFT(Transactions!$B330,4),MID(Transactions!$B330,6,2),MID(Transactions!$B330,9,2)),)</f>
        <v/>
      </c>
      <c r="B330" s="56" t="str">
        <f>Transactions!$C330</f>
        <v/>
      </c>
      <c r="C330" s="51" t="str">
        <f t="array" ref="C330">IFERROR(INDEX(Portfolio!$B:$B, MATCH($B330, Portfolio!$A:$A, 0)),Transactions!$B330)</f>
        <v/>
      </c>
      <c r="D330" s="51" t="str">
        <f>IF($B330&lt;&gt;"",Transactions!$E330*1,)</f>
        <v/>
      </c>
      <c r="E330" s="51" t="str">
        <f>IF($B330&lt;&gt;"",Transactions!$F330*1,)</f>
        <v/>
      </c>
      <c r="F330" s="42" t="str">
        <f>IF(Transactions!$G330&lt;&gt;"",Transactions!$H330&amp;" "&amp;Transactions!$G330,)</f>
        <v/>
      </c>
    </row>
    <row r="331">
      <c r="A331" s="55" t="str">
        <f>IF(Transactions!$B331&lt;&gt;"",DATE(LEFT(Transactions!$B331,4),MID(Transactions!$B331,6,2),MID(Transactions!$B331,9,2)),)</f>
        <v/>
      </c>
      <c r="B331" s="56" t="str">
        <f>Transactions!$C331</f>
        <v/>
      </c>
      <c r="C331" s="51" t="str">
        <f t="array" ref="C331">IFERROR(INDEX(Portfolio!$B:$B, MATCH($B331, Portfolio!$A:$A, 0)),Transactions!$B331)</f>
        <v/>
      </c>
      <c r="D331" s="51" t="str">
        <f>IF($B331&lt;&gt;"",Transactions!$E331*1,)</f>
        <v/>
      </c>
      <c r="E331" s="51" t="str">
        <f>IF($B331&lt;&gt;"",Transactions!$F331*1,)</f>
        <v/>
      </c>
      <c r="F331" s="42" t="str">
        <f>IF(Transactions!$G331&lt;&gt;"",Transactions!$H331&amp;" "&amp;Transactions!$G331,)</f>
        <v/>
      </c>
    </row>
    <row r="332">
      <c r="A332" s="55" t="str">
        <f>IF(Transactions!$B332&lt;&gt;"",DATE(LEFT(Transactions!$B332,4),MID(Transactions!$B332,6,2),MID(Transactions!$B332,9,2)),)</f>
        <v/>
      </c>
      <c r="B332" s="56" t="str">
        <f>Transactions!$C332</f>
        <v/>
      </c>
      <c r="C332" s="51" t="str">
        <f t="array" ref="C332">IFERROR(INDEX(Portfolio!$B:$B, MATCH($B332, Portfolio!$A:$A, 0)),Transactions!$B332)</f>
        <v/>
      </c>
      <c r="D332" s="51" t="str">
        <f>IF($B332&lt;&gt;"",Transactions!$E332*1,)</f>
        <v/>
      </c>
      <c r="E332" s="51" t="str">
        <f>IF($B332&lt;&gt;"",Transactions!$F332*1,)</f>
        <v/>
      </c>
      <c r="F332" s="42" t="str">
        <f>IF(Transactions!$G332&lt;&gt;"",Transactions!$H332&amp;" "&amp;Transactions!$G332,)</f>
        <v/>
      </c>
    </row>
    <row r="333">
      <c r="A333" s="55" t="str">
        <f>IF(Transactions!$B333&lt;&gt;"",DATE(LEFT(Transactions!$B333,4),MID(Transactions!$B333,6,2),MID(Transactions!$B333,9,2)),)</f>
        <v/>
      </c>
      <c r="B333" s="56" t="str">
        <f>Transactions!$C333</f>
        <v/>
      </c>
      <c r="C333" s="51" t="str">
        <f t="array" ref="C333">IFERROR(INDEX(Portfolio!$B:$B, MATCH($B333, Portfolio!$A:$A, 0)),Transactions!$B333)</f>
        <v/>
      </c>
      <c r="D333" s="51" t="str">
        <f>IF($B333&lt;&gt;"",Transactions!$E333*1,)</f>
        <v/>
      </c>
      <c r="E333" s="51" t="str">
        <f>IF($B333&lt;&gt;"",Transactions!$F333*1,)</f>
        <v/>
      </c>
      <c r="F333" s="42" t="str">
        <f>IF(Transactions!$G333&lt;&gt;"",Transactions!$H333&amp;" "&amp;Transactions!$G333,)</f>
        <v/>
      </c>
    </row>
    <row r="334">
      <c r="A334" s="55" t="str">
        <f>IF(Transactions!$B334&lt;&gt;"",DATE(LEFT(Transactions!$B334,4),MID(Transactions!$B334,6,2),MID(Transactions!$B334,9,2)),)</f>
        <v/>
      </c>
      <c r="B334" s="56" t="str">
        <f>Transactions!$C334</f>
        <v/>
      </c>
      <c r="C334" s="51" t="str">
        <f t="array" ref="C334">IFERROR(INDEX(Portfolio!$B:$B, MATCH($B334, Portfolio!$A:$A, 0)),Transactions!$B334)</f>
        <v/>
      </c>
      <c r="D334" s="51" t="str">
        <f>IF($B334&lt;&gt;"",Transactions!$E334*1,)</f>
        <v/>
      </c>
      <c r="E334" s="51" t="str">
        <f>IF($B334&lt;&gt;"",Transactions!$F334*1,)</f>
        <v/>
      </c>
      <c r="F334" s="42" t="str">
        <f>IF(Transactions!$G334&lt;&gt;"",Transactions!$H334&amp;" "&amp;Transactions!$G334,)</f>
        <v/>
      </c>
    </row>
    <row r="335">
      <c r="A335" s="55" t="str">
        <f>IF(Transactions!$B335&lt;&gt;"",DATE(LEFT(Transactions!$B335,4),MID(Transactions!$B335,6,2),MID(Transactions!$B335,9,2)),)</f>
        <v/>
      </c>
      <c r="B335" s="56" t="str">
        <f>Transactions!$C335</f>
        <v/>
      </c>
      <c r="C335" s="51" t="str">
        <f t="array" ref="C335">IFERROR(INDEX(Portfolio!$B:$B, MATCH($B335, Portfolio!$A:$A, 0)),Transactions!$B335)</f>
        <v/>
      </c>
      <c r="D335" s="51" t="str">
        <f>IF($B335&lt;&gt;"",Transactions!$E335*1,)</f>
        <v/>
      </c>
      <c r="E335" s="51" t="str">
        <f>IF($B335&lt;&gt;"",Transactions!$F335*1,)</f>
        <v/>
      </c>
      <c r="F335" s="42" t="str">
        <f>IF(Transactions!$G335&lt;&gt;"",Transactions!$H335&amp;" "&amp;Transactions!$G335,)</f>
        <v/>
      </c>
    </row>
    <row r="336">
      <c r="A336" s="55" t="str">
        <f>IF(Transactions!$B336&lt;&gt;"",DATE(LEFT(Transactions!$B336,4),MID(Transactions!$B336,6,2),MID(Transactions!$B336,9,2)),)</f>
        <v/>
      </c>
      <c r="B336" s="56" t="str">
        <f>Transactions!$C336</f>
        <v/>
      </c>
      <c r="C336" s="51" t="str">
        <f t="array" ref="C336">IFERROR(INDEX(Portfolio!$B:$B, MATCH($B336, Portfolio!$A:$A, 0)),Transactions!$B336)</f>
        <v/>
      </c>
      <c r="D336" s="51" t="str">
        <f>IF($B336&lt;&gt;"",Transactions!$E336*1,)</f>
        <v/>
      </c>
      <c r="E336" s="51" t="str">
        <f>IF($B336&lt;&gt;"",Transactions!$F336*1,)</f>
        <v/>
      </c>
      <c r="F336" s="42" t="str">
        <f>IF(Transactions!$G336&lt;&gt;"",Transactions!$H336&amp;" "&amp;Transactions!$G336,)</f>
        <v/>
      </c>
    </row>
    <row r="337">
      <c r="A337" s="55" t="str">
        <f>IF(Transactions!$B337&lt;&gt;"",DATE(LEFT(Transactions!$B337,4),MID(Transactions!$B337,6,2),MID(Transactions!$B337,9,2)),)</f>
        <v/>
      </c>
      <c r="B337" s="56" t="str">
        <f>Transactions!$C337</f>
        <v/>
      </c>
      <c r="C337" s="51" t="str">
        <f t="array" ref="C337">IFERROR(INDEX(Portfolio!$B:$B, MATCH($B337, Portfolio!$A:$A, 0)),Transactions!$B337)</f>
        <v/>
      </c>
      <c r="D337" s="51" t="str">
        <f>IF($B337&lt;&gt;"",Transactions!$E337*1,)</f>
        <v/>
      </c>
      <c r="E337" s="51" t="str">
        <f>IF($B337&lt;&gt;"",Transactions!$F337*1,)</f>
        <v/>
      </c>
      <c r="F337" s="42" t="str">
        <f>IF(Transactions!$G337&lt;&gt;"",Transactions!$H337&amp;" "&amp;Transactions!$G337,)</f>
        <v/>
      </c>
    </row>
    <row r="338">
      <c r="A338" s="55" t="str">
        <f>IF(Transactions!$B338&lt;&gt;"",DATE(LEFT(Transactions!$B338,4),MID(Transactions!$B338,6,2),MID(Transactions!$B338,9,2)),)</f>
        <v/>
      </c>
      <c r="B338" s="56" t="str">
        <f>Transactions!$C338</f>
        <v/>
      </c>
      <c r="C338" s="51" t="str">
        <f t="array" ref="C338">IFERROR(INDEX(Portfolio!$B:$B, MATCH($B338, Portfolio!$A:$A, 0)),Transactions!$B338)</f>
        <v/>
      </c>
      <c r="D338" s="51" t="str">
        <f>IF($B338&lt;&gt;"",Transactions!$E338*1,)</f>
        <v/>
      </c>
      <c r="E338" s="51" t="str">
        <f>IF($B338&lt;&gt;"",Transactions!$F338*1,)</f>
        <v/>
      </c>
      <c r="F338" s="42" t="str">
        <f>IF(Transactions!$G338&lt;&gt;"",Transactions!$H338&amp;" "&amp;Transactions!$G338,)</f>
        <v/>
      </c>
    </row>
    <row r="339">
      <c r="A339" s="55" t="str">
        <f>IF(Transactions!$B339&lt;&gt;"",DATE(LEFT(Transactions!$B339,4),MID(Transactions!$B339,6,2),MID(Transactions!$B339,9,2)),)</f>
        <v/>
      </c>
      <c r="B339" s="56" t="str">
        <f>Transactions!$C339</f>
        <v/>
      </c>
      <c r="C339" s="51" t="str">
        <f t="array" ref="C339">IFERROR(INDEX(Portfolio!$B:$B, MATCH($B339, Portfolio!$A:$A, 0)),Transactions!$B339)</f>
        <v/>
      </c>
      <c r="D339" s="51" t="str">
        <f>IF($B339&lt;&gt;"",Transactions!$E339*1,)</f>
        <v/>
      </c>
      <c r="E339" s="51" t="str">
        <f>IF($B339&lt;&gt;"",Transactions!$F339*1,)</f>
        <v/>
      </c>
      <c r="F339" s="42" t="str">
        <f>IF(Transactions!$G339&lt;&gt;"",Transactions!$H339&amp;" "&amp;Transactions!$G339,)</f>
        <v/>
      </c>
    </row>
    <row r="340">
      <c r="A340" s="55" t="str">
        <f>IF(Transactions!$B340&lt;&gt;"",DATE(LEFT(Transactions!$B340,4),MID(Transactions!$B340,6,2),MID(Transactions!$B340,9,2)),)</f>
        <v/>
      </c>
      <c r="B340" s="56" t="str">
        <f>Transactions!$C340</f>
        <v/>
      </c>
      <c r="C340" s="51" t="str">
        <f t="array" ref="C340">IFERROR(INDEX(Portfolio!$B:$B, MATCH($B340, Portfolio!$A:$A, 0)),Transactions!$B340)</f>
        <v/>
      </c>
      <c r="D340" s="51" t="str">
        <f>IF($B340&lt;&gt;"",Transactions!$E340*1,)</f>
        <v/>
      </c>
      <c r="E340" s="51" t="str">
        <f>IF($B340&lt;&gt;"",Transactions!$F340*1,)</f>
        <v/>
      </c>
      <c r="F340" s="42" t="str">
        <f>IF(Transactions!$G340&lt;&gt;"",Transactions!$H340&amp;" "&amp;Transactions!$G340,)</f>
        <v/>
      </c>
    </row>
    <row r="341">
      <c r="A341" s="55" t="str">
        <f>IF(Transactions!$B341&lt;&gt;"",DATE(LEFT(Transactions!$B341,4),MID(Transactions!$B341,6,2),MID(Transactions!$B341,9,2)),)</f>
        <v/>
      </c>
      <c r="B341" s="56" t="str">
        <f>Transactions!$C341</f>
        <v/>
      </c>
      <c r="C341" s="51" t="str">
        <f t="array" ref="C341">IFERROR(INDEX(Portfolio!$B:$B, MATCH($B341, Portfolio!$A:$A, 0)),Transactions!$B341)</f>
        <v/>
      </c>
      <c r="D341" s="51" t="str">
        <f>IF($B341&lt;&gt;"",Transactions!$E341*1,)</f>
        <v/>
      </c>
      <c r="E341" s="51" t="str">
        <f>IF($B341&lt;&gt;"",Transactions!$F341*1,)</f>
        <v/>
      </c>
      <c r="F341" s="42" t="str">
        <f>IF(Transactions!$G341&lt;&gt;"",Transactions!$H341&amp;" "&amp;Transactions!$G341,)</f>
        <v/>
      </c>
    </row>
    <row r="342">
      <c r="A342" s="55" t="str">
        <f>IF(Transactions!$B342&lt;&gt;"",DATE(LEFT(Transactions!$B342,4),MID(Transactions!$B342,6,2),MID(Transactions!$B342,9,2)),)</f>
        <v/>
      </c>
      <c r="B342" s="56" t="str">
        <f>Transactions!$C342</f>
        <v/>
      </c>
      <c r="C342" s="51" t="str">
        <f t="array" ref="C342">IFERROR(INDEX(Portfolio!$B:$B, MATCH($B342, Portfolio!$A:$A, 0)),Transactions!$B342)</f>
        <v/>
      </c>
      <c r="D342" s="51" t="str">
        <f>IF($B342&lt;&gt;"",Transactions!$E342*1,)</f>
        <v/>
      </c>
      <c r="E342" s="51" t="str">
        <f>IF($B342&lt;&gt;"",Transactions!$F342*1,)</f>
        <v/>
      </c>
      <c r="F342" s="42" t="str">
        <f>IF(Transactions!$G342&lt;&gt;"",Transactions!$H342&amp;" "&amp;Transactions!$G342,)</f>
        <v/>
      </c>
    </row>
    <row r="343">
      <c r="A343" s="55" t="str">
        <f>IF(Transactions!$B343&lt;&gt;"",DATE(LEFT(Transactions!$B343,4),MID(Transactions!$B343,6,2),MID(Transactions!$B343,9,2)),)</f>
        <v/>
      </c>
      <c r="B343" s="56" t="str">
        <f>Transactions!$C343</f>
        <v/>
      </c>
      <c r="C343" s="51" t="str">
        <f t="array" ref="C343">IFERROR(INDEX(Portfolio!$B:$B, MATCH($B343, Portfolio!$A:$A, 0)),Transactions!$B343)</f>
        <v/>
      </c>
      <c r="D343" s="51" t="str">
        <f>IF($B343&lt;&gt;"",Transactions!$E343*1,)</f>
        <v/>
      </c>
      <c r="E343" s="51" t="str">
        <f>IF($B343&lt;&gt;"",Transactions!$F343*1,)</f>
        <v/>
      </c>
      <c r="F343" s="42" t="str">
        <f>IF(Transactions!$G343&lt;&gt;"",Transactions!$H343&amp;" "&amp;Transactions!$G343,)</f>
        <v/>
      </c>
    </row>
    <row r="344">
      <c r="A344" s="55" t="str">
        <f>IF(Transactions!$B344&lt;&gt;"",DATE(LEFT(Transactions!$B344,4),MID(Transactions!$B344,6,2),MID(Transactions!$B344,9,2)),)</f>
        <v/>
      </c>
      <c r="B344" s="56" t="str">
        <f>Transactions!$C344</f>
        <v/>
      </c>
      <c r="C344" s="51" t="str">
        <f t="array" ref="C344">IFERROR(INDEX(Portfolio!$B:$B, MATCH($B344, Portfolio!$A:$A, 0)),Transactions!$B344)</f>
        <v/>
      </c>
      <c r="D344" s="51" t="str">
        <f>IF($B344&lt;&gt;"",Transactions!$E344*1,)</f>
        <v/>
      </c>
      <c r="E344" s="51" t="str">
        <f>IF($B344&lt;&gt;"",Transactions!$F344*1,)</f>
        <v/>
      </c>
      <c r="F344" s="42" t="str">
        <f>IF(Transactions!$G344&lt;&gt;"",Transactions!$H344&amp;" "&amp;Transactions!$G344,)</f>
        <v/>
      </c>
    </row>
    <row r="345">
      <c r="A345" s="55" t="str">
        <f>IF(Transactions!$B345&lt;&gt;"",DATE(LEFT(Transactions!$B345,4),MID(Transactions!$B345,6,2),MID(Transactions!$B345,9,2)),)</f>
        <v/>
      </c>
      <c r="B345" s="56" t="str">
        <f>Transactions!$C345</f>
        <v/>
      </c>
      <c r="C345" s="51" t="str">
        <f t="array" ref="C345">IFERROR(INDEX(Portfolio!$B:$B, MATCH($B345, Portfolio!$A:$A, 0)),Transactions!$B345)</f>
        <v/>
      </c>
      <c r="D345" s="51" t="str">
        <f>IF($B345&lt;&gt;"",Transactions!$E345*1,)</f>
        <v/>
      </c>
      <c r="E345" s="51" t="str">
        <f>IF($B345&lt;&gt;"",Transactions!$F345*1,)</f>
        <v/>
      </c>
      <c r="F345" s="42" t="str">
        <f>IF(Transactions!$G345&lt;&gt;"",Transactions!$H345&amp;" "&amp;Transactions!$G345,)</f>
        <v/>
      </c>
    </row>
    <row r="346">
      <c r="A346" s="55" t="str">
        <f>IF(Transactions!$B346&lt;&gt;"",DATE(LEFT(Transactions!$B346,4),MID(Transactions!$B346,6,2),MID(Transactions!$B346,9,2)),)</f>
        <v/>
      </c>
      <c r="B346" s="56" t="str">
        <f>Transactions!$C346</f>
        <v/>
      </c>
      <c r="C346" s="51" t="str">
        <f t="array" ref="C346">IFERROR(INDEX(Portfolio!$B:$B, MATCH($B346, Portfolio!$A:$A, 0)),Transactions!$B346)</f>
        <v/>
      </c>
      <c r="D346" s="51" t="str">
        <f>IF($B346&lt;&gt;"",Transactions!$E346*1,)</f>
        <v/>
      </c>
      <c r="E346" s="51" t="str">
        <f>IF($B346&lt;&gt;"",Transactions!$F346*1,)</f>
        <v/>
      </c>
      <c r="F346" s="42" t="str">
        <f>IF(Transactions!$G346&lt;&gt;"",Transactions!$H346&amp;" "&amp;Transactions!$G346,)</f>
        <v/>
      </c>
    </row>
    <row r="347">
      <c r="A347" s="55" t="str">
        <f>IF(Transactions!$B347&lt;&gt;"",DATE(LEFT(Transactions!$B347,4),MID(Transactions!$B347,6,2),MID(Transactions!$B347,9,2)),)</f>
        <v/>
      </c>
      <c r="B347" s="56" t="str">
        <f>Transactions!$C347</f>
        <v/>
      </c>
      <c r="C347" s="51" t="str">
        <f t="array" ref="C347">IFERROR(INDEX(Portfolio!$B:$B, MATCH($B347, Portfolio!$A:$A, 0)),Transactions!$B347)</f>
        <v/>
      </c>
      <c r="D347" s="51" t="str">
        <f>IF($B347&lt;&gt;"",Transactions!$E347*1,)</f>
        <v/>
      </c>
      <c r="E347" s="51" t="str">
        <f>IF($B347&lt;&gt;"",Transactions!$F347*1,)</f>
        <v/>
      </c>
      <c r="F347" s="42" t="str">
        <f>IF(Transactions!$G347&lt;&gt;"",Transactions!$H347&amp;" "&amp;Transactions!$G347,)</f>
        <v/>
      </c>
    </row>
    <row r="348">
      <c r="A348" s="55" t="str">
        <f>IF(Transactions!$B348&lt;&gt;"",DATE(LEFT(Transactions!$B348,4),MID(Transactions!$B348,6,2),MID(Transactions!$B348,9,2)),)</f>
        <v/>
      </c>
      <c r="B348" s="56" t="str">
        <f>Transactions!$C348</f>
        <v/>
      </c>
      <c r="C348" s="51" t="str">
        <f t="array" ref="C348">IFERROR(INDEX(Portfolio!$B:$B, MATCH($B348, Portfolio!$A:$A, 0)),Transactions!$B348)</f>
        <v/>
      </c>
      <c r="D348" s="51" t="str">
        <f>IF($B348&lt;&gt;"",Transactions!$E348*1,)</f>
        <v/>
      </c>
      <c r="E348" s="51" t="str">
        <f>IF($B348&lt;&gt;"",Transactions!$F348*1,)</f>
        <v/>
      </c>
      <c r="F348" s="42" t="str">
        <f>IF(Transactions!$G348&lt;&gt;"",Transactions!$H348&amp;" "&amp;Transactions!$G348,)</f>
        <v/>
      </c>
    </row>
    <row r="349">
      <c r="A349" s="55" t="str">
        <f>IF(Transactions!$B349&lt;&gt;"",DATE(LEFT(Transactions!$B349,4),MID(Transactions!$B349,6,2),MID(Transactions!$B349,9,2)),)</f>
        <v/>
      </c>
      <c r="B349" s="56" t="str">
        <f>Transactions!$C349</f>
        <v/>
      </c>
      <c r="C349" s="51" t="str">
        <f t="array" ref="C349">IFERROR(INDEX(Portfolio!$B:$B, MATCH($B349, Portfolio!$A:$A, 0)),Transactions!$B349)</f>
        <v/>
      </c>
      <c r="D349" s="51" t="str">
        <f>IF($B349&lt;&gt;"",Transactions!$E349*1,)</f>
        <v/>
      </c>
      <c r="E349" s="51" t="str">
        <f>IF($B349&lt;&gt;"",Transactions!$F349*1,)</f>
        <v/>
      </c>
      <c r="F349" s="42" t="str">
        <f>IF(Transactions!$G349&lt;&gt;"",Transactions!$H349&amp;" "&amp;Transactions!$G349,)</f>
        <v/>
      </c>
    </row>
    <row r="350">
      <c r="A350" s="55" t="str">
        <f>IF(Transactions!$B350&lt;&gt;"",DATE(LEFT(Transactions!$B350,4),MID(Transactions!$B350,6,2),MID(Transactions!$B350,9,2)),)</f>
        <v/>
      </c>
      <c r="B350" s="56" t="str">
        <f>Transactions!$C350</f>
        <v/>
      </c>
      <c r="C350" s="51" t="str">
        <f t="array" ref="C350">IFERROR(INDEX(Portfolio!$B:$B, MATCH($B350, Portfolio!$A:$A, 0)),Transactions!$B350)</f>
        <v/>
      </c>
      <c r="D350" s="51" t="str">
        <f>IF($B350&lt;&gt;"",Transactions!$E350*1,)</f>
        <v/>
      </c>
      <c r="E350" s="51" t="str">
        <f>IF($B350&lt;&gt;"",Transactions!$F350*1,)</f>
        <v/>
      </c>
      <c r="F350" s="42" t="str">
        <f>IF(Transactions!$G350&lt;&gt;"",Transactions!$H350&amp;" "&amp;Transactions!$G350,)</f>
        <v/>
      </c>
    </row>
    <row r="351">
      <c r="A351" s="55" t="str">
        <f>IF(Transactions!$B351&lt;&gt;"",DATE(LEFT(Transactions!$B351,4),MID(Transactions!$B351,6,2),MID(Transactions!$B351,9,2)),)</f>
        <v/>
      </c>
      <c r="B351" s="56" t="str">
        <f>Transactions!$C351</f>
        <v/>
      </c>
      <c r="C351" s="51" t="str">
        <f t="array" ref="C351">IFERROR(INDEX(Portfolio!$B:$B, MATCH($B351, Portfolio!$A:$A, 0)),Transactions!$B351)</f>
        <v/>
      </c>
      <c r="D351" s="51" t="str">
        <f>IF($B351&lt;&gt;"",Transactions!$E351*1,)</f>
        <v/>
      </c>
      <c r="E351" s="51" t="str">
        <f>IF($B351&lt;&gt;"",Transactions!$F351*1,)</f>
        <v/>
      </c>
      <c r="F351" s="42" t="str">
        <f>IF(Transactions!$G351&lt;&gt;"",Transactions!$H351&amp;" "&amp;Transactions!$G351,)</f>
        <v/>
      </c>
    </row>
    <row r="352">
      <c r="A352" s="55" t="str">
        <f>IF(Transactions!$B352&lt;&gt;"",DATE(LEFT(Transactions!$B352,4),MID(Transactions!$B352,6,2),MID(Transactions!$B352,9,2)),)</f>
        <v/>
      </c>
      <c r="B352" s="56" t="str">
        <f>Transactions!$C352</f>
        <v/>
      </c>
      <c r="C352" s="51" t="str">
        <f t="array" ref="C352">IFERROR(INDEX(Portfolio!$B:$B, MATCH($B352, Portfolio!$A:$A, 0)),Transactions!$B352)</f>
        <v/>
      </c>
      <c r="D352" s="51" t="str">
        <f>IF($B352&lt;&gt;"",Transactions!$E352*1,)</f>
        <v/>
      </c>
      <c r="E352" s="51" t="str">
        <f>IF($B352&lt;&gt;"",Transactions!$F352*1,)</f>
        <v/>
      </c>
      <c r="F352" s="42" t="str">
        <f>IF(Transactions!$G352&lt;&gt;"",Transactions!$H352&amp;" "&amp;Transactions!$G352,)</f>
        <v/>
      </c>
    </row>
    <row r="353">
      <c r="A353" s="55" t="str">
        <f>IF(Transactions!$B353&lt;&gt;"",DATE(LEFT(Transactions!$B353,4),MID(Transactions!$B353,6,2),MID(Transactions!$B353,9,2)),)</f>
        <v/>
      </c>
      <c r="B353" s="56" t="str">
        <f>Transactions!$C353</f>
        <v/>
      </c>
      <c r="C353" s="51" t="str">
        <f t="array" ref="C353">IFERROR(INDEX(Portfolio!$B:$B, MATCH($B353, Portfolio!$A:$A, 0)),Transactions!$B353)</f>
        <v/>
      </c>
      <c r="D353" s="51" t="str">
        <f>IF($B353&lt;&gt;"",Transactions!$E353*1,)</f>
        <v/>
      </c>
      <c r="E353" s="51" t="str">
        <f>IF($B353&lt;&gt;"",Transactions!$F353*1,)</f>
        <v/>
      </c>
      <c r="F353" s="42" t="str">
        <f>IF(Transactions!$G353&lt;&gt;"",Transactions!$H353&amp;" "&amp;Transactions!$G353,)</f>
        <v/>
      </c>
    </row>
    <row r="354">
      <c r="A354" s="55" t="str">
        <f>IF(Transactions!$B354&lt;&gt;"",DATE(LEFT(Transactions!$B354,4),MID(Transactions!$B354,6,2),MID(Transactions!$B354,9,2)),)</f>
        <v/>
      </c>
      <c r="B354" s="56" t="str">
        <f>Transactions!$C354</f>
        <v/>
      </c>
      <c r="C354" s="51" t="str">
        <f t="array" ref="C354">IFERROR(INDEX(Portfolio!$B:$B, MATCH($B354, Portfolio!$A:$A, 0)),Transactions!$B354)</f>
        <v/>
      </c>
      <c r="D354" s="51" t="str">
        <f>IF($B354&lt;&gt;"",Transactions!$E354*1,)</f>
        <v/>
      </c>
      <c r="E354" s="51" t="str">
        <f>IF($B354&lt;&gt;"",Transactions!$F354*1,)</f>
        <v/>
      </c>
      <c r="F354" s="42" t="str">
        <f>IF(Transactions!$G354&lt;&gt;"",Transactions!$H354&amp;" "&amp;Transactions!$G354,)</f>
        <v/>
      </c>
    </row>
    <row r="355">
      <c r="A355" s="55" t="str">
        <f>IF(Transactions!$B355&lt;&gt;"",DATE(LEFT(Transactions!$B355,4),MID(Transactions!$B355,6,2),MID(Transactions!$B355,9,2)),)</f>
        <v/>
      </c>
      <c r="B355" s="56" t="str">
        <f>Transactions!$C355</f>
        <v/>
      </c>
      <c r="C355" s="51" t="str">
        <f t="array" ref="C355">IFERROR(INDEX(Portfolio!$B:$B, MATCH($B355, Portfolio!$A:$A, 0)),Transactions!$B355)</f>
        <v/>
      </c>
      <c r="D355" s="51" t="str">
        <f>IF($B355&lt;&gt;"",Transactions!$E355*1,)</f>
        <v/>
      </c>
      <c r="E355" s="51" t="str">
        <f>IF($B355&lt;&gt;"",Transactions!$F355*1,)</f>
        <v/>
      </c>
      <c r="F355" s="42" t="str">
        <f>IF(Transactions!$G355&lt;&gt;"",Transactions!$H355&amp;" "&amp;Transactions!$G355,)</f>
        <v/>
      </c>
    </row>
    <row r="356">
      <c r="A356" s="55" t="str">
        <f>IF(Transactions!$B356&lt;&gt;"",DATE(LEFT(Transactions!$B356,4),MID(Transactions!$B356,6,2),MID(Transactions!$B356,9,2)),)</f>
        <v/>
      </c>
      <c r="B356" s="56" t="str">
        <f>Transactions!$C356</f>
        <v/>
      </c>
      <c r="C356" s="51" t="str">
        <f t="array" ref="C356">IFERROR(INDEX(Portfolio!$B:$B, MATCH($B356, Portfolio!$A:$A, 0)),Transactions!$B356)</f>
        <v/>
      </c>
      <c r="D356" s="51" t="str">
        <f>IF($B356&lt;&gt;"",Transactions!$E356*1,)</f>
        <v/>
      </c>
      <c r="E356" s="51" t="str">
        <f>IF($B356&lt;&gt;"",Transactions!$F356*1,)</f>
        <v/>
      </c>
      <c r="F356" s="42" t="str">
        <f>IF(Transactions!$G356&lt;&gt;"",Transactions!$H356&amp;" "&amp;Transactions!$G356,)</f>
        <v/>
      </c>
    </row>
    <row r="357">
      <c r="A357" s="55" t="str">
        <f>IF(Transactions!$B357&lt;&gt;"",DATE(LEFT(Transactions!$B357,4),MID(Transactions!$B357,6,2),MID(Transactions!$B357,9,2)),)</f>
        <v/>
      </c>
      <c r="B357" s="56" t="str">
        <f>Transactions!$C357</f>
        <v/>
      </c>
      <c r="C357" s="51" t="str">
        <f t="array" ref="C357">IFERROR(INDEX(Portfolio!$B:$B, MATCH($B357, Portfolio!$A:$A, 0)),Transactions!$B357)</f>
        <v/>
      </c>
      <c r="D357" s="51" t="str">
        <f>IF($B357&lt;&gt;"",Transactions!$E357*1,)</f>
        <v/>
      </c>
      <c r="E357" s="51" t="str">
        <f>IF($B357&lt;&gt;"",Transactions!$F357*1,)</f>
        <v/>
      </c>
      <c r="F357" s="42" t="str">
        <f>IF(Transactions!$G357&lt;&gt;"",Transactions!$H357&amp;" "&amp;Transactions!$G357,)</f>
        <v/>
      </c>
    </row>
    <row r="358">
      <c r="A358" s="55" t="str">
        <f>IF(Transactions!$B358&lt;&gt;"",DATE(LEFT(Transactions!$B358,4),MID(Transactions!$B358,6,2),MID(Transactions!$B358,9,2)),)</f>
        <v/>
      </c>
      <c r="B358" s="56" t="str">
        <f>Transactions!$C358</f>
        <v/>
      </c>
      <c r="C358" s="51" t="str">
        <f t="array" ref="C358">IFERROR(INDEX(Portfolio!$B:$B, MATCH($B358, Portfolio!$A:$A, 0)),Transactions!$B358)</f>
        <v/>
      </c>
      <c r="D358" s="51" t="str">
        <f>IF($B358&lt;&gt;"",Transactions!$E358*1,)</f>
        <v/>
      </c>
      <c r="E358" s="51" t="str">
        <f>IF($B358&lt;&gt;"",Transactions!$F358*1,)</f>
        <v/>
      </c>
      <c r="F358" s="42" t="str">
        <f>IF(Transactions!$G358&lt;&gt;"",Transactions!$H358&amp;" "&amp;Transactions!$G358,)</f>
        <v/>
      </c>
    </row>
    <row r="359">
      <c r="A359" s="55" t="str">
        <f>IF(Transactions!$B359&lt;&gt;"",DATE(LEFT(Transactions!$B359,4),MID(Transactions!$B359,6,2),MID(Transactions!$B359,9,2)),)</f>
        <v/>
      </c>
      <c r="B359" s="56" t="str">
        <f>Transactions!$C359</f>
        <v/>
      </c>
      <c r="C359" s="51" t="str">
        <f t="array" ref="C359">IFERROR(INDEX(Portfolio!$B:$B, MATCH($B359, Portfolio!$A:$A, 0)),Transactions!$B359)</f>
        <v/>
      </c>
      <c r="D359" s="51" t="str">
        <f>IF($B359&lt;&gt;"",Transactions!$E359*1,)</f>
        <v/>
      </c>
      <c r="E359" s="51" t="str">
        <f>IF($B359&lt;&gt;"",Transactions!$F359*1,)</f>
        <v/>
      </c>
      <c r="F359" s="42" t="str">
        <f>IF(Transactions!$G359&lt;&gt;"",Transactions!$H359&amp;" "&amp;Transactions!$G359,)</f>
        <v/>
      </c>
    </row>
    <row r="360">
      <c r="A360" s="55" t="str">
        <f>IF(Transactions!$B360&lt;&gt;"",DATE(LEFT(Transactions!$B360,4),MID(Transactions!$B360,6,2),MID(Transactions!$B360,9,2)),)</f>
        <v/>
      </c>
      <c r="B360" s="56" t="str">
        <f>Transactions!$C360</f>
        <v/>
      </c>
      <c r="C360" s="51" t="str">
        <f t="array" ref="C360">IFERROR(INDEX(Portfolio!$B:$B, MATCH($B360, Portfolio!$A:$A, 0)),Transactions!$B360)</f>
        <v/>
      </c>
      <c r="D360" s="51" t="str">
        <f>IF($B360&lt;&gt;"",Transactions!$E360*1,)</f>
        <v/>
      </c>
      <c r="E360" s="51" t="str">
        <f>IF($B360&lt;&gt;"",Transactions!$F360*1,)</f>
        <v/>
      </c>
      <c r="F360" s="42" t="str">
        <f>IF(Transactions!$G360&lt;&gt;"",Transactions!$H360&amp;" "&amp;Transactions!$G360,)</f>
        <v/>
      </c>
    </row>
    <row r="361">
      <c r="A361" s="55" t="str">
        <f>IF(Transactions!$B361&lt;&gt;"",DATE(LEFT(Transactions!$B361,4),MID(Transactions!$B361,6,2),MID(Transactions!$B361,9,2)),)</f>
        <v/>
      </c>
      <c r="B361" s="56" t="str">
        <f>Transactions!$C361</f>
        <v/>
      </c>
      <c r="C361" s="51" t="str">
        <f t="array" ref="C361">IFERROR(INDEX(Portfolio!$B:$B, MATCH($B361, Portfolio!$A:$A, 0)),Transactions!$B361)</f>
        <v/>
      </c>
      <c r="D361" s="51" t="str">
        <f>IF($B361&lt;&gt;"",Transactions!$E361*1,)</f>
        <v/>
      </c>
      <c r="E361" s="51" t="str">
        <f>IF($B361&lt;&gt;"",Transactions!$F361*1,)</f>
        <v/>
      </c>
      <c r="F361" s="42" t="str">
        <f>IF(Transactions!$G361&lt;&gt;"",Transactions!$H361&amp;" "&amp;Transactions!$G361,)</f>
        <v/>
      </c>
    </row>
    <row r="362">
      <c r="A362" s="55" t="str">
        <f>IF(Transactions!$B362&lt;&gt;"",DATE(LEFT(Transactions!$B362,4),MID(Transactions!$B362,6,2),MID(Transactions!$B362,9,2)),)</f>
        <v/>
      </c>
      <c r="B362" s="56" t="str">
        <f>Transactions!$C362</f>
        <v/>
      </c>
      <c r="C362" s="51" t="str">
        <f t="array" ref="C362">IFERROR(INDEX(Portfolio!$B:$B, MATCH($B362, Portfolio!$A:$A, 0)),Transactions!$B362)</f>
        <v/>
      </c>
      <c r="D362" s="51" t="str">
        <f>IF($B362&lt;&gt;"",Transactions!$E362*1,)</f>
        <v/>
      </c>
      <c r="E362" s="51" t="str">
        <f>IF($B362&lt;&gt;"",Transactions!$F362*1,)</f>
        <v/>
      </c>
      <c r="F362" s="42" t="str">
        <f>IF(Transactions!$G362&lt;&gt;"",Transactions!$H362&amp;" "&amp;Transactions!$G362,)</f>
        <v/>
      </c>
    </row>
    <row r="363">
      <c r="A363" s="55" t="str">
        <f>IF(Transactions!$B363&lt;&gt;"",DATE(LEFT(Transactions!$B363,4),MID(Transactions!$B363,6,2),MID(Transactions!$B363,9,2)),)</f>
        <v/>
      </c>
      <c r="B363" s="56" t="str">
        <f>Transactions!$C363</f>
        <v/>
      </c>
      <c r="C363" s="51" t="str">
        <f t="array" ref="C363">IFERROR(INDEX(Portfolio!$B:$B, MATCH($B363, Portfolio!$A:$A, 0)),Transactions!$B363)</f>
        <v/>
      </c>
      <c r="D363" s="51" t="str">
        <f>IF($B363&lt;&gt;"",Transactions!$E363*1,)</f>
        <v/>
      </c>
      <c r="E363" s="51" t="str">
        <f>IF($B363&lt;&gt;"",Transactions!$F363*1,)</f>
        <v/>
      </c>
      <c r="F363" s="42" t="str">
        <f>IF(Transactions!$G363&lt;&gt;"",Transactions!$H363&amp;" "&amp;Transactions!$G363,)</f>
        <v/>
      </c>
    </row>
    <row r="364">
      <c r="A364" s="55" t="str">
        <f>IF(Transactions!$B364&lt;&gt;"",DATE(LEFT(Transactions!$B364,4),MID(Transactions!$B364,6,2),MID(Transactions!$B364,9,2)),)</f>
        <v/>
      </c>
      <c r="B364" s="56" t="str">
        <f>Transactions!$C364</f>
        <v/>
      </c>
      <c r="C364" s="51" t="str">
        <f t="array" ref="C364">IFERROR(INDEX(Portfolio!$B:$B, MATCH($B364, Portfolio!$A:$A, 0)),Transactions!$B364)</f>
        <v/>
      </c>
      <c r="D364" s="51" t="str">
        <f>IF($B364&lt;&gt;"",Transactions!$E364*1,)</f>
        <v/>
      </c>
      <c r="E364" s="51" t="str">
        <f>IF($B364&lt;&gt;"",Transactions!$F364*1,)</f>
        <v/>
      </c>
      <c r="F364" s="42" t="str">
        <f>IF(Transactions!$G364&lt;&gt;"",Transactions!$H364&amp;" "&amp;Transactions!$G364,)</f>
        <v/>
      </c>
    </row>
    <row r="365">
      <c r="A365" s="55" t="str">
        <f>IF(Transactions!$B365&lt;&gt;"",DATE(LEFT(Transactions!$B365,4),MID(Transactions!$B365,6,2),MID(Transactions!$B365,9,2)),)</f>
        <v/>
      </c>
      <c r="B365" s="56" t="str">
        <f>Transactions!$C365</f>
        <v/>
      </c>
      <c r="C365" s="51" t="str">
        <f t="array" ref="C365">IFERROR(INDEX(Portfolio!$B:$B, MATCH($B365, Portfolio!$A:$A, 0)),Transactions!$B365)</f>
        <v/>
      </c>
      <c r="D365" s="51" t="str">
        <f>IF($B365&lt;&gt;"",Transactions!$E365*1,)</f>
        <v/>
      </c>
      <c r="E365" s="51" t="str">
        <f>IF($B365&lt;&gt;"",Transactions!$F365*1,)</f>
        <v/>
      </c>
      <c r="F365" s="42" t="str">
        <f>IF(Transactions!$G365&lt;&gt;"",Transactions!$H365&amp;" "&amp;Transactions!$G365,)</f>
        <v/>
      </c>
    </row>
    <row r="366">
      <c r="A366" s="55" t="str">
        <f>IF(Transactions!$B366&lt;&gt;"",DATE(LEFT(Transactions!$B366,4),MID(Transactions!$B366,6,2),MID(Transactions!$B366,9,2)),)</f>
        <v/>
      </c>
      <c r="B366" s="56" t="str">
        <f>Transactions!$C366</f>
        <v/>
      </c>
      <c r="C366" s="51" t="str">
        <f t="array" ref="C366">IFERROR(INDEX(Portfolio!$B:$B, MATCH($B366, Portfolio!$A:$A, 0)),Transactions!$B366)</f>
        <v/>
      </c>
      <c r="D366" s="51" t="str">
        <f>IF($B366&lt;&gt;"",Transactions!$E366*1,)</f>
        <v/>
      </c>
      <c r="E366" s="51" t="str">
        <f>IF($B366&lt;&gt;"",Transactions!$F366*1,)</f>
        <v/>
      </c>
      <c r="F366" s="42" t="str">
        <f>IF(Transactions!$G366&lt;&gt;"",Transactions!$H366&amp;" "&amp;Transactions!$G366,)</f>
        <v/>
      </c>
    </row>
    <row r="367">
      <c r="A367" s="55" t="str">
        <f>IF(Transactions!$B367&lt;&gt;"",DATE(LEFT(Transactions!$B367,4),MID(Transactions!$B367,6,2),MID(Transactions!$B367,9,2)),)</f>
        <v/>
      </c>
      <c r="B367" s="56" t="str">
        <f>Transactions!$C367</f>
        <v/>
      </c>
      <c r="C367" s="51" t="str">
        <f t="array" ref="C367">IFERROR(INDEX(Portfolio!$B:$B, MATCH($B367, Portfolio!$A:$A, 0)),Transactions!$B367)</f>
        <v/>
      </c>
      <c r="D367" s="51" t="str">
        <f>IF($B367&lt;&gt;"",Transactions!$E367*1,)</f>
        <v/>
      </c>
      <c r="E367" s="51" t="str">
        <f>IF($B367&lt;&gt;"",Transactions!$F367*1,)</f>
        <v/>
      </c>
      <c r="F367" s="42" t="str">
        <f>IF(Transactions!$G367&lt;&gt;"",Transactions!$H367&amp;" "&amp;Transactions!$G367,)</f>
        <v/>
      </c>
    </row>
    <row r="368">
      <c r="A368" s="55" t="str">
        <f>IF(Transactions!$B368&lt;&gt;"",DATE(LEFT(Transactions!$B368,4),MID(Transactions!$B368,6,2),MID(Transactions!$B368,9,2)),)</f>
        <v/>
      </c>
      <c r="B368" s="56" t="str">
        <f>Transactions!$C368</f>
        <v/>
      </c>
      <c r="C368" s="51" t="str">
        <f t="array" ref="C368">IFERROR(INDEX(Portfolio!$B:$B, MATCH($B368, Portfolio!$A:$A, 0)),Transactions!$B368)</f>
        <v/>
      </c>
      <c r="D368" s="51" t="str">
        <f>IF($B368&lt;&gt;"",Transactions!$E368*1,)</f>
        <v/>
      </c>
      <c r="E368" s="51" t="str">
        <f>IF($B368&lt;&gt;"",Transactions!$F368*1,)</f>
        <v/>
      </c>
      <c r="F368" s="42" t="str">
        <f>IF(Transactions!$G368&lt;&gt;"",Transactions!$H368&amp;" "&amp;Transactions!$G368,)</f>
        <v/>
      </c>
    </row>
    <row r="369">
      <c r="A369" s="55" t="str">
        <f>IF(Transactions!$B369&lt;&gt;"",DATE(LEFT(Transactions!$B369,4),MID(Transactions!$B369,6,2),MID(Transactions!$B369,9,2)),)</f>
        <v/>
      </c>
      <c r="B369" s="56" t="str">
        <f>Transactions!$C369</f>
        <v/>
      </c>
      <c r="C369" s="51" t="str">
        <f t="array" ref="C369">IFERROR(INDEX(Portfolio!$B:$B, MATCH($B369, Portfolio!$A:$A, 0)),Transactions!$B369)</f>
        <v/>
      </c>
      <c r="D369" s="51" t="str">
        <f>IF($B369&lt;&gt;"",Transactions!$E369*1,)</f>
        <v/>
      </c>
      <c r="E369" s="51" t="str">
        <f>IF($B369&lt;&gt;"",Transactions!$F369*1,)</f>
        <v/>
      </c>
      <c r="F369" s="42" t="str">
        <f>IF(Transactions!$G369&lt;&gt;"",Transactions!$H369&amp;" "&amp;Transactions!$G369,)</f>
        <v/>
      </c>
    </row>
    <row r="370">
      <c r="A370" s="55" t="str">
        <f>IF(Transactions!$B370&lt;&gt;"",DATE(LEFT(Transactions!$B370,4),MID(Transactions!$B370,6,2),MID(Transactions!$B370,9,2)),)</f>
        <v/>
      </c>
      <c r="B370" s="56" t="str">
        <f>Transactions!$C370</f>
        <v/>
      </c>
      <c r="C370" s="51" t="str">
        <f t="array" ref="C370">IFERROR(INDEX(Portfolio!$B:$B, MATCH($B370, Portfolio!$A:$A, 0)),Transactions!$B370)</f>
        <v/>
      </c>
      <c r="D370" s="51" t="str">
        <f>IF($B370&lt;&gt;"",Transactions!$E370*1,)</f>
        <v/>
      </c>
      <c r="E370" s="51" t="str">
        <f>IF($B370&lt;&gt;"",Transactions!$F370*1,)</f>
        <v/>
      </c>
      <c r="F370" s="42" t="str">
        <f>IF(Transactions!$G370&lt;&gt;"",Transactions!$H370&amp;" "&amp;Transactions!$G370,)</f>
        <v/>
      </c>
    </row>
    <row r="371">
      <c r="A371" s="55" t="str">
        <f>IF(Transactions!$B371&lt;&gt;"",DATE(LEFT(Transactions!$B371,4),MID(Transactions!$B371,6,2),MID(Transactions!$B371,9,2)),)</f>
        <v/>
      </c>
      <c r="B371" s="56" t="str">
        <f>Transactions!$C371</f>
        <v/>
      </c>
      <c r="C371" s="51" t="str">
        <f t="array" ref="C371">IFERROR(INDEX(Portfolio!$B:$B, MATCH($B371, Portfolio!$A:$A, 0)),Transactions!$B371)</f>
        <v/>
      </c>
      <c r="D371" s="51" t="str">
        <f>IF($B371&lt;&gt;"",Transactions!$E371*1,)</f>
        <v/>
      </c>
      <c r="E371" s="51" t="str">
        <f>IF($B371&lt;&gt;"",Transactions!$F371*1,)</f>
        <v/>
      </c>
      <c r="F371" s="42" t="str">
        <f>IF(Transactions!$G371&lt;&gt;"",Transactions!$H371&amp;" "&amp;Transactions!$G371,)</f>
        <v/>
      </c>
    </row>
    <row r="372">
      <c r="A372" s="55" t="str">
        <f>IF(Transactions!$B372&lt;&gt;"",DATE(LEFT(Transactions!$B372,4),MID(Transactions!$B372,6,2),MID(Transactions!$B372,9,2)),)</f>
        <v/>
      </c>
      <c r="B372" s="56" t="str">
        <f>Transactions!$C372</f>
        <v/>
      </c>
      <c r="C372" s="51" t="str">
        <f t="array" ref="C372">IFERROR(INDEX(Portfolio!$B:$B, MATCH($B372, Portfolio!$A:$A, 0)),Transactions!$B372)</f>
        <v/>
      </c>
      <c r="D372" s="51" t="str">
        <f>IF($B372&lt;&gt;"",Transactions!$E372*1,)</f>
        <v/>
      </c>
      <c r="E372" s="51" t="str">
        <f>IF($B372&lt;&gt;"",Transactions!$F372*1,)</f>
        <v/>
      </c>
      <c r="F372" s="42" t="str">
        <f>IF(Transactions!$G372&lt;&gt;"",Transactions!$H372&amp;" "&amp;Transactions!$G372,)</f>
        <v/>
      </c>
    </row>
    <row r="373">
      <c r="A373" s="55" t="str">
        <f>IF(Transactions!$B373&lt;&gt;"",DATE(LEFT(Transactions!$B373,4),MID(Transactions!$B373,6,2),MID(Transactions!$B373,9,2)),)</f>
        <v/>
      </c>
      <c r="B373" s="56" t="str">
        <f>Transactions!$C373</f>
        <v/>
      </c>
      <c r="C373" s="51" t="str">
        <f t="array" ref="C373">IFERROR(INDEX(Portfolio!$B:$B, MATCH($B373, Portfolio!$A:$A, 0)),Transactions!$B373)</f>
        <v/>
      </c>
      <c r="D373" s="51" t="str">
        <f>IF($B373&lt;&gt;"",Transactions!$E373*1,)</f>
        <v/>
      </c>
      <c r="E373" s="51" t="str">
        <f>IF($B373&lt;&gt;"",Transactions!$F373*1,)</f>
        <v/>
      </c>
      <c r="F373" s="42" t="str">
        <f>IF(Transactions!$G373&lt;&gt;"",Transactions!$H373&amp;" "&amp;Transactions!$G373,)</f>
        <v/>
      </c>
    </row>
    <row r="374">
      <c r="A374" s="55" t="str">
        <f>IF(Transactions!$B374&lt;&gt;"",DATE(LEFT(Transactions!$B374,4),MID(Transactions!$B374,6,2),MID(Transactions!$B374,9,2)),)</f>
        <v/>
      </c>
      <c r="B374" s="56" t="str">
        <f>Transactions!$C374</f>
        <v/>
      </c>
      <c r="C374" s="51" t="str">
        <f t="array" ref="C374">IFERROR(INDEX(Portfolio!$B:$B, MATCH($B374, Portfolio!$A:$A, 0)),Transactions!$B374)</f>
        <v/>
      </c>
      <c r="D374" s="51" t="str">
        <f>IF($B374&lt;&gt;"",Transactions!$E374*1,)</f>
        <v/>
      </c>
      <c r="E374" s="51" t="str">
        <f>IF($B374&lt;&gt;"",Transactions!$F374*1,)</f>
        <v/>
      </c>
      <c r="F374" s="42" t="str">
        <f>IF(Transactions!$G374&lt;&gt;"",Transactions!$H374&amp;" "&amp;Transactions!$G374,)</f>
        <v/>
      </c>
    </row>
    <row r="375">
      <c r="A375" s="55" t="str">
        <f>IF(Transactions!$B375&lt;&gt;"",DATE(LEFT(Transactions!$B375,4),MID(Transactions!$B375,6,2),MID(Transactions!$B375,9,2)),)</f>
        <v/>
      </c>
      <c r="B375" s="56" t="str">
        <f>Transactions!$C375</f>
        <v/>
      </c>
      <c r="C375" s="51" t="str">
        <f t="array" ref="C375">IFERROR(INDEX(Portfolio!$B:$B, MATCH($B375, Portfolio!$A:$A, 0)),Transactions!$B375)</f>
        <v/>
      </c>
      <c r="D375" s="51" t="str">
        <f>IF($B375&lt;&gt;"",Transactions!$E375*1,)</f>
        <v/>
      </c>
      <c r="E375" s="51" t="str">
        <f>IF($B375&lt;&gt;"",Transactions!$F375*1,)</f>
        <v/>
      </c>
      <c r="F375" s="42" t="str">
        <f>IF(Transactions!$G375&lt;&gt;"",Transactions!$H375&amp;" "&amp;Transactions!$G375,)</f>
        <v/>
      </c>
    </row>
    <row r="376">
      <c r="A376" s="55" t="str">
        <f>IF(Transactions!$B376&lt;&gt;"",DATE(LEFT(Transactions!$B376,4),MID(Transactions!$B376,6,2),MID(Transactions!$B376,9,2)),)</f>
        <v/>
      </c>
      <c r="B376" s="56" t="str">
        <f>Transactions!$C376</f>
        <v/>
      </c>
      <c r="C376" s="51" t="str">
        <f t="array" ref="C376">IFERROR(INDEX(Portfolio!$B:$B, MATCH($B376, Portfolio!$A:$A, 0)),Transactions!$B376)</f>
        <v/>
      </c>
      <c r="D376" s="51" t="str">
        <f>IF($B376&lt;&gt;"",Transactions!$E376*1,)</f>
        <v/>
      </c>
      <c r="E376" s="51" t="str">
        <f>IF($B376&lt;&gt;"",Transactions!$F376*1,)</f>
        <v/>
      </c>
      <c r="F376" s="42" t="str">
        <f>IF(Transactions!$G376&lt;&gt;"",Transactions!$H376&amp;" "&amp;Transactions!$G376,)</f>
        <v/>
      </c>
    </row>
    <row r="377">
      <c r="A377" s="55" t="str">
        <f>IF(Transactions!$B377&lt;&gt;"",DATE(LEFT(Transactions!$B377,4),MID(Transactions!$B377,6,2),MID(Transactions!$B377,9,2)),)</f>
        <v/>
      </c>
      <c r="B377" s="56" t="str">
        <f>Transactions!$C377</f>
        <v/>
      </c>
      <c r="C377" s="51" t="str">
        <f t="array" ref="C377">IFERROR(INDEX(Portfolio!$B:$B, MATCH($B377, Portfolio!$A:$A, 0)),Transactions!$B377)</f>
        <v/>
      </c>
      <c r="D377" s="51" t="str">
        <f>IF($B377&lt;&gt;"",Transactions!$E377*1,)</f>
        <v/>
      </c>
      <c r="E377" s="51" t="str">
        <f>IF($B377&lt;&gt;"",Transactions!$F377*1,)</f>
        <v/>
      </c>
      <c r="F377" s="42" t="str">
        <f>IF(Transactions!$G377&lt;&gt;"",Transactions!$H377&amp;" "&amp;Transactions!$G377,)</f>
        <v/>
      </c>
    </row>
    <row r="378">
      <c r="A378" s="55" t="str">
        <f>IF(Transactions!$B378&lt;&gt;"",DATE(LEFT(Transactions!$B378,4),MID(Transactions!$B378,6,2),MID(Transactions!$B378,9,2)),)</f>
        <v/>
      </c>
      <c r="B378" s="56" t="str">
        <f>Transactions!$C378</f>
        <v/>
      </c>
      <c r="C378" s="51" t="str">
        <f t="array" ref="C378">IFERROR(INDEX(Portfolio!$B:$B, MATCH($B378, Portfolio!$A:$A, 0)),Transactions!$B378)</f>
        <v/>
      </c>
      <c r="D378" s="51" t="str">
        <f>IF($B378&lt;&gt;"",Transactions!$E378*1,)</f>
        <v/>
      </c>
      <c r="E378" s="51" t="str">
        <f>IF($B378&lt;&gt;"",Transactions!$F378*1,)</f>
        <v/>
      </c>
      <c r="F378" s="42" t="str">
        <f>IF(Transactions!$G378&lt;&gt;"",Transactions!$H378&amp;" "&amp;Transactions!$G378,)</f>
        <v/>
      </c>
    </row>
    <row r="379">
      <c r="A379" s="55" t="str">
        <f>IF(Transactions!$B379&lt;&gt;"",DATE(LEFT(Transactions!$B379,4),MID(Transactions!$B379,6,2),MID(Transactions!$B379,9,2)),)</f>
        <v/>
      </c>
      <c r="B379" s="56" t="str">
        <f>Transactions!$C379</f>
        <v/>
      </c>
      <c r="C379" s="51" t="str">
        <f t="array" ref="C379">IFERROR(INDEX(Portfolio!$B:$B, MATCH($B379, Portfolio!$A:$A, 0)),Transactions!$B379)</f>
        <v/>
      </c>
      <c r="D379" s="51" t="str">
        <f>IF($B379&lt;&gt;"",Transactions!$E379*1,)</f>
        <v/>
      </c>
      <c r="E379" s="51" t="str">
        <f>IF($B379&lt;&gt;"",Transactions!$F379*1,)</f>
        <v/>
      </c>
      <c r="F379" s="42" t="str">
        <f>IF(Transactions!$G379&lt;&gt;"",Transactions!$H379&amp;" "&amp;Transactions!$G379,)</f>
        <v/>
      </c>
    </row>
    <row r="380">
      <c r="A380" s="55" t="str">
        <f>IF(Transactions!$B380&lt;&gt;"",DATE(LEFT(Transactions!$B380,4),MID(Transactions!$B380,6,2),MID(Transactions!$B380,9,2)),)</f>
        <v/>
      </c>
      <c r="B380" s="56" t="str">
        <f>Transactions!$C380</f>
        <v/>
      </c>
      <c r="C380" s="51" t="str">
        <f t="array" ref="C380">IFERROR(INDEX(Portfolio!$B:$B, MATCH($B380, Portfolio!$A:$A, 0)),Transactions!$B380)</f>
        <v/>
      </c>
      <c r="D380" s="51" t="str">
        <f>IF($B380&lt;&gt;"",Transactions!$E380*1,)</f>
        <v/>
      </c>
      <c r="E380" s="51" t="str">
        <f>IF($B380&lt;&gt;"",Transactions!$F380*1,)</f>
        <v/>
      </c>
      <c r="F380" s="42" t="str">
        <f>IF(Transactions!$G380&lt;&gt;"",Transactions!$H380&amp;" "&amp;Transactions!$G380,)</f>
        <v/>
      </c>
    </row>
    <row r="381">
      <c r="A381" s="55" t="str">
        <f>IF(Transactions!$B381&lt;&gt;"",DATE(LEFT(Transactions!$B381,4),MID(Transactions!$B381,6,2),MID(Transactions!$B381,9,2)),)</f>
        <v/>
      </c>
      <c r="B381" s="56" t="str">
        <f>Transactions!$C381</f>
        <v/>
      </c>
      <c r="C381" s="51" t="str">
        <f t="array" ref="C381">IFERROR(INDEX(Portfolio!$B:$B, MATCH($B381, Portfolio!$A:$A, 0)),Transactions!$B381)</f>
        <v/>
      </c>
      <c r="D381" s="51" t="str">
        <f>IF($B381&lt;&gt;"",Transactions!$E381*1,)</f>
        <v/>
      </c>
      <c r="E381" s="51" t="str">
        <f>IF($B381&lt;&gt;"",Transactions!$F381*1,)</f>
        <v/>
      </c>
      <c r="F381" s="42" t="str">
        <f>IF(Transactions!$G381&lt;&gt;"",Transactions!$H381&amp;" "&amp;Transactions!$G381,)</f>
        <v/>
      </c>
    </row>
    <row r="382">
      <c r="A382" s="55" t="str">
        <f>IF(Transactions!$B382&lt;&gt;"",DATE(LEFT(Transactions!$B382,4),MID(Transactions!$B382,6,2),MID(Transactions!$B382,9,2)),)</f>
        <v/>
      </c>
      <c r="B382" s="56" t="str">
        <f>Transactions!$C382</f>
        <v/>
      </c>
      <c r="C382" s="51" t="str">
        <f t="array" ref="C382">IFERROR(INDEX(Portfolio!$B:$B, MATCH($B382, Portfolio!$A:$A, 0)),Transactions!$B382)</f>
        <v/>
      </c>
      <c r="D382" s="51" t="str">
        <f>IF($B382&lt;&gt;"",Transactions!$E382*1,)</f>
        <v/>
      </c>
      <c r="E382" s="51" t="str">
        <f>IF($B382&lt;&gt;"",Transactions!$F382*1,)</f>
        <v/>
      </c>
      <c r="F382" s="42" t="str">
        <f>IF(Transactions!$G382&lt;&gt;"",Transactions!$H382&amp;" "&amp;Transactions!$G382,)</f>
        <v/>
      </c>
    </row>
    <row r="383">
      <c r="A383" s="55" t="str">
        <f>IF(Transactions!$B383&lt;&gt;"",DATE(LEFT(Transactions!$B383,4),MID(Transactions!$B383,6,2),MID(Transactions!$B383,9,2)),)</f>
        <v/>
      </c>
      <c r="B383" s="56" t="str">
        <f>Transactions!$C383</f>
        <v/>
      </c>
      <c r="C383" s="51" t="str">
        <f t="array" ref="C383">IFERROR(INDEX(Portfolio!$B:$B, MATCH($B383, Portfolio!$A:$A, 0)),Transactions!$B383)</f>
        <v/>
      </c>
      <c r="D383" s="51" t="str">
        <f>IF($B383&lt;&gt;"",Transactions!$E383*1,)</f>
        <v/>
      </c>
      <c r="E383" s="51" t="str">
        <f>IF($B383&lt;&gt;"",Transactions!$F383*1,)</f>
        <v/>
      </c>
      <c r="F383" s="42" t="str">
        <f>IF(Transactions!$G383&lt;&gt;"",Transactions!$H383&amp;" "&amp;Transactions!$G383,)</f>
        <v/>
      </c>
    </row>
    <row r="384">
      <c r="A384" s="55" t="str">
        <f>IF(Transactions!$B384&lt;&gt;"",DATE(LEFT(Transactions!$B384,4),MID(Transactions!$B384,6,2),MID(Transactions!$B384,9,2)),)</f>
        <v/>
      </c>
      <c r="B384" s="56" t="str">
        <f>Transactions!$C384</f>
        <v/>
      </c>
      <c r="C384" s="51" t="str">
        <f t="array" ref="C384">IFERROR(INDEX(Portfolio!$B:$B, MATCH($B384, Portfolio!$A:$A, 0)),Transactions!$B384)</f>
        <v/>
      </c>
      <c r="D384" s="51" t="str">
        <f>IF($B384&lt;&gt;"",Transactions!$E384*1,)</f>
        <v/>
      </c>
      <c r="E384" s="51" t="str">
        <f>IF($B384&lt;&gt;"",Transactions!$F384*1,)</f>
        <v/>
      </c>
      <c r="F384" s="42" t="str">
        <f>IF(Transactions!$G384&lt;&gt;"",Transactions!$H384&amp;" "&amp;Transactions!$G384,)</f>
        <v/>
      </c>
    </row>
    <row r="385">
      <c r="A385" s="55" t="str">
        <f>IF(Transactions!$B385&lt;&gt;"",DATE(LEFT(Transactions!$B385,4),MID(Transactions!$B385,6,2),MID(Transactions!$B385,9,2)),)</f>
        <v/>
      </c>
      <c r="B385" s="56" t="str">
        <f>Transactions!$C385</f>
        <v/>
      </c>
      <c r="C385" s="51" t="str">
        <f t="array" ref="C385">IFERROR(INDEX(Portfolio!$B:$B, MATCH($B385, Portfolio!$A:$A, 0)),Transactions!$B385)</f>
        <v/>
      </c>
      <c r="D385" s="51" t="str">
        <f>IF($B385&lt;&gt;"",Transactions!$E385*1,)</f>
        <v/>
      </c>
      <c r="E385" s="51" t="str">
        <f>IF($B385&lt;&gt;"",Transactions!$F385*1,)</f>
        <v/>
      </c>
      <c r="F385" s="42" t="str">
        <f>IF(Transactions!$G385&lt;&gt;"",Transactions!$H385&amp;" "&amp;Transactions!$G385,)</f>
        <v/>
      </c>
    </row>
    <row r="386">
      <c r="A386" s="55" t="str">
        <f>IF(Transactions!$B386&lt;&gt;"",DATE(LEFT(Transactions!$B386,4),MID(Transactions!$B386,6,2),MID(Transactions!$B386,9,2)),)</f>
        <v/>
      </c>
      <c r="B386" s="56" t="str">
        <f>Transactions!$C386</f>
        <v/>
      </c>
      <c r="C386" s="51" t="str">
        <f t="array" ref="C386">IFERROR(INDEX(Portfolio!$B:$B, MATCH($B386, Portfolio!$A:$A, 0)),Transactions!$B386)</f>
        <v/>
      </c>
      <c r="D386" s="51" t="str">
        <f>IF($B386&lt;&gt;"",Transactions!$E386*1,)</f>
        <v/>
      </c>
      <c r="E386" s="51" t="str">
        <f>IF($B386&lt;&gt;"",Transactions!$F386*1,)</f>
        <v/>
      </c>
      <c r="F386" s="42" t="str">
        <f>IF(Transactions!$G386&lt;&gt;"",Transactions!$H386&amp;" "&amp;Transactions!$G386,)</f>
        <v/>
      </c>
    </row>
    <row r="387">
      <c r="A387" s="55" t="str">
        <f>IF(Transactions!$B387&lt;&gt;"",DATE(LEFT(Transactions!$B387,4),MID(Transactions!$B387,6,2),MID(Transactions!$B387,9,2)),)</f>
        <v/>
      </c>
      <c r="B387" s="56" t="str">
        <f>Transactions!$C387</f>
        <v/>
      </c>
      <c r="C387" s="51" t="str">
        <f t="array" ref="C387">IFERROR(INDEX(Portfolio!$B:$B, MATCH($B387, Portfolio!$A:$A, 0)),Transactions!$B387)</f>
        <v/>
      </c>
      <c r="D387" s="51" t="str">
        <f>IF($B387&lt;&gt;"",Transactions!$E387*1,)</f>
        <v/>
      </c>
      <c r="E387" s="51" t="str">
        <f>IF($B387&lt;&gt;"",Transactions!$F387*1,)</f>
        <v/>
      </c>
      <c r="F387" s="42" t="str">
        <f>IF(Transactions!$G387&lt;&gt;"",Transactions!$H387&amp;" "&amp;Transactions!$G387,)</f>
        <v/>
      </c>
    </row>
    <row r="388">
      <c r="A388" s="55" t="str">
        <f>IF(Transactions!$B388&lt;&gt;"",DATE(LEFT(Transactions!$B388,4),MID(Transactions!$B388,6,2),MID(Transactions!$B388,9,2)),)</f>
        <v/>
      </c>
      <c r="B388" s="56" t="str">
        <f>Transactions!$C388</f>
        <v/>
      </c>
      <c r="C388" s="51" t="str">
        <f t="array" ref="C388">IFERROR(INDEX(Portfolio!$B:$B, MATCH($B388, Portfolio!$A:$A, 0)),Transactions!$B388)</f>
        <v/>
      </c>
      <c r="D388" s="51" t="str">
        <f>IF($B388&lt;&gt;"",Transactions!$E388*1,)</f>
        <v/>
      </c>
      <c r="E388" s="51" t="str">
        <f>IF($B388&lt;&gt;"",Transactions!$F388*1,)</f>
        <v/>
      </c>
      <c r="F388" s="42" t="str">
        <f>IF(Transactions!$G388&lt;&gt;"",Transactions!$H388&amp;" "&amp;Transactions!$G388,)</f>
        <v/>
      </c>
    </row>
    <row r="389">
      <c r="A389" s="55" t="str">
        <f>IF(Transactions!$B389&lt;&gt;"",DATE(LEFT(Transactions!$B389,4),MID(Transactions!$B389,6,2),MID(Transactions!$B389,9,2)),)</f>
        <v/>
      </c>
      <c r="B389" s="56" t="str">
        <f>Transactions!$C389</f>
        <v/>
      </c>
      <c r="C389" s="51" t="str">
        <f t="array" ref="C389">IFERROR(INDEX(Portfolio!$B:$B, MATCH($B389, Portfolio!$A:$A, 0)),Transactions!$B389)</f>
        <v/>
      </c>
      <c r="D389" s="51" t="str">
        <f>IF($B389&lt;&gt;"",Transactions!$E389*1,)</f>
        <v/>
      </c>
      <c r="E389" s="51" t="str">
        <f>IF($B389&lt;&gt;"",Transactions!$F389*1,)</f>
        <v/>
      </c>
      <c r="F389" s="42" t="str">
        <f>IF(Transactions!$G389&lt;&gt;"",Transactions!$H389&amp;" "&amp;Transactions!$G389,)</f>
        <v/>
      </c>
    </row>
    <row r="390">
      <c r="A390" s="55" t="str">
        <f>IF(Transactions!$B390&lt;&gt;"",DATE(LEFT(Transactions!$B390,4),MID(Transactions!$B390,6,2),MID(Transactions!$B390,9,2)),)</f>
        <v/>
      </c>
      <c r="B390" s="56" t="str">
        <f>Transactions!$C390</f>
        <v/>
      </c>
      <c r="C390" s="51" t="str">
        <f t="array" ref="C390">IFERROR(INDEX(Portfolio!$B:$B, MATCH($B390, Portfolio!$A:$A, 0)),Transactions!$B390)</f>
        <v/>
      </c>
      <c r="D390" s="51" t="str">
        <f>IF($B390&lt;&gt;"",Transactions!$E390*1,)</f>
        <v/>
      </c>
      <c r="E390" s="51" t="str">
        <f>IF($B390&lt;&gt;"",Transactions!$F390*1,)</f>
        <v/>
      </c>
      <c r="F390" s="42" t="str">
        <f>IF(Transactions!$G390&lt;&gt;"",Transactions!$H390&amp;" "&amp;Transactions!$G390,)</f>
        <v/>
      </c>
    </row>
    <row r="391">
      <c r="A391" s="55" t="str">
        <f>IF(Transactions!$B391&lt;&gt;"",DATE(LEFT(Transactions!$B391,4),MID(Transactions!$B391,6,2),MID(Transactions!$B391,9,2)),)</f>
        <v/>
      </c>
      <c r="B391" s="56" t="str">
        <f>Transactions!$C391</f>
        <v/>
      </c>
      <c r="C391" s="51" t="str">
        <f t="array" ref="C391">IFERROR(INDEX(Portfolio!$B:$B, MATCH($B391, Portfolio!$A:$A, 0)),Transactions!$B391)</f>
        <v/>
      </c>
      <c r="D391" s="51" t="str">
        <f>IF($B391&lt;&gt;"",Transactions!$E391*1,)</f>
        <v/>
      </c>
      <c r="E391" s="51" t="str">
        <f>IF($B391&lt;&gt;"",Transactions!$F391*1,)</f>
        <v/>
      </c>
      <c r="F391" s="42" t="str">
        <f>IF(Transactions!$G391&lt;&gt;"",Transactions!$H391&amp;" "&amp;Transactions!$G391,)</f>
        <v/>
      </c>
    </row>
    <row r="392">
      <c r="A392" s="55" t="str">
        <f>IF(Transactions!$B392&lt;&gt;"",DATE(LEFT(Transactions!$B392,4),MID(Transactions!$B392,6,2),MID(Transactions!$B392,9,2)),)</f>
        <v/>
      </c>
      <c r="B392" s="56" t="str">
        <f>Transactions!$C392</f>
        <v/>
      </c>
      <c r="C392" s="51" t="str">
        <f t="array" ref="C392">IFERROR(INDEX(Portfolio!$B:$B, MATCH($B392, Portfolio!$A:$A, 0)),Transactions!$B392)</f>
        <v/>
      </c>
      <c r="D392" s="51" t="str">
        <f>IF($B392&lt;&gt;"",Transactions!$E392*1,)</f>
        <v/>
      </c>
      <c r="E392" s="51" t="str">
        <f>IF($B392&lt;&gt;"",Transactions!$F392*1,)</f>
        <v/>
      </c>
      <c r="F392" s="42" t="str">
        <f>IF(Transactions!$G392&lt;&gt;"",Transactions!$H392&amp;" "&amp;Transactions!$G392,)</f>
        <v/>
      </c>
    </row>
    <row r="393">
      <c r="A393" s="55" t="str">
        <f>IF(Transactions!$B393&lt;&gt;"",DATE(LEFT(Transactions!$B393,4),MID(Transactions!$B393,6,2),MID(Transactions!$B393,9,2)),)</f>
        <v/>
      </c>
      <c r="B393" s="56" t="str">
        <f>Transactions!$C393</f>
        <v/>
      </c>
      <c r="C393" s="51" t="str">
        <f t="array" ref="C393">IFERROR(INDEX(Portfolio!$B:$B, MATCH($B393, Portfolio!$A:$A, 0)),Transactions!$B393)</f>
        <v/>
      </c>
      <c r="D393" s="51" t="str">
        <f>IF($B393&lt;&gt;"",Transactions!$E393*1,)</f>
        <v/>
      </c>
      <c r="E393" s="51" t="str">
        <f>IF($B393&lt;&gt;"",Transactions!$F393*1,)</f>
        <v/>
      </c>
      <c r="F393" s="42" t="str">
        <f>IF(Transactions!$G393&lt;&gt;"",Transactions!$H393&amp;" "&amp;Transactions!$G393,)</f>
        <v/>
      </c>
    </row>
    <row r="394">
      <c r="A394" s="55" t="str">
        <f>IF(Transactions!$B394&lt;&gt;"",DATE(LEFT(Transactions!$B394,4),MID(Transactions!$B394,6,2),MID(Transactions!$B394,9,2)),)</f>
        <v/>
      </c>
      <c r="B394" s="56" t="str">
        <f>Transactions!$C394</f>
        <v/>
      </c>
      <c r="C394" s="51" t="str">
        <f t="array" ref="C394">IFERROR(INDEX(Portfolio!$B:$B, MATCH($B394, Portfolio!$A:$A, 0)),Transactions!$B394)</f>
        <v/>
      </c>
      <c r="D394" s="51" t="str">
        <f>IF($B394&lt;&gt;"",Transactions!$E394*1,)</f>
        <v/>
      </c>
      <c r="E394" s="51" t="str">
        <f>IF($B394&lt;&gt;"",Transactions!$F394*1,)</f>
        <v/>
      </c>
      <c r="F394" s="42" t="str">
        <f>IF(Transactions!$G394&lt;&gt;"",Transactions!$H394&amp;" "&amp;Transactions!$G394,)</f>
        <v/>
      </c>
    </row>
    <row r="395">
      <c r="A395" s="55" t="str">
        <f>IF(Transactions!$B395&lt;&gt;"",DATE(LEFT(Transactions!$B395,4),MID(Transactions!$B395,6,2),MID(Transactions!$B395,9,2)),)</f>
        <v/>
      </c>
      <c r="B395" s="56" t="str">
        <f>Transactions!$C395</f>
        <v/>
      </c>
      <c r="C395" s="51" t="str">
        <f t="array" ref="C395">IFERROR(INDEX(Portfolio!$B:$B, MATCH($B395, Portfolio!$A:$A, 0)),Transactions!$B395)</f>
        <v/>
      </c>
      <c r="D395" s="51" t="str">
        <f>IF($B395&lt;&gt;"",Transactions!$E395*1,)</f>
        <v/>
      </c>
      <c r="E395" s="51" t="str">
        <f>IF($B395&lt;&gt;"",Transactions!$F395*1,)</f>
        <v/>
      </c>
      <c r="F395" s="42" t="str">
        <f>IF(Transactions!$G395&lt;&gt;"",Transactions!$H395&amp;" "&amp;Transactions!$G395,)</f>
        <v/>
      </c>
    </row>
    <row r="396">
      <c r="A396" s="55" t="str">
        <f>IF(Transactions!$B396&lt;&gt;"",DATE(LEFT(Transactions!$B396,4),MID(Transactions!$B396,6,2),MID(Transactions!$B396,9,2)),)</f>
        <v/>
      </c>
      <c r="B396" s="56" t="str">
        <f>Transactions!$C396</f>
        <v/>
      </c>
      <c r="C396" s="51" t="str">
        <f t="array" ref="C396">IFERROR(INDEX(Portfolio!$B:$B, MATCH($B396, Portfolio!$A:$A, 0)),Transactions!$B396)</f>
        <v/>
      </c>
      <c r="D396" s="51" t="str">
        <f>IF($B396&lt;&gt;"",Transactions!$E396*1,)</f>
        <v/>
      </c>
      <c r="E396" s="51" t="str">
        <f>IF($B396&lt;&gt;"",Transactions!$F396*1,)</f>
        <v/>
      </c>
      <c r="F396" s="42" t="str">
        <f>IF(Transactions!$G396&lt;&gt;"",Transactions!$H396&amp;" "&amp;Transactions!$G396,)</f>
        <v/>
      </c>
    </row>
    <row r="397">
      <c r="A397" s="55" t="str">
        <f>IF(Transactions!$B397&lt;&gt;"",DATE(LEFT(Transactions!$B397,4),MID(Transactions!$B397,6,2),MID(Transactions!$B397,9,2)),)</f>
        <v/>
      </c>
      <c r="B397" s="56" t="str">
        <f>Transactions!$C397</f>
        <v/>
      </c>
      <c r="C397" s="51" t="str">
        <f t="array" ref="C397">IFERROR(INDEX(Portfolio!$B:$B, MATCH($B397, Portfolio!$A:$A, 0)),Transactions!$B397)</f>
        <v/>
      </c>
      <c r="D397" s="51" t="str">
        <f>IF($B397&lt;&gt;"",Transactions!$E397*1,)</f>
        <v/>
      </c>
      <c r="E397" s="51" t="str">
        <f>IF($B397&lt;&gt;"",Transactions!$F397*1,)</f>
        <v/>
      </c>
      <c r="F397" s="42" t="str">
        <f>IF(Transactions!$G397&lt;&gt;"",Transactions!$H397&amp;" "&amp;Transactions!$G397,)</f>
        <v/>
      </c>
    </row>
    <row r="398">
      <c r="A398" s="55" t="str">
        <f>IF(Transactions!$B398&lt;&gt;"",DATE(LEFT(Transactions!$B398,4),MID(Transactions!$B398,6,2),MID(Transactions!$B398,9,2)),)</f>
        <v/>
      </c>
      <c r="B398" s="56" t="str">
        <f>Transactions!$C398</f>
        <v/>
      </c>
      <c r="C398" s="51" t="str">
        <f t="array" ref="C398">IFERROR(INDEX(Portfolio!$B:$B, MATCH($B398, Portfolio!$A:$A, 0)),Transactions!$B398)</f>
        <v/>
      </c>
      <c r="D398" s="51" t="str">
        <f>IF($B398&lt;&gt;"",Transactions!$E398*1,)</f>
        <v/>
      </c>
      <c r="E398" s="51" t="str">
        <f>IF($B398&lt;&gt;"",Transactions!$F398*1,)</f>
        <v/>
      </c>
      <c r="F398" s="42" t="str">
        <f>IF(Transactions!$G398&lt;&gt;"",Transactions!$H398&amp;" "&amp;Transactions!$G398,)</f>
        <v/>
      </c>
    </row>
    <row r="399">
      <c r="A399" s="55" t="str">
        <f>IF(Transactions!$B399&lt;&gt;"",DATE(LEFT(Transactions!$B399,4),MID(Transactions!$B399,6,2),MID(Transactions!$B399,9,2)),)</f>
        <v/>
      </c>
      <c r="B399" s="56" t="str">
        <f>Transactions!$C399</f>
        <v/>
      </c>
      <c r="C399" s="51" t="str">
        <f t="array" ref="C399">IFERROR(INDEX(Portfolio!$B:$B, MATCH($B399, Portfolio!$A:$A, 0)),Transactions!$B399)</f>
        <v/>
      </c>
      <c r="D399" s="51" t="str">
        <f>IF($B399&lt;&gt;"",Transactions!$E399*1,)</f>
        <v/>
      </c>
      <c r="E399" s="51" t="str">
        <f>IF($B399&lt;&gt;"",Transactions!$F399*1,)</f>
        <v/>
      </c>
      <c r="F399" s="42" t="str">
        <f>IF(Transactions!$G399&lt;&gt;"",Transactions!$H399&amp;" "&amp;Transactions!$G399,)</f>
        <v/>
      </c>
    </row>
    <row r="400">
      <c r="A400" s="55" t="str">
        <f>IF(Transactions!$B400&lt;&gt;"",DATE(LEFT(Transactions!$B400,4),MID(Transactions!$B400,6,2),MID(Transactions!$B400,9,2)),)</f>
        <v/>
      </c>
      <c r="B400" s="56" t="str">
        <f>Transactions!$C400</f>
        <v/>
      </c>
      <c r="C400" s="51" t="str">
        <f t="array" ref="C400">IFERROR(INDEX(Portfolio!$B:$B, MATCH($B400, Portfolio!$A:$A, 0)),Transactions!$B400)</f>
        <v/>
      </c>
      <c r="D400" s="51" t="str">
        <f>IF($B400&lt;&gt;"",Transactions!$E400*1,)</f>
        <v/>
      </c>
      <c r="E400" s="51" t="str">
        <f>IF($B400&lt;&gt;"",Transactions!$F400*1,)</f>
        <v/>
      </c>
      <c r="F400" s="42" t="str">
        <f>IF(Transactions!$G400&lt;&gt;"",Transactions!$H400&amp;" "&amp;Transactions!$G400,)</f>
        <v/>
      </c>
    </row>
    <row r="401">
      <c r="A401" s="55" t="str">
        <f>IF(Transactions!$B401&lt;&gt;"",DATE(LEFT(Transactions!$B401,4),MID(Transactions!$B401,6,2),MID(Transactions!$B401,9,2)),)</f>
        <v/>
      </c>
      <c r="B401" s="56" t="str">
        <f>Transactions!$C401</f>
        <v/>
      </c>
      <c r="C401" s="51" t="str">
        <f t="array" ref="C401">IFERROR(INDEX(Portfolio!$B:$B, MATCH($B401, Portfolio!$A:$A, 0)),Transactions!$B401)</f>
        <v/>
      </c>
      <c r="D401" s="51" t="str">
        <f>IF($B401&lt;&gt;"",Transactions!$E401*1,)</f>
        <v/>
      </c>
      <c r="E401" s="51" t="str">
        <f>IF($B401&lt;&gt;"",Transactions!$F401*1,)</f>
        <v/>
      </c>
      <c r="F401" s="42" t="str">
        <f>IF(Transactions!$G401&lt;&gt;"",Transactions!$H401&amp;" "&amp;Transactions!$G401,)</f>
        <v/>
      </c>
    </row>
    <row r="402">
      <c r="A402" s="55" t="str">
        <f>IF(Transactions!$B402&lt;&gt;"",DATE(LEFT(Transactions!$B402,4),MID(Transactions!$B402,6,2),MID(Transactions!$B402,9,2)),)</f>
        <v/>
      </c>
      <c r="B402" s="56" t="str">
        <f>Transactions!$C402</f>
        <v/>
      </c>
      <c r="C402" s="51" t="str">
        <f t="array" ref="C402">IFERROR(INDEX(Portfolio!$B:$B, MATCH($B402, Portfolio!$A:$A, 0)),Transactions!$B402)</f>
        <v/>
      </c>
      <c r="D402" s="51" t="str">
        <f>IF($B402&lt;&gt;"",Transactions!$E402*1,)</f>
        <v/>
      </c>
      <c r="E402" s="51" t="str">
        <f>IF($B402&lt;&gt;"",Transactions!$F402*1,)</f>
        <v/>
      </c>
      <c r="F402" s="42" t="str">
        <f>IF(Transactions!$G402&lt;&gt;"",Transactions!$H402&amp;" "&amp;Transactions!$G402,)</f>
        <v/>
      </c>
    </row>
    <row r="403">
      <c r="A403" s="55" t="str">
        <f>IF(Transactions!$B403&lt;&gt;"",DATE(LEFT(Transactions!$B403,4),MID(Transactions!$B403,6,2),MID(Transactions!$B403,9,2)),)</f>
        <v/>
      </c>
      <c r="B403" s="56" t="str">
        <f>Transactions!$C403</f>
        <v/>
      </c>
      <c r="C403" s="51" t="str">
        <f t="array" ref="C403">IFERROR(INDEX(Portfolio!$B:$B, MATCH($B403, Portfolio!$A:$A, 0)),Transactions!$B403)</f>
        <v/>
      </c>
      <c r="D403" s="51" t="str">
        <f>IF($B403&lt;&gt;"",Transactions!$E403*1,)</f>
        <v/>
      </c>
      <c r="E403" s="51" t="str">
        <f>IF($B403&lt;&gt;"",Transactions!$F403*1,)</f>
        <v/>
      </c>
      <c r="F403" s="42" t="str">
        <f>IF(Transactions!$G403&lt;&gt;"",Transactions!$H403&amp;" "&amp;Transactions!$G403,)</f>
        <v/>
      </c>
    </row>
    <row r="404">
      <c r="A404" s="55" t="str">
        <f>IF(Transactions!$B404&lt;&gt;"",DATE(LEFT(Transactions!$B404,4),MID(Transactions!$B404,6,2),MID(Transactions!$B404,9,2)),)</f>
        <v/>
      </c>
      <c r="B404" s="56" t="str">
        <f>Transactions!$C404</f>
        <v/>
      </c>
      <c r="C404" s="51" t="str">
        <f t="array" ref="C404">IFERROR(INDEX(Portfolio!$B:$B, MATCH($B404, Portfolio!$A:$A, 0)),Transactions!$B404)</f>
        <v/>
      </c>
      <c r="D404" s="51" t="str">
        <f>IF($B404&lt;&gt;"",Transactions!$E404*1,)</f>
        <v/>
      </c>
      <c r="E404" s="51" t="str">
        <f>IF($B404&lt;&gt;"",Transactions!$F404*1,)</f>
        <v/>
      </c>
      <c r="F404" s="42" t="str">
        <f>IF(Transactions!$G404&lt;&gt;"",Transactions!$H404&amp;" "&amp;Transactions!$G404,)</f>
        <v/>
      </c>
    </row>
    <row r="405">
      <c r="A405" s="55" t="str">
        <f>IF(Transactions!$B405&lt;&gt;"",DATE(LEFT(Transactions!$B405,4),MID(Transactions!$B405,6,2),MID(Transactions!$B405,9,2)),)</f>
        <v/>
      </c>
      <c r="B405" s="56" t="str">
        <f>Transactions!$C405</f>
        <v/>
      </c>
      <c r="C405" s="51" t="str">
        <f t="array" ref="C405">IFERROR(INDEX(Portfolio!$B:$B, MATCH($B405, Portfolio!$A:$A, 0)),Transactions!$B405)</f>
        <v/>
      </c>
      <c r="D405" s="51" t="str">
        <f>IF($B405&lt;&gt;"",Transactions!$E405*1,)</f>
        <v/>
      </c>
      <c r="E405" s="51" t="str">
        <f>IF($B405&lt;&gt;"",Transactions!$F405*1,)</f>
        <v/>
      </c>
      <c r="F405" s="42" t="str">
        <f>IF(Transactions!$G405&lt;&gt;"",Transactions!$H405&amp;" "&amp;Transactions!$G405,)</f>
        <v/>
      </c>
    </row>
    <row r="406">
      <c r="A406" s="55" t="str">
        <f>IF(Transactions!$B406&lt;&gt;"",DATE(LEFT(Transactions!$B406,4),MID(Transactions!$B406,6,2),MID(Transactions!$B406,9,2)),)</f>
        <v/>
      </c>
      <c r="B406" s="56" t="str">
        <f>Transactions!$C406</f>
        <v/>
      </c>
      <c r="C406" s="51" t="str">
        <f t="array" ref="C406">IFERROR(INDEX(Portfolio!$B:$B, MATCH($B406, Portfolio!$A:$A, 0)),Transactions!$B406)</f>
        <v/>
      </c>
      <c r="D406" s="51" t="str">
        <f>IF($B406&lt;&gt;"",Transactions!$E406*1,)</f>
        <v/>
      </c>
      <c r="E406" s="51" t="str">
        <f>IF($B406&lt;&gt;"",Transactions!$F406*1,)</f>
        <v/>
      </c>
      <c r="F406" s="42" t="str">
        <f>IF(Transactions!$G406&lt;&gt;"",Transactions!$H406&amp;" "&amp;Transactions!$G406,)</f>
        <v/>
      </c>
    </row>
    <row r="407">
      <c r="A407" s="55" t="str">
        <f>IF(Transactions!$B407&lt;&gt;"",DATE(LEFT(Transactions!$B407,4),MID(Transactions!$B407,6,2),MID(Transactions!$B407,9,2)),)</f>
        <v/>
      </c>
      <c r="B407" s="56" t="str">
        <f>Transactions!$C407</f>
        <v/>
      </c>
      <c r="C407" s="51" t="str">
        <f t="array" ref="C407">IFERROR(INDEX(Portfolio!$B:$B, MATCH($B407, Portfolio!$A:$A, 0)),Transactions!$B407)</f>
        <v/>
      </c>
      <c r="D407" s="51" t="str">
        <f>IF($B407&lt;&gt;"",Transactions!$E407*1,)</f>
        <v/>
      </c>
      <c r="E407" s="51" t="str">
        <f>IF($B407&lt;&gt;"",Transactions!$F407*1,)</f>
        <v/>
      </c>
      <c r="F407" s="42" t="str">
        <f>IF(Transactions!$G407&lt;&gt;"",Transactions!$H407&amp;" "&amp;Transactions!$G407,)</f>
        <v/>
      </c>
    </row>
    <row r="408">
      <c r="A408" s="55" t="str">
        <f>IF(Transactions!$B408&lt;&gt;"",DATE(LEFT(Transactions!$B408,4),MID(Transactions!$B408,6,2),MID(Transactions!$B408,9,2)),)</f>
        <v/>
      </c>
      <c r="B408" s="56" t="str">
        <f>Transactions!$C408</f>
        <v/>
      </c>
      <c r="C408" s="51" t="str">
        <f t="array" ref="C408">IFERROR(INDEX(Portfolio!$B:$B, MATCH($B408, Portfolio!$A:$A, 0)),Transactions!$B408)</f>
        <v/>
      </c>
      <c r="D408" s="51" t="str">
        <f>IF($B408&lt;&gt;"",Transactions!$E408*1,)</f>
        <v/>
      </c>
      <c r="E408" s="51" t="str">
        <f>IF($B408&lt;&gt;"",Transactions!$F408*1,)</f>
        <v/>
      </c>
      <c r="F408" s="42" t="str">
        <f>IF(Transactions!$G408&lt;&gt;"",Transactions!$H408&amp;" "&amp;Transactions!$G408,)</f>
        <v/>
      </c>
    </row>
    <row r="409">
      <c r="A409" s="55" t="str">
        <f>IF(Transactions!$B409&lt;&gt;"",DATE(LEFT(Transactions!$B409,4),MID(Transactions!$B409,6,2),MID(Transactions!$B409,9,2)),)</f>
        <v/>
      </c>
      <c r="B409" s="56" t="str">
        <f>Transactions!$C409</f>
        <v/>
      </c>
      <c r="C409" s="51" t="str">
        <f t="array" ref="C409">IFERROR(INDEX(Portfolio!$B:$B, MATCH($B409, Portfolio!$A:$A, 0)),Transactions!$B409)</f>
        <v/>
      </c>
      <c r="D409" s="51" t="str">
        <f>IF($B409&lt;&gt;"",Transactions!$E409*1,)</f>
        <v/>
      </c>
      <c r="E409" s="51" t="str">
        <f>IF($B409&lt;&gt;"",Transactions!$F409*1,)</f>
        <v/>
      </c>
      <c r="F409" s="42" t="str">
        <f>IF(Transactions!$G409&lt;&gt;"",Transactions!$H409&amp;" "&amp;Transactions!$G409,)</f>
        <v/>
      </c>
    </row>
    <row r="410">
      <c r="A410" s="55" t="str">
        <f>IF(Transactions!$B410&lt;&gt;"",DATE(LEFT(Transactions!$B410,4),MID(Transactions!$B410,6,2),MID(Transactions!$B410,9,2)),)</f>
        <v/>
      </c>
      <c r="B410" s="56" t="str">
        <f>Transactions!$C410</f>
        <v/>
      </c>
      <c r="C410" s="51" t="str">
        <f t="array" ref="C410">IFERROR(INDEX(Portfolio!$B:$B, MATCH($B410, Portfolio!$A:$A, 0)),Transactions!$B410)</f>
        <v/>
      </c>
      <c r="D410" s="51" t="str">
        <f>IF($B410&lt;&gt;"",Transactions!$E410*1,)</f>
        <v/>
      </c>
      <c r="E410" s="51" t="str">
        <f>IF($B410&lt;&gt;"",Transactions!$F410*1,)</f>
        <v/>
      </c>
      <c r="F410" s="42" t="str">
        <f>IF(Transactions!$G410&lt;&gt;"",Transactions!$H410&amp;" "&amp;Transactions!$G410,)</f>
        <v/>
      </c>
    </row>
    <row r="411">
      <c r="A411" s="55" t="str">
        <f>IF(Transactions!$B411&lt;&gt;"",DATE(LEFT(Transactions!$B411,4),MID(Transactions!$B411,6,2),MID(Transactions!$B411,9,2)),)</f>
        <v/>
      </c>
      <c r="B411" s="56" t="str">
        <f>Transactions!$C411</f>
        <v/>
      </c>
      <c r="C411" s="51" t="str">
        <f t="array" ref="C411">IFERROR(INDEX(Portfolio!$B:$B, MATCH($B411, Portfolio!$A:$A, 0)),Transactions!$B411)</f>
        <v/>
      </c>
      <c r="D411" s="51" t="str">
        <f>IF($B411&lt;&gt;"",Transactions!$E411*1,)</f>
        <v/>
      </c>
      <c r="E411" s="51" t="str">
        <f>IF($B411&lt;&gt;"",Transactions!$F411*1,)</f>
        <v/>
      </c>
      <c r="F411" s="42" t="str">
        <f>IF(Transactions!$G411&lt;&gt;"",Transactions!$H411&amp;" "&amp;Transactions!$G411,)</f>
        <v/>
      </c>
    </row>
    <row r="412">
      <c r="A412" s="55" t="str">
        <f>IF(Transactions!$B412&lt;&gt;"",DATE(LEFT(Transactions!$B412,4),MID(Transactions!$B412,6,2),MID(Transactions!$B412,9,2)),)</f>
        <v/>
      </c>
      <c r="B412" s="56" t="str">
        <f>Transactions!$C412</f>
        <v/>
      </c>
      <c r="C412" s="51" t="str">
        <f t="array" ref="C412">IFERROR(INDEX(Portfolio!$B:$B, MATCH($B412, Portfolio!$A:$A, 0)),Transactions!$B412)</f>
        <v/>
      </c>
      <c r="D412" s="51" t="str">
        <f>IF($B412&lt;&gt;"",Transactions!$E412*1,)</f>
        <v/>
      </c>
      <c r="E412" s="51" t="str">
        <f>IF($B412&lt;&gt;"",Transactions!$F412*1,)</f>
        <v/>
      </c>
      <c r="F412" s="42" t="str">
        <f>IF(Transactions!$G412&lt;&gt;"",Transactions!$H412&amp;" "&amp;Transactions!$G412,)</f>
        <v/>
      </c>
    </row>
    <row r="413">
      <c r="A413" s="55" t="str">
        <f>IF(Transactions!$B413&lt;&gt;"",DATE(LEFT(Transactions!$B413,4),MID(Transactions!$B413,6,2),MID(Transactions!$B413,9,2)),)</f>
        <v/>
      </c>
      <c r="B413" s="56" t="str">
        <f>Transactions!$C413</f>
        <v/>
      </c>
      <c r="C413" s="51" t="str">
        <f t="array" ref="C413">IFERROR(INDEX(Portfolio!$B:$B, MATCH($B413, Portfolio!$A:$A, 0)),Transactions!$B413)</f>
        <v/>
      </c>
      <c r="D413" s="51" t="str">
        <f>IF($B413&lt;&gt;"",Transactions!$E413*1,)</f>
        <v/>
      </c>
      <c r="E413" s="51" t="str">
        <f>IF($B413&lt;&gt;"",Transactions!$F413*1,)</f>
        <v/>
      </c>
      <c r="F413" s="42" t="str">
        <f>IF(Transactions!$G413&lt;&gt;"",Transactions!$H413&amp;" "&amp;Transactions!$G413,)</f>
        <v/>
      </c>
    </row>
    <row r="414">
      <c r="A414" s="55" t="str">
        <f>IF(Transactions!$B414&lt;&gt;"",DATE(LEFT(Transactions!$B414,4),MID(Transactions!$B414,6,2),MID(Transactions!$B414,9,2)),)</f>
        <v/>
      </c>
      <c r="B414" s="56" t="str">
        <f>Transactions!$C414</f>
        <v/>
      </c>
      <c r="C414" s="51" t="str">
        <f t="array" ref="C414">IFERROR(INDEX(Portfolio!$B:$B, MATCH($B414, Portfolio!$A:$A, 0)),Transactions!$B414)</f>
        <v/>
      </c>
      <c r="D414" s="51" t="str">
        <f>IF($B414&lt;&gt;"",Transactions!$E414*1,)</f>
        <v/>
      </c>
      <c r="E414" s="51" t="str">
        <f>IF($B414&lt;&gt;"",Transactions!$F414*1,)</f>
        <v/>
      </c>
      <c r="F414" s="42" t="str">
        <f>IF(Transactions!$G414&lt;&gt;"",Transactions!$H414&amp;" "&amp;Transactions!$G414,)</f>
        <v/>
      </c>
    </row>
    <row r="415">
      <c r="A415" s="55" t="str">
        <f>IF(Transactions!$B415&lt;&gt;"",DATE(LEFT(Transactions!$B415,4),MID(Transactions!$B415,6,2),MID(Transactions!$B415,9,2)),)</f>
        <v/>
      </c>
      <c r="B415" s="56" t="str">
        <f>Transactions!$C415</f>
        <v/>
      </c>
      <c r="C415" s="51" t="str">
        <f t="array" ref="C415">IFERROR(INDEX(Portfolio!$B:$B, MATCH($B415, Portfolio!$A:$A, 0)),Transactions!$B415)</f>
        <v/>
      </c>
      <c r="D415" s="51" t="str">
        <f>IF($B415&lt;&gt;"",Transactions!$E415*1,)</f>
        <v/>
      </c>
      <c r="E415" s="51" t="str">
        <f>IF($B415&lt;&gt;"",Transactions!$F415*1,)</f>
        <v/>
      </c>
      <c r="F415" s="42" t="str">
        <f>IF(Transactions!$G415&lt;&gt;"",Transactions!$H415&amp;" "&amp;Transactions!$G415,)</f>
        <v/>
      </c>
    </row>
    <row r="416">
      <c r="A416" s="55" t="str">
        <f>IF(Transactions!$B416&lt;&gt;"",DATE(LEFT(Transactions!$B416,4),MID(Transactions!$B416,6,2),MID(Transactions!$B416,9,2)),)</f>
        <v/>
      </c>
      <c r="B416" s="56" t="str">
        <f>Transactions!$C416</f>
        <v/>
      </c>
      <c r="C416" s="51" t="str">
        <f t="array" ref="C416">IFERROR(INDEX(Portfolio!$B:$B, MATCH($B416, Portfolio!$A:$A, 0)),Transactions!$B416)</f>
        <v/>
      </c>
      <c r="D416" s="51" t="str">
        <f>IF($B416&lt;&gt;"",Transactions!$E416*1,)</f>
        <v/>
      </c>
      <c r="E416" s="51" t="str">
        <f>IF($B416&lt;&gt;"",Transactions!$F416*1,)</f>
        <v/>
      </c>
      <c r="F416" s="42" t="str">
        <f>IF(Transactions!$G416&lt;&gt;"",Transactions!$H416&amp;" "&amp;Transactions!$G416,)</f>
        <v/>
      </c>
    </row>
    <row r="417">
      <c r="A417" s="55" t="str">
        <f>IF(Transactions!$B417&lt;&gt;"",DATE(LEFT(Transactions!$B417,4),MID(Transactions!$B417,6,2),MID(Transactions!$B417,9,2)),)</f>
        <v/>
      </c>
      <c r="B417" s="56" t="str">
        <f>Transactions!$C417</f>
        <v/>
      </c>
      <c r="C417" s="51" t="str">
        <f t="array" ref="C417">IFERROR(INDEX(Portfolio!$B:$B, MATCH($B417, Portfolio!$A:$A, 0)),Transactions!$B417)</f>
        <v/>
      </c>
      <c r="D417" s="51" t="str">
        <f>IF($B417&lt;&gt;"",Transactions!$E417*1,)</f>
        <v/>
      </c>
      <c r="E417" s="51" t="str">
        <f>IF($B417&lt;&gt;"",Transactions!$F417*1,)</f>
        <v/>
      </c>
      <c r="F417" s="42" t="str">
        <f>IF(Transactions!$G417&lt;&gt;"",Transactions!$H417&amp;" "&amp;Transactions!$G417,)</f>
        <v/>
      </c>
    </row>
    <row r="418">
      <c r="A418" s="55" t="str">
        <f>IF(Transactions!$B418&lt;&gt;"",DATE(LEFT(Transactions!$B418,4),MID(Transactions!$B418,6,2),MID(Transactions!$B418,9,2)),)</f>
        <v/>
      </c>
      <c r="B418" s="56" t="str">
        <f>Transactions!$C418</f>
        <v/>
      </c>
      <c r="C418" s="51" t="str">
        <f t="array" ref="C418">IFERROR(INDEX(Portfolio!$B:$B, MATCH($B418, Portfolio!$A:$A, 0)),Transactions!$B418)</f>
        <v/>
      </c>
      <c r="D418" s="51" t="str">
        <f>IF($B418&lt;&gt;"",Transactions!$E418*1,)</f>
        <v/>
      </c>
      <c r="E418" s="51" t="str">
        <f>IF($B418&lt;&gt;"",Transactions!$F418*1,)</f>
        <v/>
      </c>
      <c r="F418" s="42" t="str">
        <f>IF(Transactions!$G418&lt;&gt;"",Transactions!$H418&amp;" "&amp;Transactions!$G418,)</f>
        <v/>
      </c>
    </row>
    <row r="419">
      <c r="A419" s="55" t="str">
        <f>IF(Transactions!$B419&lt;&gt;"",DATE(LEFT(Transactions!$B419,4),MID(Transactions!$B419,6,2),MID(Transactions!$B419,9,2)),)</f>
        <v/>
      </c>
      <c r="B419" s="56" t="str">
        <f>Transactions!$C419</f>
        <v/>
      </c>
      <c r="C419" s="51" t="str">
        <f t="array" ref="C419">IFERROR(INDEX(Portfolio!$B:$B, MATCH($B419, Portfolio!$A:$A, 0)),Transactions!$B419)</f>
        <v/>
      </c>
      <c r="D419" s="51" t="str">
        <f>IF($B419&lt;&gt;"",Transactions!$E419*1,)</f>
        <v/>
      </c>
      <c r="E419" s="51" t="str">
        <f>IF($B419&lt;&gt;"",Transactions!$F419*1,)</f>
        <v/>
      </c>
      <c r="F419" s="42" t="str">
        <f>IF(Transactions!$G419&lt;&gt;"",Transactions!$H419&amp;" "&amp;Transactions!$G419,)</f>
        <v/>
      </c>
    </row>
    <row r="420">
      <c r="A420" s="55" t="str">
        <f>IF(Transactions!$B420&lt;&gt;"",DATE(LEFT(Transactions!$B420,4),MID(Transactions!$B420,6,2),MID(Transactions!$B420,9,2)),)</f>
        <v/>
      </c>
      <c r="B420" s="56" t="str">
        <f>Transactions!$C420</f>
        <v/>
      </c>
      <c r="C420" s="51" t="str">
        <f t="array" ref="C420">IFERROR(INDEX(Portfolio!$B:$B, MATCH($B420, Portfolio!$A:$A, 0)),Transactions!$B420)</f>
        <v/>
      </c>
      <c r="D420" s="51" t="str">
        <f>IF($B420&lt;&gt;"",Transactions!$E420*1,)</f>
        <v/>
      </c>
      <c r="E420" s="51" t="str">
        <f>IF($B420&lt;&gt;"",Transactions!$F420*1,)</f>
        <v/>
      </c>
      <c r="F420" s="42" t="str">
        <f>IF(Transactions!$G420&lt;&gt;"",Transactions!$H420&amp;" "&amp;Transactions!$G420,)</f>
        <v/>
      </c>
    </row>
    <row r="421">
      <c r="A421" s="55" t="str">
        <f>IF(Transactions!$B421&lt;&gt;"",DATE(LEFT(Transactions!$B421,4),MID(Transactions!$B421,6,2),MID(Transactions!$B421,9,2)),)</f>
        <v/>
      </c>
      <c r="B421" s="56" t="str">
        <f>Transactions!$C421</f>
        <v/>
      </c>
      <c r="C421" s="51" t="str">
        <f t="array" ref="C421">IFERROR(INDEX(Portfolio!$B:$B, MATCH($B421, Portfolio!$A:$A, 0)),Transactions!$B421)</f>
        <v/>
      </c>
      <c r="D421" s="51" t="str">
        <f>IF($B421&lt;&gt;"",Transactions!$E421*1,)</f>
        <v/>
      </c>
      <c r="E421" s="51" t="str">
        <f>IF($B421&lt;&gt;"",Transactions!$F421*1,)</f>
        <v/>
      </c>
      <c r="F421" s="42" t="str">
        <f>IF(Transactions!$G421&lt;&gt;"",Transactions!$H421&amp;" "&amp;Transactions!$G421,)</f>
        <v/>
      </c>
    </row>
    <row r="422">
      <c r="A422" s="55" t="str">
        <f>IF(Transactions!$B422&lt;&gt;"",DATE(LEFT(Transactions!$B422,4),MID(Transactions!$B422,6,2),MID(Transactions!$B422,9,2)),)</f>
        <v/>
      </c>
      <c r="B422" s="56" t="str">
        <f>Transactions!$C422</f>
        <v/>
      </c>
      <c r="C422" s="51" t="str">
        <f t="array" ref="C422">IFERROR(INDEX(Portfolio!$B:$B, MATCH($B422, Portfolio!$A:$A, 0)),Transactions!$B422)</f>
        <v/>
      </c>
      <c r="D422" s="51" t="str">
        <f>IF($B422&lt;&gt;"",Transactions!$E422*1,)</f>
        <v/>
      </c>
      <c r="E422" s="51" t="str">
        <f>IF($B422&lt;&gt;"",Transactions!$F422*1,)</f>
        <v/>
      </c>
      <c r="F422" s="42" t="str">
        <f>IF(Transactions!$G422&lt;&gt;"",Transactions!$H422&amp;" "&amp;Transactions!$G422,)</f>
        <v/>
      </c>
    </row>
    <row r="423">
      <c r="A423" s="55" t="str">
        <f>IF(Transactions!$B423&lt;&gt;"",DATE(LEFT(Transactions!$B423,4),MID(Transactions!$B423,6,2),MID(Transactions!$B423,9,2)),)</f>
        <v/>
      </c>
      <c r="B423" s="56" t="str">
        <f>Transactions!$C423</f>
        <v/>
      </c>
      <c r="C423" s="51" t="str">
        <f t="array" ref="C423">IFERROR(INDEX(Portfolio!$B:$B, MATCH($B423, Portfolio!$A:$A, 0)),Transactions!$B423)</f>
        <v/>
      </c>
      <c r="D423" s="51" t="str">
        <f>IF($B423&lt;&gt;"",Transactions!$E423*1,)</f>
        <v/>
      </c>
      <c r="E423" s="51" t="str">
        <f>IF($B423&lt;&gt;"",Transactions!$F423*1,)</f>
        <v/>
      </c>
      <c r="F423" s="42" t="str">
        <f>IF(Transactions!$G423&lt;&gt;"",Transactions!$H423&amp;" "&amp;Transactions!$G423,)</f>
        <v/>
      </c>
    </row>
    <row r="424">
      <c r="A424" s="55" t="str">
        <f>IF(Transactions!$B424&lt;&gt;"",DATE(LEFT(Transactions!$B424,4),MID(Transactions!$B424,6,2),MID(Transactions!$B424,9,2)),)</f>
        <v/>
      </c>
      <c r="B424" s="56" t="str">
        <f>Transactions!$C424</f>
        <v/>
      </c>
      <c r="C424" s="51" t="str">
        <f t="array" ref="C424">IFERROR(INDEX(Portfolio!$B:$B, MATCH($B424, Portfolio!$A:$A, 0)),Transactions!$B424)</f>
        <v/>
      </c>
      <c r="D424" s="51" t="str">
        <f>IF($B424&lt;&gt;"",Transactions!$E424*1,)</f>
        <v/>
      </c>
      <c r="E424" s="51" t="str">
        <f>IF($B424&lt;&gt;"",Transactions!$F424*1,)</f>
        <v/>
      </c>
      <c r="F424" s="42" t="str">
        <f>IF(Transactions!$G424&lt;&gt;"",Transactions!$H424&amp;" "&amp;Transactions!$G424,)</f>
        <v/>
      </c>
    </row>
    <row r="425">
      <c r="A425" s="55" t="str">
        <f>IF(Transactions!$B425&lt;&gt;"",DATE(LEFT(Transactions!$B425,4),MID(Transactions!$B425,6,2),MID(Transactions!$B425,9,2)),)</f>
        <v/>
      </c>
      <c r="B425" s="56" t="str">
        <f>Transactions!$C425</f>
        <v/>
      </c>
      <c r="C425" s="51" t="str">
        <f t="array" ref="C425">IFERROR(INDEX(Portfolio!$B:$B, MATCH($B425, Portfolio!$A:$A, 0)),Transactions!$B425)</f>
        <v/>
      </c>
      <c r="D425" s="51" t="str">
        <f>IF($B425&lt;&gt;"",Transactions!$E425*1,)</f>
        <v/>
      </c>
      <c r="E425" s="51" t="str">
        <f>IF($B425&lt;&gt;"",Transactions!$F425*1,)</f>
        <v/>
      </c>
      <c r="F425" s="42" t="str">
        <f>IF(Transactions!$G425&lt;&gt;"",Transactions!$H425&amp;" "&amp;Transactions!$G425,)</f>
        <v/>
      </c>
    </row>
    <row r="426">
      <c r="A426" s="55" t="str">
        <f>IF(Transactions!$B426&lt;&gt;"",DATE(LEFT(Transactions!$B426,4),MID(Transactions!$B426,6,2),MID(Transactions!$B426,9,2)),)</f>
        <v/>
      </c>
      <c r="B426" s="56" t="str">
        <f>Transactions!$C426</f>
        <v/>
      </c>
      <c r="C426" s="51" t="str">
        <f t="array" ref="C426">IFERROR(INDEX(Portfolio!$B:$B, MATCH($B426, Portfolio!$A:$A, 0)),Transactions!$B426)</f>
        <v/>
      </c>
      <c r="D426" s="51" t="str">
        <f>IF($B426&lt;&gt;"",Transactions!$E426*1,)</f>
        <v/>
      </c>
      <c r="E426" s="51" t="str">
        <f>IF($B426&lt;&gt;"",Transactions!$F426*1,)</f>
        <v/>
      </c>
      <c r="F426" s="42" t="str">
        <f>IF(Transactions!$G426&lt;&gt;"",Transactions!$H426&amp;" "&amp;Transactions!$G426,)</f>
        <v/>
      </c>
    </row>
    <row r="427">
      <c r="A427" s="55" t="str">
        <f>IF(Transactions!$B427&lt;&gt;"",DATE(LEFT(Transactions!$B427,4),MID(Transactions!$B427,6,2),MID(Transactions!$B427,9,2)),)</f>
        <v/>
      </c>
      <c r="B427" s="56" t="str">
        <f>Transactions!$C427</f>
        <v/>
      </c>
      <c r="C427" s="51" t="str">
        <f t="array" ref="C427">IFERROR(INDEX(Portfolio!$B:$B, MATCH($B427, Portfolio!$A:$A, 0)),Transactions!$B427)</f>
        <v/>
      </c>
      <c r="D427" s="51" t="str">
        <f>IF($B427&lt;&gt;"",Transactions!$E427*1,)</f>
        <v/>
      </c>
      <c r="E427" s="51" t="str">
        <f>IF($B427&lt;&gt;"",Transactions!$F427*1,)</f>
        <v/>
      </c>
      <c r="F427" s="42" t="str">
        <f>IF(Transactions!$G427&lt;&gt;"",Transactions!$H427&amp;" "&amp;Transactions!$G427,)</f>
        <v/>
      </c>
    </row>
    <row r="428">
      <c r="A428" s="55" t="str">
        <f>IF(Transactions!$B428&lt;&gt;"",DATE(LEFT(Transactions!$B428,4),MID(Transactions!$B428,6,2),MID(Transactions!$B428,9,2)),)</f>
        <v/>
      </c>
      <c r="B428" s="56" t="str">
        <f>Transactions!$C428</f>
        <v/>
      </c>
      <c r="C428" s="51" t="str">
        <f t="array" ref="C428">IFERROR(INDEX(Portfolio!$B:$B, MATCH($B428, Portfolio!$A:$A, 0)),Transactions!$B428)</f>
        <v/>
      </c>
      <c r="D428" s="51" t="str">
        <f>IF($B428&lt;&gt;"",Transactions!$E428*1,)</f>
        <v/>
      </c>
      <c r="E428" s="51" t="str">
        <f>IF($B428&lt;&gt;"",Transactions!$F428*1,)</f>
        <v/>
      </c>
      <c r="F428" s="42" t="str">
        <f>IF(Transactions!$G428&lt;&gt;"",Transactions!$H428&amp;" "&amp;Transactions!$G428,)</f>
        <v/>
      </c>
    </row>
    <row r="429">
      <c r="A429" s="55" t="str">
        <f>IF(Transactions!$B429&lt;&gt;"",DATE(LEFT(Transactions!$B429,4),MID(Transactions!$B429,6,2),MID(Transactions!$B429,9,2)),)</f>
        <v/>
      </c>
      <c r="B429" s="56" t="str">
        <f>Transactions!$C429</f>
        <v/>
      </c>
      <c r="C429" s="51" t="str">
        <f t="array" ref="C429">IFERROR(INDEX(Portfolio!$B:$B, MATCH($B429, Portfolio!$A:$A, 0)),Transactions!$B429)</f>
        <v/>
      </c>
      <c r="D429" s="51" t="str">
        <f>IF($B429&lt;&gt;"",Transactions!$E429*1,)</f>
        <v/>
      </c>
      <c r="E429" s="51" t="str">
        <f>IF($B429&lt;&gt;"",Transactions!$F429*1,)</f>
        <v/>
      </c>
      <c r="F429" s="42" t="str">
        <f>IF(Transactions!$G429&lt;&gt;"",Transactions!$H429&amp;" "&amp;Transactions!$G429,)</f>
        <v/>
      </c>
    </row>
    <row r="430">
      <c r="A430" s="55" t="str">
        <f>IF(Transactions!$B430&lt;&gt;"",DATE(LEFT(Transactions!$B430,4),MID(Transactions!$B430,6,2),MID(Transactions!$B430,9,2)),)</f>
        <v/>
      </c>
      <c r="B430" s="56" t="str">
        <f>Transactions!$C430</f>
        <v/>
      </c>
      <c r="C430" s="51" t="str">
        <f t="array" ref="C430">IFERROR(INDEX(Portfolio!$B:$B, MATCH($B430, Portfolio!$A:$A, 0)),Transactions!$B430)</f>
        <v/>
      </c>
      <c r="D430" s="51" t="str">
        <f>IF($B430&lt;&gt;"",Transactions!$E430*1,)</f>
        <v/>
      </c>
      <c r="E430" s="51" t="str">
        <f>IF($B430&lt;&gt;"",Transactions!$F430*1,)</f>
        <v/>
      </c>
      <c r="F430" s="42" t="str">
        <f>IF(Transactions!$G430&lt;&gt;"",Transactions!$H430&amp;" "&amp;Transactions!$G430,)</f>
        <v/>
      </c>
    </row>
    <row r="431">
      <c r="A431" s="55" t="str">
        <f>IF(Transactions!$B431&lt;&gt;"",DATE(LEFT(Transactions!$B431,4),MID(Transactions!$B431,6,2),MID(Transactions!$B431,9,2)),)</f>
        <v/>
      </c>
      <c r="B431" s="56" t="str">
        <f>Transactions!$C431</f>
        <v/>
      </c>
      <c r="C431" s="51" t="str">
        <f t="array" ref="C431">IFERROR(INDEX(Portfolio!$B:$B, MATCH($B431, Portfolio!$A:$A, 0)),Transactions!$B431)</f>
        <v/>
      </c>
      <c r="D431" s="51" t="str">
        <f>IF($B431&lt;&gt;"",Transactions!$E431*1,)</f>
        <v/>
      </c>
      <c r="E431" s="51" t="str">
        <f>IF($B431&lt;&gt;"",Transactions!$F431*1,)</f>
        <v/>
      </c>
      <c r="F431" s="42" t="str">
        <f>IF(Transactions!$G431&lt;&gt;"",Transactions!$H431&amp;" "&amp;Transactions!$G431,)</f>
        <v/>
      </c>
    </row>
    <row r="432">
      <c r="A432" s="55" t="str">
        <f>IF(Transactions!$B432&lt;&gt;"",DATE(LEFT(Transactions!$B432,4),MID(Transactions!$B432,6,2),MID(Transactions!$B432,9,2)),)</f>
        <v/>
      </c>
      <c r="B432" s="56" t="str">
        <f>Transactions!$C432</f>
        <v/>
      </c>
      <c r="C432" s="51" t="str">
        <f t="array" ref="C432">IFERROR(INDEX(Portfolio!$B:$B, MATCH($B432, Portfolio!$A:$A, 0)),Transactions!$B432)</f>
        <v/>
      </c>
      <c r="D432" s="51" t="str">
        <f>IF($B432&lt;&gt;"",Transactions!$E432*1,)</f>
        <v/>
      </c>
      <c r="E432" s="51" t="str">
        <f>IF($B432&lt;&gt;"",Transactions!$F432*1,)</f>
        <v/>
      </c>
      <c r="F432" s="42" t="str">
        <f>IF(Transactions!$G432&lt;&gt;"",Transactions!$H432&amp;" "&amp;Transactions!$G432,)</f>
        <v/>
      </c>
    </row>
    <row r="433">
      <c r="A433" s="55" t="str">
        <f>IF(Transactions!$B433&lt;&gt;"",DATE(LEFT(Transactions!$B433,4),MID(Transactions!$B433,6,2),MID(Transactions!$B433,9,2)),)</f>
        <v/>
      </c>
      <c r="B433" s="56" t="str">
        <f>Transactions!$C433</f>
        <v/>
      </c>
      <c r="C433" s="51" t="str">
        <f t="array" ref="C433">IFERROR(INDEX(Portfolio!$B:$B, MATCH($B433, Portfolio!$A:$A, 0)),Transactions!$B433)</f>
        <v/>
      </c>
      <c r="D433" s="51" t="str">
        <f>IF($B433&lt;&gt;"",Transactions!$E433*1,)</f>
        <v/>
      </c>
      <c r="E433" s="51" t="str">
        <f>IF($B433&lt;&gt;"",Transactions!$F433*1,)</f>
        <v/>
      </c>
      <c r="F433" s="42" t="str">
        <f>IF(Transactions!$G433&lt;&gt;"",Transactions!$H433&amp;" "&amp;Transactions!$G433,)</f>
        <v/>
      </c>
    </row>
    <row r="434">
      <c r="A434" s="55" t="str">
        <f>IF(Transactions!$B434&lt;&gt;"",DATE(LEFT(Transactions!$B434,4),MID(Transactions!$B434,6,2),MID(Transactions!$B434,9,2)),)</f>
        <v/>
      </c>
      <c r="B434" s="56" t="str">
        <f>Transactions!$C434</f>
        <v/>
      </c>
      <c r="C434" s="51" t="str">
        <f t="array" ref="C434">IFERROR(INDEX(Portfolio!$B:$B, MATCH($B434, Portfolio!$A:$A, 0)),Transactions!$B434)</f>
        <v/>
      </c>
      <c r="D434" s="51" t="str">
        <f>IF($B434&lt;&gt;"",Transactions!$E434*1,)</f>
        <v/>
      </c>
      <c r="E434" s="51" t="str">
        <f>IF($B434&lt;&gt;"",Transactions!$F434*1,)</f>
        <v/>
      </c>
      <c r="F434" s="42" t="str">
        <f>IF(Transactions!$G434&lt;&gt;"",Transactions!$H434&amp;" "&amp;Transactions!$G434,)</f>
        <v/>
      </c>
    </row>
    <row r="435">
      <c r="A435" s="55" t="str">
        <f>IF(Transactions!$B435&lt;&gt;"",DATE(LEFT(Transactions!$B435,4),MID(Transactions!$B435,6,2),MID(Transactions!$B435,9,2)),)</f>
        <v/>
      </c>
      <c r="B435" s="56" t="str">
        <f>Transactions!$C435</f>
        <v/>
      </c>
      <c r="C435" s="51" t="str">
        <f t="array" ref="C435">IFERROR(INDEX(Portfolio!$B:$B, MATCH($B435, Portfolio!$A:$A, 0)),Transactions!$B435)</f>
        <v/>
      </c>
      <c r="D435" s="51" t="str">
        <f>IF($B435&lt;&gt;"",Transactions!$E435*1,)</f>
        <v/>
      </c>
      <c r="E435" s="51" t="str">
        <f>IF($B435&lt;&gt;"",Transactions!$F435*1,)</f>
        <v/>
      </c>
      <c r="F435" s="42" t="str">
        <f>IF(Transactions!$G435&lt;&gt;"",Transactions!$H435&amp;" "&amp;Transactions!$G435,)</f>
        <v/>
      </c>
    </row>
    <row r="436">
      <c r="A436" s="55" t="str">
        <f>IF(Transactions!$B436&lt;&gt;"",DATE(LEFT(Transactions!$B436,4),MID(Transactions!$B436,6,2),MID(Transactions!$B436,9,2)),)</f>
        <v/>
      </c>
      <c r="B436" s="56" t="str">
        <f>Transactions!$C436</f>
        <v/>
      </c>
      <c r="C436" s="51" t="str">
        <f t="array" ref="C436">IFERROR(INDEX(Portfolio!$B:$B, MATCH($B436, Portfolio!$A:$A, 0)),Transactions!$B436)</f>
        <v/>
      </c>
      <c r="D436" s="51" t="str">
        <f>IF($B436&lt;&gt;"",Transactions!$E436*1,)</f>
        <v/>
      </c>
      <c r="E436" s="51" t="str">
        <f>IF($B436&lt;&gt;"",Transactions!$F436*1,)</f>
        <v/>
      </c>
      <c r="F436" s="42" t="str">
        <f>IF(Transactions!$G436&lt;&gt;"",Transactions!$H436&amp;" "&amp;Transactions!$G436,)</f>
        <v/>
      </c>
    </row>
    <row r="437">
      <c r="A437" s="55" t="str">
        <f>IF(Transactions!$B437&lt;&gt;"",DATE(LEFT(Transactions!$B437,4),MID(Transactions!$B437,6,2),MID(Transactions!$B437,9,2)),)</f>
        <v/>
      </c>
      <c r="B437" s="56" t="str">
        <f>Transactions!$C437</f>
        <v/>
      </c>
      <c r="C437" s="51" t="str">
        <f t="array" ref="C437">IFERROR(INDEX(Portfolio!$B:$B, MATCH($B437, Portfolio!$A:$A, 0)),Transactions!$B437)</f>
        <v/>
      </c>
      <c r="D437" s="51" t="str">
        <f>IF($B437&lt;&gt;"",Transactions!$E437*1,)</f>
        <v/>
      </c>
      <c r="E437" s="51" t="str">
        <f>IF($B437&lt;&gt;"",Transactions!$F437*1,)</f>
        <v/>
      </c>
      <c r="F437" s="42" t="str">
        <f>IF(Transactions!$G437&lt;&gt;"",Transactions!$H437&amp;" "&amp;Transactions!$G437,)</f>
        <v/>
      </c>
    </row>
    <row r="438">
      <c r="A438" s="55" t="str">
        <f>IF(Transactions!$B438&lt;&gt;"",DATE(LEFT(Transactions!$B438,4),MID(Transactions!$B438,6,2),MID(Transactions!$B438,9,2)),)</f>
        <v/>
      </c>
      <c r="B438" s="56" t="str">
        <f>Transactions!$C438</f>
        <v/>
      </c>
      <c r="C438" s="51" t="str">
        <f t="array" ref="C438">IFERROR(INDEX(Portfolio!$B:$B, MATCH($B438, Portfolio!$A:$A, 0)),Transactions!$B438)</f>
        <v/>
      </c>
      <c r="D438" s="51" t="str">
        <f>IF($B438&lt;&gt;"",Transactions!$E438*1,)</f>
        <v/>
      </c>
      <c r="E438" s="51" t="str">
        <f>IF($B438&lt;&gt;"",Transactions!$F438*1,)</f>
        <v/>
      </c>
      <c r="F438" s="42" t="str">
        <f>IF(Transactions!$G438&lt;&gt;"",Transactions!$H438&amp;" "&amp;Transactions!$G438,)</f>
        <v/>
      </c>
    </row>
    <row r="439">
      <c r="A439" s="55" t="str">
        <f>IF(Transactions!$B439&lt;&gt;"",DATE(LEFT(Transactions!$B439,4),MID(Transactions!$B439,6,2),MID(Transactions!$B439,9,2)),)</f>
        <v/>
      </c>
      <c r="B439" s="56" t="str">
        <f>Transactions!$C439</f>
        <v/>
      </c>
      <c r="C439" s="51" t="str">
        <f t="array" ref="C439">IFERROR(INDEX(Portfolio!$B:$B, MATCH($B439, Portfolio!$A:$A, 0)),Transactions!$B439)</f>
        <v/>
      </c>
      <c r="D439" s="51" t="str">
        <f>IF($B439&lt;&gt;"",Transactions!$E439*1,)</f>
        <v/>
      </c>
      <c r="E439" s="51" t="str">
        <f>IF($B439&lt;&gt;"",Transactions!$F439*1,)</f>
        <v/>
      </c>
      <c r="F439" s="42" t="str">
        <f>IF(Transactions!$G439&lt;&gt;"",Transactions!$H439&amp;" "&amp;Transactions!$G439,)</f>
        <v/>
      </c>
    </row>
    <row r="440">
      <c r="A440" s="55" t="str">
        <f>IF(Transactions!$B440&lt;&gt;"",DATE(LEFT(Transactions!$B440,4),MID(Transactions!$B440,6,2),MID(Transactions!$B440,9,2)),)</f>
        <v/>
      </c>
      <c r="B440" s="56" t="str">
        <f>Transactions!$C440</f>
        <v/>
      </c>
      <c r="C440" s="51" t="str">
        <f t="array" ref="C440">IFERROR(INDEX(Portfolio!$B:$B, MATCH($B440, Portfolio!$A:$A, 0)),Transactions!$B440)</f>
        <v/>
      </c>
      <c r="D440" s="51" t="str">
        <f>IF($B440&lt;&gt;"",Transactions!$E440*1,)</f>
        <v/>
      </c>
      <c r="E440" s="51" t="str">
        <f>IF($B440&lt;&gt;"",Transactions!$F440*1,)</f>
        <v/>
      </c>
      <c r="F440" s="42" t="str">
        <f>IF(Transactions!$G440&lt;&gt;"",Transactions!$H440&amp;" "&amp;Transactions!$G440,)</f>
        <v/>
      </c>
    </row>
    <row r="441">
      <c r="A441" s="55" t="str">
        <f>IF(Transactions!$B441&lt;&gt;"",DATE(LEFT(Transactions!$B441,4),MID(Transactions!$B441,6,2),MID(Transactions!$B441,9,2)),)</f>
        <v/>
      </c>
      <c r="B441" s="56" t="str">
        <f>Transactions!$C441</f>
        <v/>
      </c>
      <c r="C441" s="51" t="str">
        <f t="array" ref="C441">IFERROR(INDEX(Portfolio!$B:$B, MATCH($B441, Portfolio!$A:$A, 0)),Transactions!$B441)</f>
        <v/>
      </c>
      <c r="D441" s="51" t="str">
        <f>IF($B441&lt;&gt;"",Transactions!$E441*1,)</f>
        <v/>
      </c>
      <c r="E441" s="51" t="str">
        <f>IF($B441&lt;&gt;"",Transactions!$F441*1,)</f>
        <v/>
      </c>
      <c r="F441" s="42" t="str">
        <f>IF(Transactions!$G441&lt;&gt;"",Transactions!$H441&amp;" "&amp;Transactions!$G441,)</f>
        <v/>
      </c>
    </row>
    <row r="442">
      <c r="A442" s="55" t="str">
        <f>IF(Transactions!$B442&lt;&gt;"",DATE(LEFT(Transactions!$B442,4),MID(Transactions!$B442,6,2),MID(Transactions!$B442,9,2)),)</f>
        <v/>
      </c>
      <c r="B442" s="56" t="str">
        <f>Transactions!$C442</f>
        <v/>
      </c>
      <c r="C442" s="51" t="str">
        <f t="array" ref="C442">IFERROR(INDEX(Portfolio!$B:$B, MATCH($B442, Portfolio!$A:$A, 0)),Transactions!$B442)</f>
        <v/>
      </c>
      <c r="D442" s="51" t="str">
        <f>IF($B442&lt;&gt;"",Transactions!$E442*1,)</f>
        <v/>
      </c>
      <c r="E442" s="51" t="str">
        <f>IF($B442&lt;&gt;"",Transactions!$F442*1,)</f>
        <v/>
      </c>
      <c r="F442" s="42" t="str">
        <f>IF(Transactions!$G442&lt;&gt;"",Transactions!$H442&amp;" "&amp;Transactions!$G442,)</f>
        <v/>
      </c>
    </row>
    <row r="443">
      <c r="A443" s="55" t="str">
        <f>IF(Transactions!$B443&lt;&gt;"",DATE(LEFT(Transactions!$B443,4),MID(Transactions!$B443,6,2),MID(Transactions!$B443,9,2)),)</f>
        <v/>
      </c>
      <c r="B443" s="56" t="str">
        <f>Transactions!$C443</f>
        <v/>
      </c>
      <c r="C443" s="51" t="str">
        <f t="array" ref="C443">IFERROR(INDEX(Portfolio!$B:$B, MATCH($B443, Portfolio!$A:$A, 0)),Transactions!$B443)</f>
        <v/>
      </c>
      <c r="D443" s="51" t="str">
        <f>IF($B443&lt;&gt;"",Transactions!$E443*1,)</f>
        <v/>
      </c>
      <c r="E443" s="51" t="str">
        <f>IF($B443&lt;&gt;"",Transactions!$F443*1,)</f>
        <v/>
      </c>
      <c r="F443" s="42" t="str">
        <f>IF(Transactions!$G443&lt;&gt;"",Transactions!$H443&amp;" "&amp;Transactions!$G443,)</f>
        <v/>
      </c>
    </row>
    <row r="444">
      <c r="A444" s="55" t="str">
        <f>IF(Transactions!$B444&lt;&gt;"",DATE(LEFT(Transactions!$B444,4),MID(Transactions!$B444,6,2),MID(Transactions!$B444,9,2)),)</f>
        <v/>
      </c>
      <c r="B444" s="56" t="str">
        <f>Transactions!$C444</f>
        <v/>
      </c>
      <c r="C444" s="51" t="str">
        <f t="array" ref="C444">IFERROR(INDEX(Portfolio!$B:$B, MATCH($B444, Portfolio!$A:$A, 0)),Transactions!$B444)</f>
        <v/>
      </c>
      <c r="D444" s="51" t="str">
        <f>IF($B444&lt;&gt;"",Transactions!$E444*1,)</f>
        <v/>
      </c>
      <c r="E444" s="51" t="str">
        <f>IF($B444&lt;&gt;"",Transactions!$F444*1,)</f>
        <v/>
      </c>
      <c r="F444" s="42" t="str">
        <f>IF(Transactions!$G444&lt;&gt;"",Transactions!$H444&amp;" "&amp;Transactions!$G444,)</f>
        <v/>
      </c>
    </row>
    <row r="445">
      <c r="A445" s="55" t="str">
        <f>IF(Transactions!$B445&lt;&gt;"",DATE(LEFT(Transactions!$B445,4),MID(Transactions!$B445,6,2),MID(Transactions!$B445,9,2)),)</f>
        <v/>
      </c>
      <c r="B445" s="56" t="str">
        <f>Transactions!$C445</f>
        <v/>
      </c>
      <c r="C445" s="51" t="str">
        <f t="array" ref="C445">IFERROR(INDEX(Portfolio!$B:$B, MATCH($B445, Portfolio!$A:$A, 0)),Transactions!$B445)</f>
        <v/>
      </c>
      <c r="D445" s="51" t="str">
        <f>IF($B445&lt;&gt;"",Transactions!$E445*1,)</f>
        <v/>
      </c>
      <c r="E445" s="51" t="str">
        <f>IF($B445&lt;&gt;"",Transactions!$F445*1,)</f>
        <v/>
      </c>
      <c r="F445" s="42" t="str">
        <f>IF(Transactions!$G445&lt;&gt;"",Transactions!$H445&amp;" "&amp;Transactions!$G445,)</f>
        <v/>
      </c>
    </row>
    <row r="446">
      <c r="A446" s="55" t="str">
        <f>IF(Transactions!$B446&lt;&gt;"",DATE(LEFT(Transactions!$B446,4),MID(Transactions!$B446,6,2),MID(Transactions!$B446,9,2)),)</f>
        <v/>
      </c>
      <c r="B446" s="56" t="str">
        <f>Transactions!$C446</f>
        <v/>
      </c>
      <c r="C446" s="51" t="str">
        <f t="array" ref="C446">IFERROR(INDEX(Portfolio!$B:$B, MATCH($B446, Portfolio!$A:$A, 0)),Transactions!$B446)</f>
        <v/>
      </c>
      <c r="D446" s="51" t="str">
        <f>IF($B446&lt;&gt;"",Transactions!$E446*1,)</f>
        <v/>
      </c>
      <c r="E446" s="51" t="str">
        <f>IF($B446&lt;&gt;"",Transactions!$F446*1,)</f>
        <v/>
      </c>
      <c r="F446" s="42" t="str">
        <f>IF(Transactions!$G446&lt;&gt;"",Transactions!$H446&amp;" "&amp;Transactions!$G446,)</f>
        <v/>
      </c>
    </row>
    <row r="447">
      <c r="A447" s="55" t="str">
        <f>IF(Transactions!$B447&lt;&gt;"",DATE(LEFT(Transactions!$B447,4),MID(Transactions!$B447,6,2),MID(Transactions!$B447,9,2)),)</f>
        <v/>
      </c>
      <c r="B447" s="56" t="str">
        <f>Transactions!$C447</f>
        <v/>
      </c>
      <c r="C447" s="51" t="str">
        <f t="array" ref="C447">IFERROR(INDEX(Portfolio!$B:$B, MATCH($B447, Portfolio!$A:$A, 0)),Transactions!$B447)</f>
        <v/>
      </c>
      <c r="D447" s="51" t="str">
        <f>IF($B447&lt;&gt;"",Transactions!$E447*1,)</f>
        <v/>
      </c>
      <c r="E447" s="51" t="str">
        <f>IF($B447&lt;&gt;"",Transactions!$F447*1,)</f>
        <v/>
      </c>
      <c r="F447" s="42" t="str">
        <f>IF(Transactions!$G447&lt;&gt;"",Transactions!$H447&amp;" "&amp;Transactions!$G447,)</f>
        <v/>
      </c>
    </row>
    <row r="448">
      <c r="A448" s="55" t="str">
        <f>IF(Transactions!$B448&lt;&gt;"",DATE(LEFT(Transactions!$B448,4),MID(Transactions!$B448,6,2),MID(Transactions!$B448,9,2)),)</f>
        <v/>
      </c>
      <c r="B448" s="56" t="str">
        <f>Transactions!$C448</f>
        <v/>
      </c>
      <c r="C448" s="51" t="str">
        <f t="array" ref="C448">IFERROR(INDEX(Portfolio!$B:$B, MATCH($B448, Portfolio!$A:$A, 0)),Transactions!$B448)</f>
        <v/>
      </c>
      <c r="D448" s="51" t="str">
        <f>IF($B448&lt;&gt;"",Transactions!$E448*1,)</f>
        <v/>
      </c>
      <c r="E448" s="51" t="str">
        <f>IF($B448&lt;&gt;"",Transactions!$F448*1,)</f>
        <v/>
      </c>
      <c r="F448" s="42" t="str">
        <f>IF(Transactions!$G448&lt;&gt;"",Transactions!$H448&amp;" "&amp;Transactions!$G448,)</f>
        <v/>
      </c>
    </row>
    <row r="449">
      <c r="A449" s="55" t="str">
        <f>IF(Transactions!$B449&lt;&gt;"",DATE(LEFT(Transactions!$B449,4),MID(Transactions!$B449,6,2),MID(Transactions!$B449,9,2)),)</f>
        <v/>
      </c>
      <c r="B449" s="56" t="str">
        <f>Transactions!$C449</f>
        <v/>
      </c>
      <c r="C449" s="51" t="str">
        <f t="array" ref="C449">IFERROR(INDEX(Portfolio!$B:$B, MATCH($B449, Portfolio!$A:$A, 0)),Transactions!$B449)</f>
        <v/>
      </c>
      <c r="D449" s="51" t="str">
        <f>IF($B449&lt;&gt;"",Transactions!$E449*1,)</f>
        <v/>
      </c>
      <c r="E449" s="51" t="str">
        <f>IF($B449&lt;&gt;"",Transactions!$F449*1,)</f>
        <v/>
      </c>
      <c r="F449" s="42" t="str">
        <f>IF(Transactions!$G449&lt;&gt;"",Transactions!$H449&amp;" "&amp;Transactions!$G449,)</f>
        <v/>
      </c>
    </row>
    <row r="450">
      <c r="A450" s="55" t="str">
        <f>IF(Transactions!$B450&lt;&gt;"",DATE(LEFT(Transactions!$B450,4),MID(Transactions!$B450,6,2),MID(Transactions!$B450,9,2)),)</f>
        <v/>
      </c>
      <c r="B450" s="56" t="str">
        <f>Transactions!$C450</f>
        <v/>
      </c>
      <c r="C450" s="51" t="str">
        <f t="array" ref="C450">IFERROR(INDEX(Portfolio!$B:$B, MATCH($B450, Portfolio!$A:$A, 0)),Transactions!$B450)</f>
        <v/>
      </c>
      <c r="D450" s="51" t="str">
        <f>IF($B450&lt;&gt;"",Transactions!$E450*1,)</f>
        <v/>
      </c>
      <c r="E450" s="51" t="str">
        <f>IF($B450&lt;&gt;"",Transactions!$F450*1,)</f>
        <v/>
      </c>
      <c r="F450" s="42" t="str">
        <f>IF(Transactions!$G450&lt;&gt;"",Transactions!$H450&amp;" "&amp;Transactions!$G450,)</f>
        <v/>
      </c>
    </row>
    <row r="451">
      <c r="A451" s="55" t="str">
        <f>IF(Transactions!$B451&lt;&gt;"",DATE(LEFT(Transactions!$B451,4),MID(Transactions!$B451,6,2),MID(Transactions!$B451,9,2)),)</f>
        <v/>
      </c>
      <c r="B451" s="56" t="str">
        <f>Transactions!$C451</f>
        <v/>
      </c>
      <c r="C451" s="51" t="str">
        <f t="array" ref="C451">IFERROR(INDEX(Portfolio!$B:$B, MATCH($B451, Portfolio!$A:$A, 0)),Transactions!$B451)</f>
        <v/>
      </c>
      <c r="D451" s="51" t="str">
        <f>IF($B451&lt;&gt;"",Transactions!$E451*1,)</f>
        <v/>
      </c>
      <c r="E451" s="51" t="str">
        <f>IF($B451&lt;&gt;"",Transactions!$F451*1,)</f>
        <v/>
      </c>
      <c r="F451" s="42" t="str">
        <f>IF(Transactions!$G451&lt;&gt;"",Transactions!$H451&amp;" "&amp;Transactions!$G451,)</f>
        <v/>
      </c>
    </row>
    <row r="452">
      <c r="A452" s="55" t="str">
        <f>IF(Transactions!$B452&lt;&gt;"",DATE(LEFT(Transactions!$B452,4),MID(Transactions!$B452,6,2),MID(Transactions!$B452,9,2)),)</f>
        <v/>
      </c>
      <c r="B452" s="56" t="str">
        <f>Transactions!$C452</f>
        <v/>
      </c>
      <c r="C452" s="51" t="str">
        <f t="array" ref="C452">IFERROR(INDEX(Portfolio!$B:$B, MATCH($B452, Portfolio!$A:$A, 0)),Transactions!$B452)</f>
        <v/>
      </c>
      <c r="D452" s="51" t="str">
        <f>IF($B452&lt;&gt;"",Transactions!$E452*1,)</f>
        <v/>
      </c>
      <c r="E452" s="51" t="str">
        <f>IF($B452&lt;&gt;"",Transactions!$F452*1,)</f>
        <v/>
      </c>
      <c r="F452" s="42" t="str">
        <f>IF(Transactions!$G452&lt;&gt;"",Transactions!$H452&amp;" "&amp;Transactions!$G452,)</f>
        <v/>
      </c>
    </row>
    <row r="453">
      <c r="A453" s="55" t="str">
        <f>IF(Transactions!$B453&lt;&gt;"",DATE(LEFT(Transactions!$B453,4),MID(Transactions!$B453,6,2),MID(Transactions!$B453,9,2)),)</f>
        <v/>
      </c>
      <c r="B453" s="56" t="str">
        <f>Transactions!$C453</f>
        <v/>
      </c>
      <c r="C453" s="51" t="str">
        <f t="array" ref="C453">IFERROR(INDEX(Portfolio!$B:$B, MATCH($B453, Portfolio!$A:$A, 0)),Transactions!$B453)</f>
        <v/>
      </c>
      <c r="D453" s="51" t="str">
        <f>IF($B453&lt;&gt;"",Transactions!$E453*1,)</f>
        <v/>
      </c>
      <c r="E453" s="51" t="str">
        <f>IF($B453&lt;&gt;"",Transactions!$F453*1,)</f>
        <v/>
      </c>
      <c r="F453" s="42" t="str">
        <f>IF(Transactions!$G453&lt;&gt;"",Transactions!$H453&amp;" "&amp;Transactions!$G453,)</f>
        <v/>
      </c>
    </row>
    <row r="454">
      <c r="A454" s="55" t="str">
        <f>IF(Transactions!$B454&lt;&gt;"",DATE(LEFT(Transactions!$B454,4),MID(Transactions!$B454,6,2),MID(Transactions!$B454,9,2)),)</f>
        <v/>
      </c>
      <c r="B454" s="56" t="str">
        <f>Transactions!$C454</f>
        <v/>
      </c>
      <c r="C454" s="51" t="str">
        <f t="array" ref="C454">IFERROR(INDEX(Portfolio!$B:$B, MATCH($B454, Portfolio!$A:$A, 0)),Transactions!$B454)</f>
        <v/>
      </c>
      <c r="D454" s="51" t="str">
        <f>IF($B454&lt;&gt;"",Transactions!$E454*1,)</f>
        <v/>
      </c>
      <c r="E454" s="51" t="str">
        <f>IF($B454&lt;&gt;"",Transactions!$F454*1,)</f>
        <v/>
      </c>
      <c r="F454" s="42" t="str">
        <f>IF(Transactions!$G454&lt;&gt;"",Transactions!$H454&amp;" "&amp;Transactions!$G454,)</f>
        <v/>
      </c>
    </row>
    <row r="455">
      <c r="A455" s="55" t="str">
        <f>IF(Transactions!$B455&lt;&gt;"",DATE(LEFT(Transactions!$B455,4),MID(Transactions!$B455,6,2),MID(Transactions!$B455,9,2)),)</f>
        <v/>
      </c>
      <c r="B455" s="56" t="str">
        <f>Transactions!$C455</f>
        <v/>
      </c>
      <c r="C455" s="51" t="str">
        <f t="array" ref="C455">IFERROR(INDEX(Portfolio!$B:$B, MATCH($B455, Portfolio!$A:$A, 0)),Transactions!$B455)</f>
        <v/>
      </c>
      <c r="D455" s="51" t="str">
        <f>IF($B455&lt;&gt;"",Transactions!$E455*1,)</f>
        <v/>
      </c>
      <c r="E455" s="51" t="str">
        <f>IF($B455&lt;&gt;"",Transactions!$F455*1,)</f>
        <v/>
      </c>
      <c r="F455" s="42" t="str">
        <f>IF(Transactions!$G455&lt;&gt;"",Transactions!$H455&amp;" "&amp;Transactions!$G455,)</f>
        <v/>
      </c>
    </row>
    <row r="456">
      <c r="A456" s="55" t="str">
        <f>IF(Transactions!$B456&lt;&gt;"",DATE(LEFT(Transactions!$B456,4),MID(Transactions!$B456,6,2),MID(Transactions!$B456,9,2)),)</f>
        <v/>
      </c>
      <c r="B456" s="56" t="str">
        <f>Transactions!$C456</f>
        <v/>
      </c>
      <c r="C456" s="51" t="str">
        <f t="array" ref="C456">IFERROR(INDEX(Portfolio!$B:$B, MATCH($B456, Portfolio!$A:$A, 0)),Transactions!$B456)</f>
        <v/>
      </c>
      <c r="D456" s="51" t="str">
        <f>IF($B456&lt;&gt;"",Transactions!$E456*1,)</f>
        <v/>
      </c>
      <c r="E456" s="51" t="str">
        <f>IF($B456&lt;&gt;"",Transactions!$F456*1,)</f>
        <v/>
      </c>
      <c r="F456" s="42" t="str">
        <f>IF(Transactions!$G456&lt;&gt;"",Transactions!$H456&amp;" "&amp;Transactions!$G456,)</f>
        <v/>
      </c>
    </row>
    <row r="457">
      <c r="A457" s="55" t="str">
        <f>IF(Transactions!$B457&lt;&gt;"",DATE(LEFT(Transactions!$B457,4),MID(Transactions!$B457,6,2),MID(Transactions!$B457,9,2)),)</f>
        <v/>
      </c>
      <c r="B457" s="56" t="str">
        <f>Transactions!$C457</f>
        <v/>
      </c>
      <c r="C457" s="51" t="str">
        <f t="array" ref="C457">IFERROR(INDEX(Portfolio!$B:$B, MATCH($B457, Portfolio!$A:$A, 0)),Transactions!$B457)</f>
        <v/>
      </c>
      <c r="D457" s="51" t="str">
        <f>IF($B457&lt;&gt;"",Transactions!$E457*1,)</f>
        <v/>
      </c>
      <c r="E457" s="51" t="str">
        <f>IF($B457&lt;&gt;"",Transactions!$F457*1,)</f>
        <v/>
      </c>
      <c r="F457" s="42" t="str">
        <f>IF(Transactions!$G457&lt;&gt;"",Transactions!$H457&amp;" "&amp;Transactions!$G457,)</f>
        <v/>
      </c>
    </row>
    <row r="458">
      <c r="A458" s="55" t="str">
        <f>IF(Transactions!$B458&lt;&gt;"",DATE(LEFT(Transactions!$B458,4),MID(Transactions!$B458,6,2),MID(Transactions!$B458,9,2)),)</f>
        <v/>
      </c>
      <c r="B458" s="56" t="str">
        <f>Transactions!$C458</f>
        <v/>
      </c>
      <c r="C458" s="51" t="str">
        <f t="array" ref="C458">IFERROR(INDEX(Portfolio!$B:$B, MATCH($B458, Portfolio!$A:$A, 0)),Transactions!$B458)</f>
        <v/>
      </c>
      <c r="D458" s="51" t="str">
        <f>IF($B458&lt;&gt;"",Transactions!$E458*1,)</f>
        <v/>
      </c>
      <c r="E458" s="51" t="str">
        <f>IF($B458&lt;&gt;"",Transactions!$F458*1,)</f>
        <v/>
      </c>
      <c r="F458" s="42" t="str">
        <f>IF(Transactions!$G458&lt;&gt;"",Transactions!$H458&amp;" "&amp;Transactions!$G458,)</f>
        <v/>
      </c>
    </row>
    <row r="459">
      <c r="A459" s="55" t="str">
        <f>IF(Transactions!$B459&lt;&gt;"",DATE(LEFT(Transactions!$B459,4),MID(Transactions!$B459,6,2),MID(Transactions!$B459,9,2)),)</f>
        <v/>
      </c>
      <c r="B459" s="56" t="str">
        <f>Transactions!$C459</f>
        <v/>
      </c>
      <c r="C459" s="51" t="str">
        <f t="array" ref="C459">IFERROR(INDEX(Portfolio!$B:$B, MATCH($B459, Portfolio!$A:$A, 0)),Transactions!$B459)</f>
        <v/>
      </c>
      <c r="D459" s="51" t="str">
        <f>IF($B459&lt;&gt;"",Transactions!$E459*1,)</f>
        <v/>
      </c>
      <c r="E459" s="51" t="str">
        <f>IF($B459&lt;&gt;"",Transactions!$F459*1,)</f>
        <v/>
      </c>
      <c r="F459" s="42" t="str">
        <f>IF(Transactions!$G459&lt;&gt;"",Transactions!$H459&amp;" "&amp;Transactions!$G459,)</f>
        <v/>
      </c>
    </row>
    <row r="460">
      <c r="A460" s="55" t="str">
        <f>IF(Transactions!$B460&lt;&gt;"",DATE(LEFT(Transactions!$B460,4),MID(Transactions!$B460,6,2),MID(Transactions!$B460,9,2)),)</f>
        <v/>
      </c>
      <c r="B460" s="56" t="str">
        <f>Transactions!$C460</f>
        <v/>
      </c>
      <c r="C460" s="51" t="str">
        <f t="array" ref="C460">IFERROR(INDEX(Portfolio!$B:$B, MATCH($B460, Portfolio!$A:$A, 0)),Transactions!$B460)</f>
        <v/>
      </c>
      <c r="D460" s="51" t="str">
        <f>IF($B460&lt;&gt;"",Transactions!$E460*1,)</f>
        <v/>
      </c>
      <c r="E460" s="51" t="str">
        <f>IF($B460&lt;&gt;"",Transactions!$F460*1,)</f>
        <v/>
      </c>
      <c r="F460" s="42" t="str">
        <f>IF(Transactions!$G460&lt;&gt;"",Transactions!$H460&amp;" "&amp;Transactions!$G460,)</f>
        <v/>
      </c>
    </row>
    <row r="461">
      <c r="A461" s="55" t="str">
        <f>IF(Transactions!$B461&lt;&gt;"",DATE(LEFT(Transactions!$B461,4),MID(Transactions!$B461,6,2),MID(Transactions!$B461,9,2)),)</f>
        <v/>
      </c>
      <c r="B461" s="56" t="str">
        <f>Transactions!$C461</f>
        <v/>
      </c>
      <c r="C461" s="51" t="str">
        <f t="array" ref="C461">IFERROR(INDEX(Portfolio!$B:$B, MATCH($B461, Portfolio!$A:$A, 0)),Transactions!$B461)</f>
        <v/>
      </c>
      <c r="D461" s="51" t="str">
        <f>IF($B461&lt;&gt;"",Transactions!$E461*1,)</f>
        <v/>
      </c>
      <c r="E461" s="51" t="str">
        <f>IF($B461&lt;&gt;"",Transactions!$F461*1,)</f>
        <v/>
      </c>
      <c r="F461" s="42" t="str">
        <f>IF(Transactions!$G461&lt;&gt;"",Transactions!$H461&amp;" "&amp;Transactions!$G461,)</f>
        <v/>
      </c>
    </row>
    <row r="462">
      <c r="A462" s="55" t="str">
        <f>IF(Transactions!$B462&lt;&gt;"",DATE(LEFT(Transactions!$B462,4),MID(Transactions!$B462,6,2),MID(Transactions!$B462,9,2)),)</f>
        <v/>
      </c>
      <c r="B462" s="56" t="str">
        <f>Transactions!$C462</f>
        <v/>
      </c>
      <c r="C462" s="51" t="str">
        <f t="array" ref="C462">IFERROR(INDEX(Portfolio!$B:$B, MATCH($B462, Portfolio!$A:$A, 0)),Transactions!$B462)</f>
        <v/>
      </c>
      <c r="D462" s="51" t="str">
        <f>IF($B462&lt;&gt;"",Transactions!$E462*1,)</f>
        <v/>
      </c>
      <c r="E462" s="51" t="str">
        <f>IF($B462&lt;&gt;"",Transactions!$F462*1,)</f>
        <v/>
      </c>
      <c r="F462" s="42" t="str">
        <f>IF(Transactions!$G462&lt;&gt;"",Transactions!$H462&amp;" "&amp;Transactions!$G462,)</f>
        <v/>
      </c>
    </row>
    <row r="463">
      <c r="A463" s="55" t="str">
        <f>IF(Transactions!$B463&lt;&gt;"",DATE(LEFT(Transactions!$B463,4),MID(Transactions!$B463,6,2),MID(Transactions!$B463,9,2)),)</f>
        <v/>
      </c>
      <c r="B463" s="56" t="str">
        <f>Transactions!$C463</f>
        <v/>
      </c>
      <c r="C463" s="51" t="str">
        <f t="array" ref="C463">IFERROR(INDEX(Portfolio!$B:$B, MATCH($B463, Portfolio!$A:$A, 0)),Transactions!$B463)</f>
        <v/>
      </c>
      <c r="D463" s="51" t="str">
        <f>IF($B463&lt;&gt;"",Transactions!$E463*1,)</f>
        <v/>
      </c>
      <c r="E463" s="51" t="str">
        <f>IF($B463&lt;&gt;"",Transactions!$F463*1,)</f>
        <v/>
      </c>
      <c r="F463" s="42" t="str">
        <f>IF(Transactions!$G463&lt;&gt;"",Transactions!$H463&amp;" "&amp;Transactions!$G463,)</f>
        <v/>
      </c>
    </row>
    <row r="464">
      <c r="A464" s="55" t="str">
        <f>IF(Transactions!$B464&lt;&gt;"",DATE(LEFT(Transactions!$B464,4),MID(Transactions!$B464,6,2),MID(Transactions!$B464,9,2)),)</f>
        <v/>
      </c>
      <c r="B464" s="56" t="str">
        <f>Transactions!$C464</f>
        <v/>
      </c>
      <c r="C464" s="51" t="str">
        <f t="array" ref="C464">IFERROR(INDEX(Portfolio!$B:$B, MATCH($B464, Portfolio!$A:$A, 0)),Transactions!$B464)</f>
        <v/>
      </c>
      <c r="D464" s="51" t="str">
        <f>IF($B464&lt;&gt;"",Transactions!$E464*1,)</f>
        <v/>
      </c>
      <c r="E464" s="51" t="str">
        <f>IF($B464&lt;&gt;"",Transactions!$F464*1,)</f>
        <v/>
      </c>
      <c r="F464" s="42" t="str">
        <f>IF(Transactions!$G464&lt;&gt;"",Transactions!$H464&amp;" "&amp;Transactions!$G464,)</f>
        <v/>
      </c>
    </row>
    <row r="465">
      <c r="A465" s="55" t="str">
        <f>IF(Transactions!$B465&lt;&gt;"",DATE(LEFT(Transactions!$B465,4),MID(Transactions!$B465,6,2),MID(Transactions!$B465,9,2)),)</f>
        <v/>
      </c>
      <c r="B465" s="56" t="str">
        <f>Transactions!$C465</f>
        <v/>
      </c>
      <c r="C465" s="51" t="str">
        <f t="array" ref="C465">IFERROR(INDEX(Portfolio!$B:$B, MATCH($B465, Portfolio!$A:$A, 0)),Transactions!$B465)</f>
        <v/>
      </c>
      <c r="D465" s="51" t="str">
        <f>IF($B465&lt;&gt;"",Transactions!$E465*1,)</f>
        <v/>
      </c>
      <c r="E465" s="51" t="str">
        <f>IF($B465&lt;&gt;"",Transactions!$F465*1,)</f>
        <v/>
      </c>
      <c r="F465" s="42" t="str">
        <f>IF(Transactions!$G465&lt;&gt;"",Transactions!$H465&amp;" "&amp;Transactions!$G465,)</f>
        <v/>
      </c>
    </row>
    <row r="466">
      <c r="A466" s="55" t="str">
        <f>IF(Transactions!$B466&lt;&gt;"",DATE(LEFT(Transactions!$B466,4),MID(Transactions!$B466,6,2),MID(Transactions!$B466,9,2)),)</f>
        <v/>
      </c>
      <c r="B466" s="56" t="str">
        <f>Transactions!$C466</f>
        <v/>
      </c>
      <c r="C466" s="51" t="str">
        <f t="array" ref="C466">IFERROR(INDEX(Portfolio!$B:$B, MATCH($B466, Portfolio!$A:$A, 0)),Transactions!$B466)</f>
        <v/>
      </c>
      <c r="D466" s="51" t="str">
        <f>IF($B466&lt;&gt;"",Transactions!$E466*1,)</f>
        <v/>
      </c>
      <c r="E466" s="51" t="str">
        <f>IF($B466&lt;&gt;"",Transactions!$F466*1,)</f>
        <v/>
      </c>
      <c r="F466" s="42" t="str">
        <f>IF(Transactions!$G466&lt;&gt;"",Transactions!$H466&amp;" "&amp;Transactions!$G466,)</f>
        <v/>
      </c>
    </row>
    <row r="467">
      <c r="A467" s="55" t="str">
        <f>IF(Transactions!$B467&lt;&gt;"",DATE(LEFT(Transactions!$B467,4),MID(Transactions!$B467,6,2),MID(Transactions!$B467,9,2)),)</f>
        <v/>
      </c>
      <c r="B467" s="56" t="str">
        <f>Transactions!$C467</f>
        <v/>
      </c>
      <c r="C467" s="51" t="str">
        <f t="array" ref="C467">IFERROR(INDEX(Portfolio!$B:$B, MATCH($B467, Portfolio!$A:$A, 0)),Transactions!$B467)</f>
        <v/>
      </c>
      <c r="D467" s="51" t="str">
        <f>IF($B467&lt;&gt;"",Transactions!$E467*1,)</f>
        <v/>
      </c>
      <c r="E467" s="51" t="str">
        <f>IF($B467&lt;&gt;"",Transactions!$F467*1,)</f>
        <v/>
      </c>
      <c r="F467" s="42" t="str">
        <f>IF(Transactions!$G467&lt;&gt;"",Transactions!$H467&amp;" "&amp;Transactions!$G467,)</f>
        <v/>
      </c>
    </row>
    <row r="468">
      <c r="A468" s="55" t="str">
        <f>IF(Transactions!$B468&lt;&gt;"",DATE(LEFT(Transactions!$B468,4),MID(Transactions!$B468,6,2),MID(Transactions!$B468,9,2)),)</f>
        <v/>
      </c>
      <c r="B468" s="56" t="str">
        <f>Transactions!$C468</f>
        <v/>
      </c>
      <c r="C468" s="51" t="str">
        <f t="array" ref="C468">IFERROR(INDEX(Portfolio!$B:$B, MATCH($B468, Portfolio!$A:$A, 0)),Transactions!$B468)</f>
        <v/>
      </c>
      <c r="D468" s="51" t="str">
        <f>IF($B468&lt;&gt;"",Transactions!$E468*1,)</f>
        <v/>
      </c>
      <c r="E468" s="51" t="str">
        <f>IF($B468&lt;&gt;"",Transactions!$F468*1,)</f>
        <v/>
      </c>
      <c r="F468" s="42" t="str">
        <f>IF(Transactions!$G468&lt;&gt;"",Transactions!$H468&amp;" "&amp;Transactions!$G468,)</f>
        <v/>
      </c>
    </row>
    <row r="469">
      <c r="A469" s="55" t="str">
        <f>IF(Transactions!$B469&lt;&gt;"",DATE(LEFT(Transactions!$B469,4),MID(Transactions!$B469,6,2),MID(Transactions!$B469,9,2)),)</f>
        <v/>
      </c>
      <c r="B469" s="56" t="str">
        <f>Transactions!$C469</f>
        <v/>
      </c>
      <c r="C469" s="51" t="str">
        <f t="array" ref="C469">IFERROR(INDEX(Portfolio!$B:$B, MATCH($B469, Portfolio!$A:$A, 0)),Transactions!$B469)</f>
        <v/>
      </c>
      <c r="D469" s="51" t="str">
        <f>IF($B469&lt;&gt;"",Transactions!$E469*1,)</f>
        <v/>
      </c>
      <c r="E469" s="51" t="str">
        <f>IF($B469&lt;&gt;"",Transactions!$F469*1,)</f>
        <v/>
      </c>
      <c r="F469" s="42" t="str">
        <f>IF(Transactions!$G469&lt;&gt;"",Transactions!$H469&amp;" "&amp;Transactions!$G469,)</f>
        <v/>
      </c>
    </row>
    <row r="470">
      <c r="A470" s="55" t="str">
        <f>IF(Transactions!$B470&lt;&gt;"",DATE(LEFT(Transactions!$B470,4),MID(Transactions!$B470,6,2),MID(Transactions!$B470,9,2)),)</f>
        <v/>
      </c>
      <c r="B470" s="56" t="str">
        <f>Transactions!$C470</f>
        <v/>
      </c>
      <c r="C470" s="51" t="str">
        <f t="array" ref="C470">IFERROR(INDEX(Portfolio!$B:$B, MATCH($B470, Portfolio!$A:$A, 0)),Transactions!$B470)</f>
        <v/>
      </c>
      <c r="D470" s="51" t="str">
        <f>IF($B470&lt;&gt;"",Transactions!$E470*1,)</f>
        <v/>
      </c>
      <c r="E470" s="51" t="str">
        <f>IF($B470&lt;&gt;"",Transactions!$F470*1,)</f>
        <v/>
      </c>
      <c r="F470" s="42" t="str">
        <f>IF(Transactions!$G470&lt;&gt;"",Transactions!$H470&amp;" "&amp;Transactions!$G470,)</f>
        <v/>
      </c>
    </row>
    <row r="471">
      <c r="A471" s="55" t="str">
        <f>IF(Transactions!$B471&lt;&gt;"",DATE(LEFT(Transactions!$B471,4),MID(Transactions!$B471,6,2),MID(Transactions!$B471,9,2)),)</f>
        <v/>
      </c>
      <c r="B471" s="56" t="str">
        <f>Transactions!$C471</f>
        <v/>
      </c>
      <c r="C471" s="51" t="str">
        <f t="array" ref="C471">IFERROR(INDEX(Portfolio!$B:$B, MATCH($B471, Portfolio!$A:$A, 0)),Transactions!$B471)</f>
        <v/>
      </c>
      <c r="D471" s="51" t="str">
        <f>IF($B471&lt;&gt;"",Transactions!$E471*1,)</f>
        <v/>
      </c>
      <c r="E471" s="51" t="str">
        <f>IF($B471&lt;&gt;"",Transactions!$F471*1,)</f>
        <v/>
      </c>
      <c r="F471" s="42" t="str">
        <f>IF(Transactions!$G471&lt;&gt;"",Transactions!$H471&amp;" "&amp;Transactions!$G471,)</f>
        <v/>
      </c>
    </row>
    <row r="472">
      <c r="A472" s="55" t="str">
        <f>IF(Transactions!$B472&lt;&gt;"",DATE(LEFT(Transactions!$B472,4),MID(Transactions!$B472,6,2),MID(Transactions!$B472,9,2)),)</f>
        <v/>
      </c>
      <c r="B472" s="56" t="str">
        <f>Transactions!$C472</f>
        <v/>
      </c>
      <c r="C472" s="51" t="str">
        <f t="array" ref="C472">IFERROR(INDEX(Portfolio!$B:$B, MATCH($B472, Portfolio!$A:$A, 0)),Transactions!$B472)</f>
        <v/>
      </c>
      <c r="D472" s="51" t="str">
        <f>IF($B472&lt;&gt;"",Transactions!$E472*1,)</f>
        <v/>
      </c>
      <c r="E472" s="51" t="str">
        <f>IF($B472&lt;&gt;"",Transactions!$F472*1,)</f>
        <v/>
      </c>
      <c r="F472" s="42" t="str">
        <f>IF(Transactions!$G472&lt;&gt;"",Transactions!$H472&amp;" "&amp;Transactions!$G472,)</f>
        <v/>
      </c>
    </row>
    <row r="473">
      <c r="A473" s="55" t="str">
        <f>IF(Transactions!$B473&lt;&gt;"",DATE(LEFT(Transactions!$B473,4),MID(Transactions!$B473,6,2),MID(Transactions!$B473,9,2)),)</f>
        <v/>
      </c>
      <c r="B473" s="56" t="str">
        <f>Transactions!$C473</f>
        <v/>
      </c>
      <c r="C473" s="51" t="str">
        <f t="array" ref="C473">IFERROR(INDEX(Portfolio!$B:$B, MATCH($B473, Portfolio!$A:$A, 0)),Transactions!$B473)</f>
        <v/>
      </c>
      <c r="D473" s="51" t="str">
        <f>IF($B473&lt;&gt;"",Transactions!$E473*1,)</f>
        <v/>
      </c>
      <c r="E473" s="51" t="str">
        <f>IF($B473&lt;&gt;"",Transactions!$F473*1,)</f>
        <v/>
      </c>
      <c r="F473" s="42" t="str">
        <f>IF(Transactions!$G473&lt;&gt;"",Transactions!$H473&amp;" "&amp;Transactions!$G473,)</f>
        <v/>
      </c>
    </row>
    <row r="474">
      <c r="A474" s="55" t="str">
        <f>IF(Transactions!$B474&lt;&gt;"",DATE(LEFT(Transactions!$B474,4),MID(Transactions!$B474,6,2),MID(Transactions!$B474,9,2)),)</f>
        <v/>
      </c>
      <c r="B474" s="56" t="str">
        <f>Transactions!$C474</f>
        <v/>
      </c>
      <c r="C474" s="51" t="str">
        <f t="array" ref="C474">IFERROR(INDEX(Portfolio!$B:$B, MATCH($B474, Portfolio!$A:$A, 0)),Transactions!$B474)</f>
        <v/>
      </c>
      <c r="D474" s="51" t="str">
        <f>IF($B474&lt;&gt;"",Transactions!$E474*1,)</f>
        <v/>
      </c>
      <c r="E474" s="51" t="str">
        <f>IF($B474&lt;&gt;"",Transactions!$F474*1,)</f>
        <v/>
      </c>
      <c r="F474" s="42" t="str">
        <f>IF(Transactions!$G474&lt;&gt;"",Transactions!$H474&amp;" "&amp;Transactions!$G474,)</f>
        <v/>
      </c>
    </row>
    <row r="475">
      <c r="A475" s="55" t="str">
        <f>IF(Transactions!$B475&lt;&gt;"",DATE(LEFT(Transactions!$B475,4),MID(Transactions!$B475,6,2),MID(Transactions!$B475,9,2)),)</f>
        <v/>
      </c>
      <c r="B475" s="56" t="str">
        <f>Transactions!$C475</f>
        <v/>
      </c>
      <c r="C475" s="51" t="str">
        <f t="array" ref="C475">IFERROR(INDEX(Portfolio!$B:$B, MATCH($B475, Portfolio!$A:$A, 0)),Transactions!$B475)</f>
        <v/>
      </c>
      <c r="D475" s="51" t="str">
        <f>IF($B475&lt;&gt;"",Transactions!$E475*1,)</f>
        <v/>
      </c>
      <c r="E475" s="51" t="str">
        <f>IF($B475&lt;&gt;"",Transactions!$F475*1,)</f>
        <v/>
      </c>
      <c r="F475" s="42" t="str">
        <f>IF(Transactions!$G475&lt;&gt;"",Transactions!$H475&amp;" "&amp;Transactions!$G475,)</f>
        <v/>
      </c>
    </row>
    <row r="476">
      <c r="A476" s="55" t="str">
        <f>IF(Transactions!$B476&lt;&gt;"",DATE(LEFT(Transactions!$B476,4),MID(Transactions!$B476,6,2),MID(Transactions!$B476,9,2)),)</f>
        <v/>
      </c>
      <c r="B476" s="56" t="str">
        <f>Transactions!$C476</f>
        <v/>
      </c>
      <c r="C476" s="51" t="str">
        <f t="array" ref="C476">IFERROR(INDEX(Portfolio!$B:$B, MATCH($B476, Portfolio!$A:$A, 0)),Transactions!$B476)</f>
        <v/>
      </c>
      <c r="D476" s="51" t="str">
        <f>IF($B476&lt;&gt;"",Transactions!$E476*1,)</f>
        <v/>
      </c>
      <c r="E476" s="51" t="str">
        <f>IF($B476&lt;&gt;"",Transactions!$F476*1,)</f>
        <v/>
      </c>
      <c r="F476" s="42" t="str">
        <f>IF(Transactions!$G476&lt;&gt;"",Transactions!$H476&amp;" "&amp;Transactions!$G476,)</f>
        <v/>
      </c>
    </row>
    <row r="477">
      <c r="A477" s="55" t="str">
        <f>IF(Transactions!$B477&lt;&gt;"",DATE(LEFT(Transactions!$B477,4),MID(Transactions!$B477,6,2),MID(Transactions!$B477,9,2)),)</f>
        <v/>
      </c>
      <c r="B477" s="56" t="str">
        <f>Transactions!$C477</f>
        <v/>
      </c>
      <c r="C477" s="51" t="str">
        <f t="array" ref="C477">IFERROR(INDEX(Portfolio!$B:$B, MATCH($B477, Portfolio!$A:$A, 0)),Transactions!$B477)</f>
        <v/>
      </c>
      <c r="D477" s="51" t="str">
        <f>IF($B477&lt;&gt;"",Transactions!$E477*1,)</f>
        <v/>
      </c>
      <c r="E477" s="51" t="str">
        <f>IF($B477&lt;&gt;"",Transactions!$F477*1,)</f>
        <v/>
      </c>
      <c r="F477" s="42" t="str">
        <f>IF(Transactions!$G477&lt;&gt;"",Transactions!$H477&amp;" "&amp;Transactions!$G477,)</f>
        <v/>
      </c>
    </row>
    <row r="478">
      <c r="A478" s="55" t="str">
        <f>IF(Transactions!$B478&lt;&gt;"",DATE(LEFT(Transactions!$B478,4),MID(Transactions!$B478,6,2),MID(Transactions!$B478,9,2)),)</f>
        <v/>
      </c>
      <c r="B478" s="56" t="str">
        <f>Transactions!$C478</f>
        <v/>
      </c>
      <c r="C478" s="51" t="str">
        <f t="array" ref="C478">IFERROR(INDEX(Portfolio!$B:$B, MATCH($B478, Portfolio!$A:$A, 0)),Transactions!$B478)</f>
        <v/>
      </c>
      <c r="D478" s="51" t="str">
        <f>IF($B478&lt;&gt;"",Transactions!$E478*1,)</f>
        <v/>
      </c>
      <c r="E478" s="51" t="str">
        <f>IF($B478&lt;&gt;"",Transactions!$F478*1,)</f>
        <v/>
      </c>
      <c r="F478" s="42" t="str">
        <f>IF(Transactions!$G478&lt;&gt;"",Transactions!$H478&amp;" "&amp;Transactions!$G478,)</f>
        <v/>
      </c>
    </row>
    <row r="479">
      <c r="A479" s="55" t="str">
        <f>IF(Transactions!$B479&lt;&gt;"",DATE(LEFT(Transactions!$B479,4),MID(Transactions!$B479,6,2),MID(Transactions!$B479,9,2)),)</f>
        <v/>
      </c>
      <c r="B479" s="56" t="str">
        <f>Transactions!$C479</f>
        <v/>
      </c>
      <c r="C479" s="51" t="str">
        <f t="array" ref="C479">IFERROR(INDEX(Portfolio!$B:$B, MATCH($B479, Portfolio!$A:$A, 0)),Transactions!$B479)</f>
        <v/>
      </c>
      <c r="D479" s="51" t="str">
        <f>IF($B479&lt;&gt;"",Transactions!$E479*1,)</f>
        <v/>
      </c>
      <c r="E479" s="51" t="str">
        <f>IF($B479&lt;&gt;"",Transactions!$F479*1,)</f>
        <v/>
      </c>
      <c r="F479" s="42" t="str">
        <f>IF(Transactions!$G479&lt;&gt;"",Transactions!$H479&amp;" "&amp;Transactions!$G479,)</f>
        <v/>
      </c>
    </row>
    <row r="480">
      <c r="A480" s="55" t="str">
        <f>IF(Transactions!$B480&lt;&gt;"",DATE(LEFT(Transactions!$B480,4),MID(Transactions!$B480,6,2),MID(Transactions!$B480,9,2)),)</f>
        <v/>
      </c>
      <c r="B480" s="56" t="str">
        <f>Transactions!$C480</f>
        <v/>
      </c>
      <c r="C480" s="51" t="str">
        <f t="array" ref="C480">IFERROR(INDEX(Portfolio!$B:$B, MATCH($B480, Portfolio!$A:$A, 0)),Transactions!$B480)</f>
        <v/>
      </c>
      <c r="D480" s="51" t="str">
        <f>IF($B480&lt;&gt;"",Transactions!$E480*1,)</f>
        <v/>
      </c>
      <c r="E480" s="51" t="str">
        <f>IF($B480&lt;&gt;"",Transactions!$F480*1,)</f>
        <v/>
      </c>
      <c r="F480" s="42" t="str">
        <f>IF(Transactions!$G480&lt;&gt;"",Transactions!$H480&amp;" "&amp;Transactions!$G480,)</f>
        <v/>
      </c>
    </row>
    <row r="481">
      <c r="A481" s="55" t="str">
        <f>IF(Transactions!$B481&lt;&gt;"",DATE(LEFT(Transactions!$B481,4),MID(Transactions!$B481,6,2),MID(Transactions!$B481,9,2)),)</f>
        <v/>
      </c>
      <c r="B481" s="56" t="str">
        <f>Transactions!$C481</f>
        <v/>
      </c>
      <c r="C481" s="51" t="str">
        <f t="array" ref="C481">IFERROR(INDEX(Portfolio!$B:$B, MATCH($B481, Portfolio!$A:$A, 0)),Transactions!$B481)</f>
        <v/>
      </c>
      <c r="D481" s="51" t="str">
        <f>IF($B481&lt;&gt;"",Transactions!$E481*1,)</f>
        <v/>
      </c>
      <c r="E481" s="51" t="str">
        <f>IF($B481&lt;&gt;"",Transactions!$F481*1,)</f>
        <v/>
      </c>
      <c r="F481" s="42" t="str">
        <f>IF(Transactions!$G481&lt;&gt;"",Transactions!$H481&amp;" "&amp;Transactions!$G481,)</f>
        <v/>
      </c>
    </row>
    <row r="482">
      <c r="A482" s="55" t="str">
        <f>IF(Transactions!$B482&lt;&gt;"",DATE(LEFT(Transactions!$B482,4),MID(Transactions!$B482,6,2),MID(Transactions!$B482,9,2)),)</f>
        <v/>
      </c>
      <c r="B482" s="56" t="str">
        <f>Transactions!$C482</f>
        <v/>
      </c>
      <c r="C482" s="51" t="str">
        <f t="array" ref="C482">IFERROR(INDEX(Portfolio!$B:$B, MATCH($B482, Portfolio!$A:$A, 0)),Transactions!$B482)</f>
        <v/>
      </c>
      <c r="D482" s="51" t="str">
        <f>IF($B482&lt;&gt;"",Transactions!$E482*1,)</f>
        <v/>
      </c>
      <c r="E482" s="51" t="str">
        <f>IF($B482&lt;&gt;"",Transactions!$F482*1,)</f>
        <v/>
      </c>
      <c r="F482" s="42" t="str">
        <f>IF(Transactions!$G482&lt;&gt;"",Transactions!$H482&amp;" "&amp;Transactions!$G482,)</f>
        <v/>
      </c>
    </row>
    <row r="483">
      <c r="A483" s="55" t="str">
        <f>IF(Transactions!$B483&lt;&gt;"",DATE(LEFT(Transactions!$B483,4),MID(Transactions!$B483,6,2),MID(Transactions!$B483,9,2)),)</f>
        <v/>
      </c>
      <c r="B483" s="56" t="str">
        <f>Transactions!$C483</f>
        <v/>
      </c>
      <c r="C483" s="51" t="str">
        <f t="array" ref="C483">IFERROR(INDEX(Portfolio!$B:$B, MATCH($B483, Portfolio!$A:$A, 0)),Transactions!$B483)</f>
        <v/>
      </c>
      <c r="D483" s="51" t="str">
        <f>IF($B483&lt;&gt;"",Transactions!$E483*1,)</f>
        <v/>
      </c>
      <c r="E483" s="51" t="str">
        <f>IF($B483&lt;&gt;"",Transactions!$F483*1,)</f>
        <v/>
      </c>
      <c r="F483" s="42" t="str">
        <f>IF(Transactions!$G483&lt;&gt;"",Transactions!$H483&amp;" "&amp;Transactions!$G483,)</f>
        <v/>
      </c>
    </row>
    <row r="484">
      <c r="A484" s="55" t="str">
        <f>IF(Transactions!$B484&lt;&gt;"",DATE(LEFT(Transactions!$B484,4),MID(Transactions!$B484,6,2),MID(Transactions!$B484,9,2)),)</f>
        <v/>
      </c>
      <c r="B484" s="56" t="str">
        <f>Transactions!$C484</f>
        <v/>
      </c>
      <c r="C484" s="51" t="str">
        <f t="array" ref="C484">IFERROR(INDEX(Portfolio!$B:$B, MATCH($B484, Portfolio!$A:$A, 0)),Transactions!$B484)</f>
        <v/>
      </c>
      <c r="D484" s="51" t="str">
        <f>IF($B484&lt;&gt;"",Transactions!$E484*1,)</f>
        <v/>
      </c>
      <c r="E484" s="51" t="str">
        <f>IF($B484&lt;&gt;"",Transactions!$F484*1,)</f>
        <v/>
      </c>
      <c r="F484" s="42" t="str">
        <f>IF(Transactions!$G484&lt;&gt;"",Transactions!$H484&amp;" "&amp;Transactions!$G484,)</f>
        <v/>
      </c>
    </row>
    <row r="485">
      <c r="A485" s="55" t="str">
        <f>IF(Transactions!$B485&lt;&gt;"",DATE(LEFT(Transactions!$B485,4),MID(Transactions!$B485,6,2),MID(Transactions!$B485,9,2)),)</f>
        <v/>
      </c>
      <c r="B485" s="56" t="str">
        <f>Transactions!$C485</f>
        <v/>
      </c>
      <c r="C485" s="51" t="str">
        <f t="array" ref="C485">IFERROR(INDEX(Portfolio!$B:$B, MATCH($B485, Portfolio!$A:$A, 0)),Transactions!$B485)</f>
        <v/>
      </c>
      <c r="D485" s="51" t="str">
        <f>IF($B485&lt;&gt;"",Transactions!$E485*1,)</f>
        <v/>
      </c>
      <c r="E485" s="51" t="str">
        <f>IF($B485&lt;&gt;"",Transactions!$F485*1,)</f>
        <v/>
      </c>
      <c r="F485" s="42" t="str">
        <f>IF(Transactions!$G485&lt;&gt;"",Transactions!$H485&amp;" "&amp;Transactions!$G485,)</f>
        <v/>
      </c>
    </row>
    <row r="486">
      <c r="A486" s="55" t="str">
        <f>IF(Transactions!$B486&lt;&gt;"",DATE(LEFT(Transactions!$B486,4),MID(Transactions!$B486,6,2),MID(Transactions!$B486,9,2)),)</f>
        <v/>
      </c>
      <c r="B486" s="56" t="str">
        <f>Transactions!$C486</f>
        <v/>
      </c>
      <c r="C486" s="51" t="str">
        <f t="array" ref="C486">IFERROR(INDEX(Portfolio!$B:$B, MATCH($B486, Portfolio!$A:$A, 0)),Transactions!$B486)</f>
        <v/>
      </c>
      <c r="D486" s="51" t="str">
        <f>IF($B486&lt;&gt;"",Transactions!$E486*1,)</f>
        <v/>
      </c>
      <c r="E486" s="51" t="str">
        <f>IF($B486&lt;&gt;"",Transactions!$F486*1,)</f>
        <v/>
      </c>
      <c r="F486" s="42" t="str">
        <f>IF(Transactions!$G486&lt;&gt;"",Transactions!$H486&amp;" "&amp;Transactions!$G486,)</f>
        <v/>
      </c>
    </row>
    <row r="487">
      <c r="A487" s="55" t="str">
        <f>IF(Transactions!$B487&lt;&gt;"",DATE(LEFT(Transactions!$B487,4),MID(Transactions!$B487,6,2),MID(Transactions!$B487,9,2)),)</f>
        <v/>
      </c>
      <c r="B487" s="56" t="str">
        <f>Transactions!$C487</f>
        <v/>
      </c>
      <c r="C487" s="51" t="str">
        <f t="array" ref="C487">IFERROR(INDEX(Portfolio!$B:$B, MATCH($B487, Portfolio!$A:$A, 0)),Transactions!$B487)</f>
        <v/>
      </c>
      <c r="D487" s="51" t="str">
        <f>IF($B487&lt;&gt;"",Transactions!$E487*1,)</f>
        <v/>
      </c>
      <c r="E487" s="51" t="str">
        <f>IF($B487&lt;&gt;"",Transactions!$F487*1,)</f>
        <v/>
      </c>
      <c r="F487" s="42" t="str">
        <f>IF(Transactions!$G487&lt;&gt;"",Transactions!$H487&amp;" "&amp;Transactions!$G487,)</f>
        <v/>
      </c>
    </row>
    <row r="488">
      <c r="A488" s="55" t="str">
        <f>IF(Transactions!$B488&lt;&gt;"",DATE(LEFT(Transactions!$B488,4),MID(Transactions!$B488,6,2),MID(Transactions!$B488,9,2)),)</f>
        <v/>
      </c>
      <c r="B488" s="56" t="str">
        <f>Transactions!$C488</f>
        <v/>
      </c>
      <c r="C488" s="51" t="str">
        <f t="array" ref="C488">IFERROR(INDEX(Portfolio!$B:$B, MATCH($B488, Portfolio!$A:$A, 0)),Transactions!$B488)</f>
        <v/>
      </c>
      <c r="D488" s="51" t="str">
        <f>IF($B488&lt;&gt;"",Transactions!$E488*1,)</f>
        <v/>
      </c>
      <c r="E488" s="51" t="str">
        <f>IF($B488&lt;&gt;"",Transactions!$F488*1,)</f>
        <v/>
      </c>
      <c r="F488" s="42" t="str">
        <f>IF(Transactions!$G488&lt;&gt;"",Transactions!$H488&amp;" "&amp;Transactions!$G488,)</f>
        <v/>
      </c>
    </row>
    <row r="489">
      <c r="A489" s="55" t="str">
        <f>IF(Transactions!$B489&lt;&gt;"",DATE(LEFT(Transactions!$B489,4),MID(Transactions!$B489,6,2),MID(Transactions!$B489,9,2)),)</f>
        <v/>
      </c>
      <c r="B489" s="56" t="str">
        <f>Transactions!$C489</f>
        <v/>
      </c>
      <c r="C489" s="51" t="str">
        <f t="array" ref="C489">IFERROR(INDEX(Portfolio!$B:$B, MATCH($B489, Portfolio!$A:$A, 0)),Transactions!$B489)</f>
        <v/>
      </c>
      <c r="D489" s="51" t="str">
        <f>IF($B489&lt;&gt;"",Transactions!$E489*1,)</f>
        <v/>
      </c>
      <c r="E489" s="51" t="str">
        <f>IF($B489&lt;&gt;"",Transactions!$F489*1,)</f>
        <v/>
      </c>
      <c r="F489" s="42" t="str">
        <f>IF(Transactions!$G489&lt;&gt;"",Transactions!$H489&amp;" "&amp;Transactions!$G489,)</f>
        <v/>
      </c>
    </row>
    <row r="490">
      <c r="A490" s="55" t="str">
        <f>IF(Transactions!$B490&lt;&gt;"",DATE(LEFT(Transactions!$B490,4),MID(Transactions!$B490,6,2),MID(Transactions!$B490,9,2)),)</f>
        <v/>
      </c>
      <c r="B490" s="56" t="str">
        <f>Transactions!$C490</f>
        <v/>
      </c>
      <c r="C490" s="51" t="str">
        <f t="array" ref="C490">IFERROR(INDEX(Portfolio!$B:$B, MATCH($B490, Portfolio!$A:$A, 0)),Transactions!$B490)</f>
        <v/>
      </c>
      <c r="D490" s="51" t="str">
        <f>IF($B490&lt;&gt;"",Transactions!$E490*1,)</f>
        <v/>
      </c>
      <c r="E490" s="51" t="str">
        <f>IF($B490&lt;&gt;"",Transactions!$F490*1,)</f>
        <v/>
      </c>
      <c r="F490" s="42" t="str">
        <f>IF(Transactions!$G490&lt;&gt;"",Transactions!$H490&amp;" "&amp;Transactions!$G490,)</f>
        <v/>
      </c>
    </row>
    <row r="491">
      <c r="A491" s="55" t="str">
        <f>IF(Transactions!$B491&lt;&gt;"",DATE(LEFT(Transactions!$B491,4),MID(Transactions!$B491,6,2),MID(Transactions!$B491,9,2)),)</f>
        <v/>
      </c>
      <c r="B491" s="56" t="str">
        <f>Transactions!$C491</f>
        <v/>
      </c>
      <c r="C491" s="51" t="str">
        <f t="array" ref="C491">IFERROR(INDEX(Portfolio!$B:$B, MATCH($B491, Portfolio!$A:$A, 0)),Transactions!$B491)</f>
        <v/>
      </c>
      <c r="D491" s="51" t="str">
        <f>IF($B491&lt;&gt;"",Transactions!$E491*1,)</f>
        <v/>
      </c>
      <c r="E491" s="51" t="str">
        <f>IF($B491&lt;&gt;"",Transactions!$F491*1,)</f>
        <v/>
      </c>
      <c r="F491" s="42" t="str">
        <f>IF(Transactions!$G491&lt;&gt;"",Transactions!$H491&amp;" "&amp;Transactions!$G491,)</f>
        <v/>
      </c>
    </row>
    <row r="492">
      <c r="A492" s="55" t="str">
        <f>IF(Transactions!$B492&lt;&gt;"",DATE(LEFT(Transactions!$B492,4),MID(Transactions!$B492,6,2),MID(Transactions!$B492,9,2)),)</f>
        <v/>
      </c>
      <c r="B492" s="56" t="str">
        <f>Transactions!$C492</f>
        <v/>
      </c>
      <c r="C492" s="51" t="str">
        <f t="array" ref="C492">IFERROR(INDEX(Portfolio!$B:$B, MATCH($B492, Portfolio!$A:$A, 0)),Transactions!$B492)</f>
        <v/>
      </c>
      <c r="D492" s="51" t="str">
        <f>IF($B492&lt;&gt;"",Transactions!$E492*1,)</f>
        <v/>
      </c>
      <c r="E492" s="51" t="str">
        <f>IF($B492&lt;&gt;"",Transactions!$F492*1,)</f>
        <v/>
      </c>
      <c r="F492" s="42" t="str">
        <f>IF(Transactions!$G492&lt;&gt;"",Transactions!$H492&amp;" "&amp;Transactions!$G492,)</f>
        <v/>
      </c>
    </row>
    <row r="493">
      <c r="A493" s="55" t="str">
        <f>IF(Transactions!$B493&lt;&gt;"",DATE(LEFT(Transactions!$B493,4),MID(Transactions!$B493,6,2),MID(Transactions!$B493,9,2)),)</f>
        <v/>
      </c>
      <c r="B493" s="56" t="str">
        <f>Transactions!$C493</f>
        <v/>
      </c>
      <c r="C493" s="51" t="str">
        <f t="array" ref="C493">IFERROR(INDEX(Portfolio!$B:$B, MATCH($B493, Portfolio!$A:$A, 0)),Transactions!$B493)</f>
        <v/>
      </c>
      <c r="D493" s="51" t="str">
        <f>IF($B493&lt;&gt;"",Transactions!$E493*1,)</f>
        <v/>
      </c>
      <c r="E493" s="51" t="str">
        <f>IF($B493&lt;&gt;"",Transactions!$F493*1,)</f>
        <v/>
      </c>
      <c r="F493" s="42" t="str">
        <f>IF(Transactions!$G493&lt;&gt;"",Transactions!$H493&amp;" "&amp;Transactions!$G493,)</f>
        <v/>
      </c>
    </row>
    <row r="494">
      <c r="A494" s="55" t="str">
        <f>IF(Transactions!$B494&lt;&gt;"",DATE(LEFT(Transactions!$B494,4),MID(Transactions!$B494,6,2),MID(Transactions!$B494,9,2)),)</f>
        <v/>
      </c>
      <c r="B494" s="56" t="str">
        <f>Transactions!$C494</f>
        <v/>
      </c>
      <c r="C494" s="51" t="str">
        <f t="array" ref="C494">IFERROR(INDEX(Portfolio!$B:$B, MATCH($B494, Portfolio!$A:$A, 0)),Transactions!$B494)</f>
        <v/>
      </c>
      <c r="D494" s="51" t="str">
        <f>IF($B494&lt;&gt;"",Transactions!$E494*1,)</f>
        <v/>
      </c>
      <c r="E494" s="51" t="str">
        <f>IF($B494&lt;&gt;"",Transactions!$F494*1,)</f>
        <v/>
      </c>
      <c r="F494" s="42" t="str">
        <f>IF(Transactions!$G494&lt;&gt;"",Transactions!$H494&amp;" "&amp;Transactions!$G494,)</f>
        <v/>
      </c>
    </row>
    <row r="495">
      <c r="A495" s="55" t="str">
        <f>IF(Transactions!$B495&lt;&gt;"",DATE(LEFT(Transactions!$B495,4),MID(Transactions!$B495,6,2),MID(Transactions!$B495,9,2)),)</f>
        <v/>
      </c>
      <c r="B495" s="56" t="str">
        <f>Transactions!$C495</f>
        <v/>
      </c>
      <c r="C495" s="51" t="str">
        <f t="array" ref="C495">IFERROR(INDEX(Portfolio!$B:$B, MATCH($B495, Portfolio!$A:$A, 0)),Transactions!$B495)</f>
        <v/>
      </c>
      <c r="D495" s="51" t="str">
        <f>IF($B495&lt;&gt;"",Transactions!$E495*1,)</f>
        <v/>
      </c>
      <c r="E495" s="51" t="str">
        <f>IF($B495&lt;&gt;"",Transactions!$F495*1,)</f>
        <v/>
      </c>
      <c r="F495" s="42" t="str">
        <f>IF(Transactions!$G495&lt;&gt;"",Transactions!$H495&amp;" "&amp;Transactions!$G495,)</f>
        <v/>
      </c>
    </row>
    <row r="496">
      <c r="A496" s="55" t="str">
        <f>IF(Transactions!$B496&lt;&gt;"",DATE(LEFT(Transactions!$B496,4),MID(Transactions!$B496,6,2),MID(Transactions!$B496,9,2)),)</f>
        <v/>
      </c>
      <c r="B496" s="56" t="str">
        <f>Transactions!$C496</f>
        <v/>
      </c>
      <c r="C496" s="51" t="str">
        <f t="array" ref="C496">IFERROR(INDEX(Portfolio!$B:$B, MATCH($B496, Portfolio!$A:$A, 0)),Transactions!$B496)</f>
        <v/>
      </c>
      <c r="D496" s="51" t="str">
        <f>IF($B496&lt;&gt;"",Transactions!$E496*1,)</f>
        <v/>
      </c>
      <c r="E496" s="51" t="str">
        <f>IF($B496&lt;&gt;"",Transactions!$F496*1,)</f>
        <v/>
      </c>
      <c r="F496" s="42" t="str">
        <f>IF(Transactions!$G496&lt;&gt;"",Transactions!$H496&amp;" "&amp;Transactions!$G496,)</f>
        <v/>
      </c>
    </row>
    <row r="497">
      <c r="A497" s="55" t="str">
        <f>IF(Transactions!$B497&lt;&gt;"",DATE(LEFT(Transactions!$B497,4),MID(Transactions!$B497,6,2),MID(Transactions!$B497,9,2)),)</f>
        <v/>
      </c>
      <c r="B497" s="56" t="str">
        <f>Transactions!$C497</f>
        <v/>
      </c>
      <c r="C497" s="51" t="str">
        <f t="array" ref="C497">IFERROR(INDEX(Portfolio!$B:$B, MATCH($B497, Portfolio!$A:$A, 0)),Transactions!$B497)</f>
        <v/>
      </c>
      <c r="D497" s="51" t="str">
        <f>IF($B497&lt;&gt;"",Transactions!$E497*1,)</f>
        <v/>
      </c>
      <c r="E497" s="51" t="str">
        <f>IF($B497&lt;&gt;"",Transactions!$F497*1,)</f>
        <v/>
      </c>
      <c r="F497" s="42" t="str">
        <f>IF(Transactions!$G497&lt;&gt;"",Transactions!$H497&amp;" "&amp;Transactions!$G497,)</f>
        <v/>
      </c>
    </row>
    <row r="498">
      <c r="A498" s="55" t="str">
        <f>IF(Transactions!$B498&lt;&gt;"",DATE(LEFT(Transactions!$B498,4),MID(Transactions!$B498,6,2),MID(Transactions!$B498,9,2)),)</f>
        <v/>
      </c>
      <c r="B498" s="56" t="str">
        <f>Transactions!$C498</f>
        <v/>
      </c>
      <c r="C498" s="51" t="str">
        <f t="array" ref="C498">IFERROR(INDEX(Portfolio!$B:$B, MATCH($B498, Portfolio!$A:$A, 0)),Transactions!$B498)</f>
        <v/>
      </c>
      <c r="D498" s="51" t="str">
        <f>IF($B498&lt;&gt;"",Transactions!$E498*1,)</f>
        <v/>
      </c>
      <c r="E498" s="51" t="str">
        <f>IF($B498&lt;&gt;"",Transactions!$F498*1,)</f>
        <v/>
      </c>
      <c r="F498" s="42" t="str">
        <f>IF(Transactions!$G498&lt;&gt;"",Transactions!$H498&amp;" "&amp;Transactions!$G498,)</f>
        <v/>
      </c>
    </row>
    <row r="499">
      <c r="A499" s="55" t="str">
        <f>IF(Transactions!$B499&lt;&gt;"",DATE(LEFT(Transactions!$B499,4),MID(Transactions!$B499,6,2),MID(Transactions!$B499,9,2)),)</f>
        <v/>
      </c>
      <c r="B499" s="56" t="str">
        <f>Transactions!$C499</f>
        <v/>
      </c>
      <c r="C499" s="51" t="str">
        <f t="array" ref="C499">IFERROR(INDEX(Portfolio!$B:$B, MATCH($B499, Portfolio!$A:$A, 0)),Transactions!$B499)</f>
        <v/>
      </c>
      <c r="D499" s="51" t="str">
        <f>IF($B499&lt;&gt;"",Transactions!$E499*1,)</f>
        <v/>
      </c>
      <c r="E499" s="51" t="str">
        <f>IF($B499&lt;&gt;"",Transactions!$F499*1,)</f>
        <v/>
      </c>
      <c r="F499" s="42" t="str">
        <f>IF(Transactions!$G499&lt;&gt;"",Transactions!$H499&amp;" "&amp;Transactions!$G499,)</f>
        <v/>
      </c>
    </row>
    <row r="500">
      <c r="A500" s="55" t="str">
        <f>IF(Transactions!$B500&lt;&gt;"",DATE(LEFT(Transactions!$B500,4),MID(Transactions!$B500,6,2),MID(Transactions!$B500,9,2)),)</f>
        <v/>
      </c>
      <c r="B500" s="56" t="str">
        <f>Transactions!$C500</f>
        <v/>
      </c>
      <c r="C500" s="51" t="str">
        <f t="array" ref="C500">IFERROR(INDEX(Portfolio!$B:$B, MATCH($B500, Portfolio!$A:$A, 0)),Transactions!$B500)</f>
        <v/>
      </c>
      <c r="D500" s="51" t="str">
        <f>IF($B500&lt;&gt;"",Transactions!$E500*1,)</f>
        <v/>
      </c>
      <c r="E500" s="51" t="str">
        <f>IF($B500&lt;&gt;"",Transactions!$F500*1,)</f>
        <v/>
      </c>
      <c r="F500" s="42" t="str">
        <f>IF(Transactions!$G500&lt;&gt;"",Transactions!$H500&amp;" "&amp;Transactions!$G500,)</f>
        <v/>
      </c>
    </row>
    <row r="501">
      <c r="A501" s="55" t="str">
        <f>IF(Transactions!$B501&lt;&gt;"",DATE(LEFT(Transactions!$B501,4),MID(Transactions!$B501,6,2),MID(Transactions!$B501,9,2)),)</f>
        <v/>
      </c>
      <c r="B501" s="56" t="str">
        <f>Transactions!$C501</f>
        <v/>
      </c>
      <c r="C501" s="51" t="str">
        <f t="array" ref="C501">IFERROR(INDEX(Portfolio!$B:$B, MATCH($B501, Portfolio!$A:$A, 0)),Transactions!$B501)</f>
        <v/>
      </c>
      <c r="D501" s="51" t="str">
        <f>IF($B501&lt;&gt;"",Transactions!$E501*1,)</f>
        <v/>
      </c>
      <c r="E501" s="51" t="str">
        <f>IF($B501&lt;&gt;"",Transactions!$F501*1,)</f>
        <v/>
      </c>
      <c r="F501" s="42" t="str">
        <f>IF(Transactions!$G501&lt;&gt;"",Transactions!$H501&amp;" "&amp;Transactions!$G501,)</f>
        <v/>
      </c>
    </row>
    <row r="502">
      <c r="A502" s="55" t="str">
        <f>IF(Transactions!$B502&lt;&gt;"",DATE(LEFT(Transactions!$B502,4),MID(Transactions!$B502,6,2),MID(Transactions!$B502,9,2)),)</f>
        <v/>
      </c>
      <c r="B502" s="56" t="str">
        <f>Transactions!$C502</f>
        <v/>
      </c>
      <c r="C502" s="51" t="str">
        <f t="array" ref="C502">IFERROR(INDEX(Portfolio!$B:$B, MATCH($B502, Portfolio!$A:$A, 0)),Transactions!$B502)</f>
        <v/>
      </c>
      <c r="D502" s="51" t="str">
        <f>IF($B502&lt;&gt;"",Transactions!$E502*1,)</f>
        <v/>
      </c>
      <c r="E502" s="51" t="str">
        <f>IF($B502&lt;&gt;"",Transactions!$F502*1,)</f>
        <v/>
      </c>
      <c r="F502" s="42" t="str">
        <f>IF(Transactions!$G502&lt;&gt;"",Transactions!$H502&amp;" "&amp;Transactions!$G502,)</f>
        <v/>
      </c>
    </row>
    <row r="503">
      <c r="A503" s="55" t="str">
        <f>IF(Transactions!$B503&lt;&gt;"",DATE(LEFT(Transactions!$B503,4),MID(Transactions!$B503,6,2),MID(Transactions!$B503,9,2)),)</f>
        <v/>
      </c>
      <c r="B503" s="56" t="str">
        <f>Transactions!$C503</f>
        <v/>
      </c>
      <c r="C503" s="51" t="str">
        <f t="array" ref="C503">IFERROR(INDEX(Portfolio!$B:$B, MATCH($B503, Portfolio!$A:$A, 0)),Transactions!$B503)</f>
        <v/>
      </c>
      <c r="D503" s="51" t="str">
        <f>IF($B503&lt;&gt;"",Transactions!$E503*1,)</f>
        <v/>
      </c>
      <c r="E503" s="51" t="str">
        <f>IF($B503&lt;&gt;"",Transactions!$F503*1,)</f>
        <v/>
      </c>
      <c r="F503" s="42" t="str">
        <f>IF(Transactions!$G503&lt;&gt;"",Transactions!$H503&amp;" "&amp;Transactions!$G503,)</f>
        <v/>
      </c>
    </row>
    <row r="504">
      <c r="A504" s="55" t="str">
        <f>IF(Transactions!$B504&lt;&gt;"",DATE(LEFT(Transactions!$B504,4),MID(Transactions!$B504,6,2),MID(Transactions!$B504,9,2)),)</f>
        <v/>
      </c>
      <c r="B504" s="56" t="str">
        <f>Transactions!$C504</f>
        <v/>
      </c>
      <c r="C504" s="51" t="str">
        <f t="array" ref="C504">IFERROR(INDEX(Portfolio!$B:$B, MATCH($B504, Portfolio!$A:$A, 0)),Transactions!$B504)</f>
        <v/>
      </c>
      <c r="D504" s="51" t="str">
        <f>IF($B504&lt;&gt;"",Transactions!$E504*1,)</f>
        <v/>
      </c>
      <c r="E504" s="51" t="str">
        <f>IF($B504&lt;&gt;"",Transactions!$F504*1,)</f>
        <v/>
      </c>
      <c r="F504" s="42" t="str">
        <f>IF(Transactions!$G504&lt;&gt;"",Transactions!$H504&amp;" "&amp;Transactions!$G504,)</f>
        <v/>
      </c>
    </row>
    <row r="505">
      <c r="A505" s="55" t="str">
        <f>IF(Transactions!$B505&lt;&gt;"",DATE(LEFT(Transactions!$B505,4),MID(Transactions!$B505,6,2),MID(Transactions!$B505,9,2)),)</f>
        <v/>
      </c>
      <c r="B505" s="56" t="str">
        <f>Transactions!$C505</f>
        <v/>
      </c>
      <c r="C505" s="51" t="str">
        <f t="array" ref="C505">IFERROR(INDEX(Portfolio!$B:$B, MATCH($B505, Portfolio!$A:$A, 0)),Transactions!$B505)</f>
        <v/>
      </c>
      <c r="D505" s="51" t="str">
        <f>IF($B505&lt;&gt;"",Transactions!$E505*1,)</f>
        <v/>
      </c>
      <c r="E505" s="51" t="str">
        <f>IF($B505&lt;&gt;"",Transactions!$F505*1,)</f>
        <v/>
      </c>
      <c r="F505" s="42" t="str">
        <f>IF(Transactions!$G505&lt;&gt;"",Transactions!$H505&amp;" "&amp;Transactions!$G505,)</f>
        <v/>
      </c>
    </row>
    <row r="506">
      <c r="A506" s="55" t="str">
        <f>IF(Transactions!$B506&lt;&gt;"",DATE(LEFT(Transactions!$B506,4),MID(Transactions!$B506,6,2),MID(Transactions!$B506,9,2)),)</f>
        <v/>
      </c>
      <c r="B506" s="56" t="str">
        <f>Transactions!$C506</f>
        <v/>
      </c>
      <c r="C506" s="51" t="str">
        <f t="array" ref="C506">IFERROR(INDEX(Portfolio!$B:$B, MATCH($B506, Portfolio!$A:$A, 0)),Transactions!$B506)</f>
        <v/>
      </c>
      <c r="D506" s="51" t="str">
        <f>IF($B506&lt;&gt;"",Transactions!$E506*1,)</f>
        <v/>
      </c>
      <c r="E506" s="51" t="str">
        <f>IF($B506&lt;&gt;"",Transactions!$F506*1,)</f>
        <v/>
      </c>
      <c r="F506" s="42" t="str">
        <f>IF(Transactions!$G506&lt;&gt;"",Transactions!$H506&amp;" "&amp;Transactions!$G506,)</f>
        <v/>
      </c>
    </row>
    <row r="507">
      <c r="A507" s="55" t="str">
        <f>IF(Transactions!$B507&lt;&gt;"",DATE(LEFT(Transactions!$B507,4),MID(Transactions!$B507,6,2),MID(Transactions!$B507,9,2)),)</f>
        <v/>
      </c>
      <c r="B507" s="56" t="str">
        <f>Transactions!$C507</f>
        <v/>
      </c>
      <c r="C507" s="51" t="str">
        <f t="array" ref="C507">IFERROR(INDEX(Portfolio!$B:$B, MATCH($B507, Portfolio!$A:$A, 0)),Transactions!$B507)</f>
        <v/>
      </c>
      <c r="D507" s="51" t="str">
        <f>IF($B507&lt;&gt;"",Transactions!$E507*1,)</f>
        <v/>
      </c>
      <c r="E507" s="51" t="str">
        <f>IF($B507&lt;&gt;"",Transactions!$F507*1,)</f>
        <v/>
      </c>
      <c r="F507" s="42" t="str">
        <f>IF(Transactions!$G507&lt;&gt;"",Transactions!$H507&amp;" "&amp;Transactions!$G507,)</f>
        <v/>
      </c>
    </row>
    <row r="508">
      <c r="A508" s="55" t="str">
        <f>IF(Transactions!$B508&lt;&gt;"",DATE(LEFT(Transactions!$B508,4),MID(Transactions!$B508,6,2),MID(Transactions!$B508,9,2)),)</f>
        <v/>
      </c>
      <c r="B508" s="56" t="str">
        <f>Transactions!$C508</f>
        <v/>
      </c>
      <c r="C508" s="51" t="str">
        <f t="array" ref="C508">IFERROR(INDEX(Portfolio!$B:$B, MATCH($B508, Portfolio!$A:$A, 0)),Transactions!$B508)</f>
        <v/>
      </c>
      <c r="D508" s="51" t="str">
        <f>IF($B508&lt;&gt;"",Transactions!$E508*1,)</f>
        <v/>
      </c>
      <c r="E508" s="51" t="str">
        <f>IF($B508&lt;&gt;"",Transactions!$F508*1,)</f>
        <v/>
      </c>
      <c r="F508" s="42" t="str">
        <f>IF(Transactions!$G508&lt;&gt;"",Transactions!$H508&amp;" "&amp;Transactions!$G508,)</f>
        <v/>
      </c>
    </row>
    <row r="509">
      <c r="A509" s="55" t="str">
        <f>IF(Transactions!$B509&lt;&gt;"",DATE(LEFT(Transactions!$B509,4),MID(Transactions!$B509,6,2),MID(Transactions!$B509,9,2)),)</f>
        <v/>
      </c>
      <c r="B509" s="56" t="str">
        <f>Transactions!$C509</f>
        <v/>
      </c>
      <c r="C509" s="51" t="str">
        <f t="array" ref="C509">IFERROR(INDEX(Portfolio!$B:$B, MATCH($B509, Portfolio!$A:$A, 0)),Transactions!$B509)</f>
        <v/>
      </c>
      <c r="D509" s="51" t="str">
        <f>IF($B509&lt;&gt;"",Transactions!$E509*1,)</f>
        <v/>
      </c>
      <c r="E509" s="51" t="str">
        <f>IF($B509&lt;&gt;"",Transactions!$F509*1,)</f>
        <v/>
      </c>
      <c r="F509" s="42" t="str">
        <f>IF(Transactions!$G509&lt;&gt;"",Transactions!$H509&amp;" "&amp;Transactions!$G509,)</f>
        <v/>
      </c>
    </row>
    <row r="510">
      <c r="A510" s="55" t="str">
        <f>IF(Transactions!$B510&lt;&gt;"",DATE(LEFT(Transactions!$B510,4),MID(Transactions!$B510,6,2),MID(Transactions!$B510,9,2)),)</f>
        <v/>
      </c>
      <c r="B510" s="56" t="str">
        <f>Transactions!$C510</f>
        <v/>
      </c>
      <c r="C510" s="51" t="str">
        <f t="array" ref="C510">IFERROR(INDEX(Portfolio!$B:$B, MATCH($B510, Portfolio!$A:$A, 0)),Transactions!$B510)</f>
        <v/>
      </c>
      <c r="D510" s="51" t="str">
        <f>IF($B510&lt;&gt;"",Transactions!$E510*1,)</f>
        <v/>
      </c>
      <c r="E510" s="51" t="str">
        <f>IF($B510&lt;&gt;"",Transactions!$F510*1,)</f>
        <v/>
      </c>
      <c r="F510" s="42" t="str">
        <f>IF(Transactions!$G510&lt;&gt;"",Transactions!$H510&amp;" "&amp;Transactions!$G510,)</f>
        <v/>
      </c>
    </row>
    <row r="511">
      <c r="A511" s="55" t="str">
        <f>IF(Transactions!$B511&lt;&gt;"",DATE(LEFT(Transactions!$B511,4),MID(Transactions!$B511,6,2),MID(Transactions!$B511,9,2)),)</f>
        <v/>
      </c>
      <c r="B511" s="56" t="str">
        <f>Transactions!$C511</f>
        <v/>
      </c>
      <c r="C511" s="51" t="str">
        <f t="array" ref="C511">IFERROR(INDEX(Portfolio!$B:$B, MATCH($B511, Portfolio!$A:$A, 0)),Transactions!$B511)</f>
        <v/>
      </c>
      <c r="D511" s="51" t="str">
        <f>IF($B511&lt;&gt;"",Transactions!$E511*1,)</f>
        <v/>
      </c>
      <c r="E511" s="51" t="str">
        <f>IF($B511&lt;&gt;"",Transactions!$F511*1,)</f>
        <v/>
      </c>
      <c r="F511" s="42" t="str">
        <f>IF(Transactions!$G511&lt;&gt;"",Transactions!$H511&amp;" "&amp;Transactions!$G511,)</f>
        <v/>
      </c>
    </row>
    <row r="512">
      <c r="A512" s="55" t="str">
        <f>IF(Transactions!$B512&lt;&gt;"",DATE(LEFT(Transactions!$B512,4),MID(Transactions!$B512,6,2),MID(Transactions!$B512,9,2)),)</f>
        <v/>
      </c>
      <c r="B512" s="56" t="str">
        <f>Transactions!$C512</f>
        <v/>
      </c>
      <c r="C512" s="51" t="str">
        <f t="array" ref="C512">IFERROR(INDEX(Portfolio!$B:$B, MATCH($B512, Portfolio!$A:$A, 0)),Transactions!$B512)</f>
        <v/>
      </c>
      <c r="D512" s="51" t="str">
        <f>IF($B512&lt;&gt;"",Transactions!$E512*1,)</f>
        <v/>
      </c>
      <c r="E512" s="51" t="str">
        <f>IF($B512&lt;&gt;"",Transactions!$F512*1,)</f>
        <v/>
      </c>
      <c r="F512" s="42" t="str">
        <f>IF(Transactions!$G512&lt;&gt;"",Transactions!$H512&amp;" "&amp;Transactions!$G512,)</f>
        <v/>
      </c>
    </row>
    <row r="513">
      <c r="A513" s="55" t="str">
        <f>IF(Transactions!$B513&lt;&gt;"",DATE(LEFT(Transactions!$B513,4),MID(Transactions!$B513,6,2),MID(Transactions!$B513,9,2)),)</f>
        <v/>
      </c>
      <c r="B513" s="56" t="str">
        <f>Transactions!$C513</f>
        <v/>
      </c>
      <c r="C513" s="51" t="str">
        <f t="array" ref="C513">IFERROR(INDEX(Portfolio!$B:$B, MATCH($B513, Portfolio!$A:$A, 0)),Transactions!$B513)</f>
        <v/>
      </c>
      <c r="D513" s="51" t="str">
        <f>IF($B513&lt;&gt;"",Transactions!$E513*1,)</f>
        <v/>
      </c>
      <c r="E513" s="51" t="str">
        <f>IF($B513&lt;&gt;"",Transactions!$F513*1,)</f>
        <v/>
      </c>
      <c r="F513" s="42" t="str">
        <f>IF(Transactions!$G513&lt;&gt;"",Transactions!$H513&amp;" "&amp;Transactions!$G513,)</f>
        <v/>
      </c>
    </row>
    <row r="514">
      <c r="A514" s="55" t="str">
        <f>IF(Transactions!$B514&lt;&gt;"",DATE(LEFT(Transactions!$B514,4),MID(Transactions!$B514,6,2),MID(Transactions!$B514,9,2)),)</f>
        <v/>
      </c>
      <c r="B514" s="56" t="str">
        <f>Transactions!$C514</f>
        <v/>
      </c>
      <c r="C514" s="51" t="str">
        <f t="array" ref="C514">IFERROR(INDEX(Portfolio!$B:$B, MATCH($B514, Portfolio!$A:$A, 0)),Transactions!$B514)</f>
        <v/>
      </c>
      <c r="D514" s="51" t="str">
        <f>IF($B514&lt;&gt;"",Transactions!$E514*1,)</f>
        <v/>
      </c>
      <c r="E514" s="51" t="str">
        <f>IF($B514&lt;&gt;"",Transactions!$F514*1,)</f>
        <v/>
      </c>
      <c r="F514" s="42" t="str">
        <f>IF(Transactions!$G514&lt;&gt;"",Transactions!$H514&amp;" "&amp;Transactions!$G514,)</f>
        <v/>
      </c>
    </row>
    <row r="515">
      <c r="A515" s="55" t="str">
        <f>IF(Transactions!$B515&lt;&gt;"",DATE(LEFT(Transactions!$B515,4),MID(Transactions!$B515,6,2),MID(Transactions!$B515,9,2)),)</f>
        <v/>
      </c>
      <c r="B515" s="56" t="str">
        <f>Transactions!$C515</f>
        <v/>
      </c>
      <c r="C515" s="51" t="str">
        <f t="array" ref="C515">IFERROR(INDEX(Portfolio!$B:$B, MATCH($B515, Portfolio!$A:$A, 0)),Transactions!$B515)</f>
        <v/>
      </c>
      <c r="D515" s="51" t="str">
        <f>IF($B515&lt;&gt;"",Transactions!$E515*1,)</f>
        <v/>
      </c>
      <c r="E515" s="51" t="str">
        <f>IF($B515&lt;&gt;"",Transactions!$F515*1,)</f>
        <v/>
      </c>
      <c r="F515" s="42" t="str">
        <f>IF(Transactions!$G515&lt;&gt;"",Transactions!$H515&amp;" "&amp;Transactions!$G515,)</f>
        <v/>
      </c>
    </row>
    <row r="516">
      <c r="A516" s="55" t="str">
        <f>IF(Transactions!$B516&lt;&gt;"",DATE(LEFT(Transactions!$B516,4),MID(Transactions!$B516,6,2),MID(Transactions!$B516,9,2)),)</f>
        <v/>
      </c>
      <c r="B516" s="56" t="str">
        <f>Transactions!$C516</f>
        <v/>
      </c>
      <c r="C516" s="51" t="str">
        <f t="array" ref="C516">IFERROR(INDEX(Portfolio!$B:$B, MATCH($B516, Portfolio!$A:$A, 0)),Transactions!$B516)</f>
        <v/>
      </c>
      <c r="D516" s="51" t="str">
        <f>IF($B516&lt;&gt;"",Transactions!$E516*1,)</f>
        <v/>
      </c>
      <c r="E516" s="51" t="str">
        <f>IF($B516&lt;&gt;"",Transactions!$F516*1,)</f>
        <v/>
      </c>
      <c r="F516" s="42" t="str">
        <f>IF(Transactions!$G516&lt;&gt;"",Transactions!$H516&amp;" "&amp;Transactions!$G516,)</f>
        <v/>
      </c>
    </row>
    <row r="517">
      <c r="A517" s="55" t="str">
        <f>IF(Transactions!$B517&lt;&gt;"",DATE(LEFT(Transactions!$B517,4),MID(Transactions!$B517,6,2),MID(Transactions!$B517,9,2)),)</f>
        <v/>
      </c>
      <c r="B517" s="56" t="str">
        <f>Transactions!$C517</f>
        <v/>
      </c>
      <c r="C517" s="51" t="str">
        <f t="array" ref="C517">IFERROR(INDEX(Portfolio!$B:$B, MATCH($B517, Portfolio!$A:$A, 0)),Transactions!$B517)</f>
        <v/>
      </c>
      <c r="D517" s="51" t="str">
        <f>IF($B517&lt;&gt;"",Transactions!$E517*1,)</f>
        <v/>
      </c>
      <c r="E517" s="51" t="str">
        <f>IF($B517&lt;&gt;"",Transactions!$F517*1,)</f>
        <v/>
      </c>
      <c r="F517" s="42" t="str">
        <f>IF(Transactions!$G517&lt;&gt;"",Transactions!$H517&amp;" "&amp;Transactions!$G517,)</f>
        <v/>
      </c>
    </row>
    <row r="518">
      <c r="A518" s="55" t="str">
        <f>IF(Transactions!$B518&lt;&gt;"",DATE(LEFT(Transactions!$B518,4),MID(Transactions!$B518,6,2),MID(Transactions!$B518,9,2)),)</f>
        <v/>
      </c>
      <c r="B518" s="56" t="str">
        <f>Transactions!$C518</f>
        <v/>
      </c>
      <c r="C518" s="51" t="str">
        <f t="array" ref="C518">IFERROR(INDEX(Portfolio!$B:$B, MATCH($B518, Portfolio!$A:$A, 0)),Transactions!$B518)</f>
        <v/>
      </c>
      <c r="D518" s="51" t="str">
        <f>IF($B518&lt;&gt;"",Transactions!$E518*1,)</f>
        <v/>
      </c>
      <c r="E518" s="51" t="str">
        <f>IF($B518&lt;&gt;"",Transactions!$F518*1,)</f>
        <v/>
      </c>
      <c r="F518" s="42" t="str">
        <f>IF(Transactions!$G518&lt;&gt;"",Transactions!$H518&amp;" "&amp;Transactions!$G518,)</f>
        <v/>
      </c>
    </row>
    <row r="519">
      <c r="A519" s="55" t="str">
        <f>IF(Transactions!$B519&lt;&gt;"",DATE(LEFT(Transactions!$B519,4),MID(Transactions!$B519,6,2),MID(Transactions!$B519,9,2)),)</f>
        <v/>
      </c>
      <c r="B519" s="56" t="str">
        <f>Transactions!$C519</f>
        <v/>
      </c>
      <c r="C519" s="51" t="str">
        <f t="array" ref="C519">IFERROR(INDEX(Portfolio!$B:$B, MATCH($B519, Portfolio!$A:$A, 0)),Transactions!$B519)</f>
        <v/>
      </c>
      <c r="D519" s="51" t="str">
        <f>IF($B519&lt;&gt;"",Transactions!$E519*1,)</f>
        <v/>
      </c>
      <c r="E519" s="51" t="str">
        <f>IF($B519&lt;&gt;"",Transactions!$F519*1,)</f>
        <v/>
      </c>
      <c r="F519" s="42" t="str">
        <f>IF(Transactions!$G519&lt;&gt;"",Transactions!$H519&amp;" "&amp;Transactions!$G519,)</f>
        <v/>
      </c>
    </row>
    <row r="520">
      <c r="A520" s="55" t="str">
        <f>IF(Transactions!$B520&lt;&gt;"",DATE(LEFT(Transactions!$B520,4),MID(Transactions!$B520,6,2),MID(Transactions!$B520,9,2)),)</f>
        <v/>
      </c>
      <c r="B520" s="56" t="str">
        <f>Transactions!$C520</f>
        <v/>
      </c>
      <c r="C520" s="51" t="str">
        <f t="array" ref="C520">IFERROR(INDEX(Portfolio!$B:$B, MATCH($B520, Portfolio!$A:$A, 0)),Transactions!$B520)</f>
        <v/>
      </c>
      <c r="D520" s="51" t="str">
        <f>IF($B520&lt;&gt;"",Transactions!$E520*1,)</f>
        <v/>
      </c>
      <c r="E520" s="51" t="str">
        <f>IF($B520&lt;&gt;"",Transactions!$F520*1,)</f>
        <v/>
      </c>
      <c r="F520" s="42" t="str">
        <f>IF(Transactions!$G520&lt;&gt;"",Transactions!$H520&amp;" "&amp;Transactions!$G520,)</f>
        <v/>
      </c>
    </row>
    <row r="521">
      <c r="A521" s="55" t="str">
        <f>IF(Transactions!$B521&lt;&gt;"",DATE(LEFT(Transactions!$B521,4),MID(Transactions!$B521,6,2),MID(Transactions!$B521,9,2)),)</f>
        <v/>
      </c>
      <c r="B521" s="56" t="str">
        <f>Transactions!$C521</f>
        <v/>
      </c>
      <c r="C521" s="51" t="str">
        <f t="array" ref="C521">IFERROR(INDEX(Portfolio!$B:$B, MATCH($B521, Portfolio!$A:$A, 0)),Transactions!$B521)</f>
        <v/>
      </c>
      <c r="D521" s="51" t="str">
        <f>IF($B521&lt;&gt;"",Transactions!$E521*1,)</f>
        <v/>
      </c>
      <c r="E521" s="51" t="str">
        <f>IF($B521&lt;&gt;"",Transactions!$F521*1,)</f>
        <v/>
      </c>
      <c r="F521" s="42" t="str">
        <f>IF(Transactions!$G521&lt;&gt;"",Transactions!$H521&amp;" "&amp;Transactions!$G521,)</f>
        <v/>
      </c>
    </row>
    <row r="522">
      <c r="A522" s="55" t="str">
        <f>IF(Transactions!$B522&lt;&gt;"",DATE(LEFT(Transactions!$B522,4),MID(Transactions!$B522,6,2),MID(Transactions!$B522,9,2)),)</f>
        <v/>
      </c>
      <c r="B522" s="56" t="str">
        <f>Transactions!$C522</f>
        <v/>
      </c>
      <c r="C522" s="51" t="str">
        <f t="array" ref="C522">IFERROR(INDEX(Portfolio!$B:$B, MATCH($B522, Portfolio!$A:$A, 0)),Transactions!$B522)</f>
        <v/>
      </c>
      <c r="D522" s="51" t="str">
        <f>IF($B522&lt;&gt;"",Transactions!$E522*1,)</f>
        <v/>
      </c>
      <c r="E522" s="51" t="str">
        <f>IF($B522&lt;&gt;"",Transactions!$F522*1,)</f>
        <v/>
      </c>
      <c r="F522" s="42" t="str">
        <f>IF(Transactions!$G522&lt;&gt;"",Transactions!$H522&amp;" "&amp;Transactions!$G522,)</f>
        <v/>
      </c>
    </row>
    <row r="523">
      <c r="A523" s="55" t="str">
        <f>IF(Transactions!$B523&lt;&gt;"",DATE(LEFT(Transactions!$B523,4),MID(Transactions!$B523,6,2),MID(Transactions!$B523,9,2)),)</f>
        <v/>
      </c>
      <c r="B523" s="56" t="str">
        <f>Transactions!$C523</f>
        <v/>
      </c>
      <c r="C523" s="51" t="str">
        <f t="array" ref="C523">IFERROR(INDEX(Portfolio!$B:$B, MATCH($B523, Portfolio!$A:$A, 0)),Transactions!$B523)</f>
        <v/>
      </c>
      <c r="D523" s="51" t="str">
        <f>IF($B523&lt;&gt;"",Transactions!$E523*1,)</f>
        <v/>
      </c>
      <c r="E523" s="51" t="str">
        <f>IF($B523&lt;&gt;"",Transactions!$F523*1,)</f>
        <v/>
      </c>
      <c r="F523" s="42" t="str">
        <f>IF(Transactions!$G523&lt;&gt;"",Transactions!$H523&amp;" "&amp;Transactions!$G523,)</f>
        <v/>
      </c>
    </row>
    <row r="524">
      <c r="A524" s="55" t="str">
        <f>IF(Transactions!$B524&lt;&gt;"",DATE(LEFT(Transactions!$B524,4),MID(Transactions!$B524,6,2),MID(Transactions!$B524,9,2)),)</f>
        <v/>
      </c>
      <c r="B524" s="56" t="str">
        <f>Transactions!$C524</f>
        <v/>
      </c>
      <c r="C524" s="51" t="str">
        <f t="array" ref="C524">IFERROR(INDEX(Portfolio!$B:$B, MATCH($B524, Portfolio!$A:$A, 0)),Transactions!$B524)</f>
        <v/>
      </c>
      <c r="D524" s="51" t="str">
        <f>IF($B524&lt;&gt;"",Transactions!$E524*1,)</f>
        <v/>
      </c>
      <c r="E524" s="51" t="str">
        <f>IF($B524&lt;&gt;"",Transactions!$F524*1,)</f>
        <v/>
      </c>
      <c r="F524" s="42" t="str">
        <f>IF(Transactions!$G524&lt;&gt;"",Transactions!$H524&amp;" "&amp;Transactions!$G524,)</f>
        <v/>
      </c>
    </row>
    <row r="525">
      <c r="A525" s="55" t="str">
        <f>IF(Transactions!$B525&lt;&gt;"",DATE(LEFT(Transactions!$B525,4),MID(Transactions!$B525,6,2),MID(Transactions!$B525,9,2)),)</f>
        <v/>
      </c>
      <c r="B525" s="56" t="str">
        <f>Transactions!$C525</f>
        <v/>
      </c>
      <c r="C525" s="51" t="str">
        <f t="array" ref="C525">IFERROR(INDEX(Portfolio!$B:$B, MATCH($B525, Portfolio!$A:$A, 0)),Transactions!$B525)</f>
        <v/>
      </c>
      <c r="D525" s="51" t="str">
        <f>IF($B525&lt;&gt;"",Transactions!$E525*1,)</f>
        <v/>
      </c>
      <c r="E525" s="51" t="str">
        <f>IF($B525&lt;&gt;"",Transactions!$F525*1,)</f>
        <v/>
      </c>
      <c r="F525" s="42" t="str">
        <f>IF(Transactions!$G525&lt;&gt;"",Transactions!$H525&amp;" "&amp;Transactions!$G525,)</f>
        <v/>
      </c>
    </row>
    <row r="526">
      <c r="A526" s="55" t="str">
        <f>IF(Transactions!$B526&lt;&gt;"",DATE(LEFT(Transactions!$B526,4),MID(Transactions!$B526,6,2),MID(Transactions!$B526,9,2)),)</f>
        <v/>
      </c>
      <c r="B526" s="56" t="str">
        <f>Transactions!$C526</f>
        <v/>
      </c>
      <c r="C526" s="51" t="str">
        <f t="array" ref="C526">IFERROR(INDEX(Portfolio!$B:$B, MATCH($B526, Portfolio!$A:$A, 0)),Transactions!$B526)</f>
        <v/>
      </c>
      <c r="D526" s="51" t="str">
        <f>IF($B526&lt;&gt;"",Transactions!$E526*1,)</f>
        <v/>
      </c>
      <c r="E526" s="51" t="str">
        <f>IF($B526&lt;&gt;"",Transactions!$F526*1,)</f>
        <v/>
      </c>
      <c r="F526" s="42" t="str">
        <f>IF(Transactions!$G526&lt;&gt;"",Transactions!$H526&amp;" "&amp;Transactions!$G526,)</f>
        <v/>
      </c>
    </row>
    <row r="527">
      <c r="A527" s="55" t="str">
        <f>IF(Transactions!$B527&lt;&gt;"",DATE(LEFT(Transactions!$B527,4),MID(Transactions!$B527,6,2),MID(Transactions!$B527,9,2)),)</f>
        <v/>
      </c>
      <c r="B527" s="56" t="str">
        <f>Transactions!$C527</f>
        <v/>
      </c>
      <c r="C527" s="51" t="str">
        <f t="array" ref="C527">IFERROR(INDEX(Portfolio!$B:$B, MATCH($B527, Portfolio!$A:$A, 0)),Transactions!$B527)</f>
        <v/>
      </c>
      <c r="D527" s="51" t="str">
        <f>IF($B527&lt;&gt;"",Transactions!$E527*1,)</f>
        <v/>
      </c>
      <c r="E527" s="51" t="str">
        <f>IF($B527&lt;&gt;"",Transactions!$F527*1,)</f>
        <v/>
      </c>
      <c r="F527" s="42" t="str">
        <f>IF(Transactions!$G527&lt;&gt;"",Transactions!$H527&amp;" "&amp;Transactions!$G527,)</f>
        <v/>
      </c>
    </row>
    <row r="528">
      <c r="A528" s="55" t="str">
        <f>IF(Transactions!$B528&lt;&gt;"",DATE(LEFT(Transactions!$B528,4),MID(Transactions!$B528,6,2),MID(Transactions!$B528,9,2)),)</f>
        <v/>
      </c>
      <c r="B528" s="56" t="str">
        <f>Transactions!$C528</f>
        <v/>
      </c>
      <c r="C528" s="51" t="str">
        <f t="array" ref="C528">IFERROR(INDEX(Portfolio!$B:$B, MATCH($B528, Portfolio!$A:$A, 0)),Transactions!$B528)</f>
        <v/>
      </c>
      <c r="D528" s="51" t="str">
        <f>IF($B528&lt;&gt;"",Transactions!$E528*1,)</f>
        <v/>
      </c>
      <c r="E528" s="51" t="str">
        <f>IF($B528&lt;&gt;"",Transactions!$F528*1,)</f>
        <v/>
      </c>
      <c r="F528" s="42" t="str">
        <f>IF(Transactions!$G528&lt;&gt;"",Transactions!$H528&amp;" "&amp;Transactions!$G528,)</f>
        <v/>
      </c>
    </row>
    <row r="529">
      <c r="A529" s="55" t="str">
        <f>IF(Transactions!$B529&lt;&gt;"",DATE(LEFT(Transactions!$B529,4),MID(Transactions!$B529,6,2),MID(Transactions!$B529,9,2)),)</f>
        <v/>
      </c>
      <c r="B529" s="56" t="str">
        <f>Transactions!$C529</f>
        <v/>
      </c>
      <c r="C529" s="51" t="str">
        <f t="array" ref="C529">IFERROR(INDEX(Portfolio!$B:$B, MATCH($B529, Portfolio!$A:$A, 0)),Transactions!$B529)</f>
        <v/>
      </c>
      <c r="D529" s="51" t="str">
        <f>IF($B529&lt;&gt;"",Transactions!$E529*1,)</f>
        <v/>
      </c>
      <c r="E529" s="51" t="str">
        <f>IF($B529&lt;&gt;"",Transactions!$F529*1,)</f>
        <v/>
      </c>
      <c r="F529" s="42" t="str">
        <f>IF(Transactions!$G529&lt;&gt;"",Transactions!$H529&amp;" "&amp;Transactions!$G529,)</f>
        <v/>
      </c>
    </row>
    <row r="530">
      <c r="A530" s="55" t="str">
        <f>IF(Transactions!$B530&lt;&gt;"",DATE(LEFT(Transactions!$B530,4),MID(Transactions!$B530,6,2),MID(Transactions!$B530,9,2)),)</f>
        <v/>
      </c>
      <c r="B530" s="56" t="str">
        <f>Transactions!$C530</f>
        <v/>
      </c>
      <c r="C530" s="51" t="str">
        <f t="array" ref="C530">IFERROR(INDEX(Portfolio!$B:$B, MATCH($B530, Portfolio!$A:$A, 0)),Transactions!$B530)</f>
        <v/>
      </c>
      <c r="D530" s="51" t="str">
        <f>IF($B530&lt;&gt;"",Transactions!$E530*1,)</f>
        <v/>
      </c>
      <c r="E530" s="51" t="str">
        <f>IF($B530&lt;&gt;"",Transactions!$F530*1,)</f>
        <v/>
      </c>
      <c r="F530" s="42" t="str">
        <f>IF(Transactions!$G530&lt;&gt;"",Transactions!$H530&amp;" "&amp;Transactions!$G530,)</f>
        <v/>
      </c>
    </row>
    <row r="531">
      <c r="A531" s="55" t="str">
        <f>IF(Transactions!$B531&lt;&gt;"",DATE(LEFT(Transactions!$B531,4),MID(Transactions!$B531,6,2),MID(Transactions!$B531,9,2)),)</f>
        <v/>
      </c>
      <c r="B531" s="56" t="str">
        <f>Transactions!$C531</f>
        <v/>
      </c>
      <c r="C531" s="51" t="str">
        <f t="array" ref="C531">IFERROR(INDEX(Portfolio!$B:$B, MATCH($B531, Portfolio!$A:$A, 0)),Transactions!$B531)</f>
        <v/>
      </c>
      <c r="D531" s="51" t="str">
        <f>IF($B531&lt;&gt;"",Transactions!$E531*1,)</f>
        <v/>
      </c>
      <c r="E531" s="51" t="str">
        <f>IF($B531&lt;&gt;"",Transactions!$F531*1,)</f>
        <v/>
      </c>
      <c r="F531" s="42" t="str">
        <f>IF(Transactions!$G531&lt;&gt;"",Transactions!$H531&amp;" "&amp;Transactions!$G531,)</f>
        <v/>
      </c>
    </row>
    <row r="532">
      <c r="A532" s="55" t="str">
        <f>IF(Transactions!$B532&lt;&gt;"",DATE(LEFT(Transactions!$B532,4),MID(Transactions!$B532,6,2),MID(Transactions!$B532,9,2)),)</f>
        <v/>
      </c>
      <c r="B532" s="56" t="str">
        <f>Transactions!$C532</f>
        <v/>
      </c>
      <c r="C532" s="51" t="str">
        <f t="array" ref="C532">IFERROR(INDEX(Portfolio!$B:$B, MATCH($B532, Portfolio!$A:$A, 0)),Transactions!$B532)</f>
        <v/>
      </c>
      <c r="D532" s="51" t="str">
        <f>IF($B532&lt;&gt;"",Transactions!$E532*1,)</f>
        <v/>
      </c>
      <c r="E532" s="51" t="str">
        <f>IF($B532&lt;&gt;"",Transactions!$F532*1,)</f>
        <v/>
      </c>
      <c r="F532" s="42" t="str">
        <f>IF(Transactions!$G532&lt;&gt;"",Transactions!$H532&amp;" "&amp;Transactions!$G532,)</f>
        <v/>
      </c>
    </row>
    <row r="533">
      <c r="A533" s="55" t="str">
        <f>IF(Transactions!$B533&lt;&gt;"",DATE(LEFT(Transactions!$B533,4),MID(Transactions!$B533,6,2),MID(Transactions!$B533,9,2)),)</f>
        <v/>
      </c>
      <c r="B533" s="56" t="str">
        <f>Transactions!$C533</f>
        <v/>
      </c>
      <c r="C533" s="51" t="str">
        <f t="array" ref="C533">IFERROR(INDEX(Portfolio!$B:$B, MATCH($B533, Portfolio!$A:$A, 0)),Transactions!$B533)</f>
        <v/>
      </c>
      <c r="D533" s="51" t="str">
        <f>IF($B533&lt;&gt;"",Transactions!$E533*1,)</f>
        <v/>
      </c>
      <c r="E533" s="51" t="str">
        <f>IF($B533&lt;&gt;"",Transactions!$F533*1,)</f>
        <v/>
      </c>
      <c r="F533" s="42" t="str">
        <f>IF(Transactions!$G533&lt;&gt;"",Transactions!$H533&amp;" "&amp;Transactions!$G533,)</f>
        <v/>
      </c>
    </row>
    <row r="534">
      <c r="A534" s="55" t="str">
        <f>IF(Transactions!$B534&lt;&gt;"",DATE(LEFT(Transactions!$B534,4),MID(Transactions!$B534,6,2),MID(Transactions!$B534,9,2)),)</f>
        <v/>
      </c>
      <c r="B534" s="56" t="str">
        <f>Transactions!$C534</f>
        <v/>
      </c>
      <c r="C534" s="51" t="str">
        <f t="array" ref="C534">IFERROR(INDEX(Portfolio!$B:$B, MATCH($B534, Portfolio!$A:$A, 0)),Transactions!$B534)</f>
        <v/>
      </c>
      <c r="D534" s="51" t="str">
        <f>IF($B534&lt;&gt;"",Transactions!$E534*1,)</f>
        <v/>
      </c>
      <c r="E534" s="51" t="str">
        <f>IF($B534&lt;&gt;"",Transactions!$F534*1,)</f>
        <v/>
      </c>
      <c r="F534" s="42" t="str">
        <f>IF(Transactions!$G534&lt;&gt;"",Transactions!$H534&amp;" "&amp;Transactions!$G534,)</f>
        <v/>
      </c>
    </row>
    <row r="535">
      <c r="A535" s="55" t="str">
        <f>IF(Transactions!$B535&lt;&gt;"",DATE(LEFT(Transactions!$B535,4),MID(Transactions!$B535,6,2),MID(Transactions!$B535,9,2)),)</f>
        <v/>
      </c>
      <c r="B535" s="56" t="str">
        <f>Transactions!$C535</f>
        <v/>
      </c>
      <c r="C535" s="51" t="str">
        <f t="array" ref="C535">IFERROR(INDEX(Portfolio!$B:$B, MATCH($B535, Portfolio!$A:$A, 0)),Transactions!$B535)</f>
        <v/>
      </c>
      <c r="D535" s="51" t="str">
        <f>IF($B535&lt;&gt;"",Transactions!$E535*1,)</f>
        <v/>
      </c>
      <c r="E535" s="51" t="str">
        <f>IF($B535&lt;&gt;"",Transactions!$F535*1,)</f>
        <v/>
      </c>
      <c r="F535" s="42" t="str">
        <f>IF(Transactions!$G535&lt;&gt;"",Transactions!$H535&amp;" "&amp;Transactions!$G535,)</f>
        <v/>
      </c>
    </row>
    <row r="536">
      <c r="A536" s="55" t="str">
        <f>IF(Transactions!$B536&lt;&gt;"",DATE(LEFT(Transactions!$B536,4),MID(Transactions!$B536,6,2),MID(Transactions!$B536,9,2)),)</f>
        <v/>
      </c>
      <c r="B536" s="56" t="str">
        <f>Transactions!$C536</f>
        <v/>
      </c>
      <c r="C536" s="51" t="str">
        <f t="array" ref="C536">IFERROR(INDEX(Portfolio!$B:$B, MATCH($B536, Portfolio!$A:$A, 0)),Transactions!$B536)</f>
        <v/>
      </c>
      <c r="D536" s="51" t="str">
        <f>IF($B536&lt;&gt;"",Transactions!$E536*1,)</f>
        <v/>
      </c>
      <c r="E536" s="51" t="str">
        <f>IF($B536&lt;&gt;"",Transactions!$F536*1,)</f>
        <v/>
      </c>
      <c r="F536" s="42" t="str">
        <f>IF(Transactions!$G536&lt;&gt;"",Transactions!$H536&amp;" "&amp;Transactions!$G536,)</f>
        <v/>
      </c>
    </row>
    <row r="537">
      <c r="A537" s="55" t="str">
        <f>IF(Transactions!$B537&lt;&gt;"",DATE(LEFT(Transactions!$B537,4),MID(Transactions!$B537,6,2),MID(Transactions!$B537,9,2)),)</f>
        <v/>
      </c>
      <c r="B537" s="56" t="str">
        <f>Transactions!$C537</f>
        <v/>
      </c>
      <c r="C537" s="51" t="str">
        <f t="array" ref="C537">IFERROR(INDEX(Portfolio!$B:$B, MATCH($B537, Portfolio!$A:$A, 0)),Transactions!$B537)</f>
        <v/>
      </c>
      <c r="D537" s="51" t="str">
        <f>IF($B537&lt;&gt;"",Transactions!$E537*1,)</f>
        <v/>
      </c>
      <c r="E537" s="51" t="str">
        <f>IF($B537&lt;&gt;"",Transactions!$F537*1,)</f>
        <v/>
      </c>
      <c r="F537" s="42" t="str">
        <f>IF(Transactions!$G537&lt;&gt;"",Transactions!$H537&amp;" "&amp;Transactions!$G537,)</f>
        <v/>
      </c>
    </row>
    <row r="538">
      <c r="A538" s="55" t="str">
        <f>IF(Transactions!$B538&lt;&gt;"",DATE(LEFT(Transactions!$B538,4),MID(Transactions!$B538,6,2),MID(Transactions!$B538,9,2)),)</f>
        <v/>
      </c>
      <c r="B538" s="56" t="str">
        <f>Transactions!$C538</f>
        <v/>
      </c>
      <c r="C538" s="51" t="str">
        <f t="array" ref="C538">IFERROR(INDEX(Portfolio!$B:$B, MATCH($B538, Portfolio!$A:$A, 0)),Transactions!$B538)</f>
        <v/>
      </c>
      <c r="D538" s="51" t="str">
        <f>IF($B538&lt;&gt;"",Transactions!$E538*1,)</f>
        <v/>
      </c>
      <c r="E538" s="51" t="str">
        <f>IF($B538&lt;&gt;"",Transactions!$F538*1,)</f>
        <v/>
      </c>
      <c r="F538" s="42" t="str">
        <f>IF(Transactions!$G538&lt;&gt;"",Transactions!$H538&amp;" "&amp;Transactions!$G538,)</f>
        <v/>
      </c>
    </row>
    <row r="539">
      <c r="A539" s="55" t="str">
        <f>IF(Transactions!$B539&lt;&gt;"",DATE(LEFT(Transactions!$B539,4),MID(Transactions!$B539,6,2),MID(Transactions!$B539,9,2)),)</f>
        <v/>
      </c>
      <c r="B539" s="56" t="str">
        <f>Transactions!$C539</f>
        <v/>
      </c>
      <c r="C539" s="51" t="str">
        <f t="array" ref="C539">IFERROR(INDEX(Portfolio!$B:$B, MATCH($B539, Portfolio!$A:$A, 0)),Transactions!$B539)</f>
        <v/>
      </c>
      <c r="D539" s="51" t="str">
        <f>IF($B539&lt;&gt;"",Transactions!$E539*1,)</f>
        <v/>
      </c>
      <c r="E539" s="51" t="str">
        <f>IF($B539&lt;&gt;"",Transactions!$F539*1,)</f>
        <v/>
      </c>
      <c r="F539" s="42" t="str">
        <f>IF(Transactions!$G539&lt;&gt;"",Transactions!$H539&amp;" "&amp;Transactions!$G539,)</f>
        <v/>
      </c>
    </row>
    <row r="540">
      <c r="A540" s="55" t="str">
        <f>IF(Transactions!$B540&lt;&gt;"",DATE(LEFT(Transactions!$B540,4),MID(Transactions!$B540,6,2),MID(Transactions!$B540,9,2)),)</f>
        <v/>
      </c>
      <c r="B540" s="56" t="str">
        <f>Transactions!$C540</f>
        <v/>
      </c>
      <c r="C540" s="51" t="str">
        <f t="array" ref="C540">IFERROR(INDEX(Portfolio!$B:$B, MATCH($B540, Portfolio!$A:$A, 0)),Transactions!$B540)</f>
        <v/>
      </c>
      <c r="D540" s="51" t="str">
        <f>IF($B540&lt;&gt;"",Transactions!$E540*1,)</f>
        <v/>
      </c>
      <c r="E540" s="51" t="str">
        <f>IF($B540&lt;&gt;"",Transactions!$F540*1,)</f>
        <v/>
      </c>
      <c r="F540" s="42" t="str">
        <f>IF(Transactions!$G540&lt;&gt;"",Transactions!$H540&amp;" "&amp;Transactions!$G540,)</f>
        <v/>
      </c>
    </row>
    <row r="541">
      <c r="A541" s="55" t="str">
        <f>IF(Transactions!$B541&lt;&gt;"",DATE(LEFT(Transactions!$B541,4),MID(Transactions!$B541,6,2),MID(Transactions!$B541,9,2)),)</f>
        <v/>
      </c>
      <c r="B541" s="56" t="str">
        <f>Transactions!$C541</f>
        <v/>
      </c>
      <c r="C541" s="51" t="str">
        <f t="array" ref="C541">IFERROR(INDEX(Portfolio!$B:$B, MATCH($B541, Portfolio!$A:$A, 0)),Transactions!$B541)</f>
        <v/>
      </c>
      <c r="D541" s="51" t="str">
        <f>IF($B541&lt;&gt;"",Transactions!$E541*1,)</f>
        <v/>
      </c>
      <c r="E541" s="51" t="str">
        <f>IF($B541&lt;&gt;"",Transactions!$F541*1,)</f>
        <v/>
      </c>
      <c r="F541" s="42" t="str">
        <f>IF(Transactions!$G541&lt;&gt;"",Transactions!$H541&amp;" "&amp;Transactions!$G541,)</f>
        <v/>
      </c>
    </row>
    <row r="542">
      <c r="A542" s="55" t="str">
        <f>IF(Transactions!$B542&lt;&gt;"",DATE(LEFT(Transactions!$B542,4),MID(Transactions!$B542,6,2),MID(Transactions!$B542,9,2)),)</f>
        <v/>
      </c>
      <c r="B542" s="56" t="str">
        <f>Transactions!$C542</f>
        <v/>
      </c>
      <c r="C542" s="51" t="str">
        <f t="array" ref="C542">IFERROR(INDEX(Portfolio!$B:$B, MATCH($B542, Portfolio!$A:$A, 0)),Transactions!$B542)</f>
        <v/>
      </c>
      <c r="D542" s="51" t="str">
        <f>IF($B542&lt;&gt;"",Transactions!$E542*1,)</f>
        <v/>
      </c>
      <c r="E542" s="51" t="str">
        <f>IF($B542&lt;&gt;"",Transactions!$F542*1,)</f>
        <v/>
      </c>
      <c r="F542" s="42" t="str">
        <f>IF(Transactions!$G542&lt;&gt;"",Transactions!$H542&amp;" "&amp;Transactions!$G542,)</f>
        <v/>
      </c>
    </row>
    <row r="543">
      <c r="A543" s="55" t="str">
        <f>IF(Transactions!$B543&lt;&gt;"",DATE(LEFT(Transactions!$B543,4),MID(Transactions!$B543,6,2),MID(Transactions!$B543,9,2)),)</f>
        <v/>
      </c>
      <c r="B543" s="56" t="str">
        <f>Transactions!$C543</f>
        <v/>
      </c>
      <c r="C543" s="51" t="str">
        <f t="array" ref="C543">IFERROR(INDEX(Portfolio!$B:$B, MATCH($B543, Portfolio!$A:$A, 0)),Transactions!$B543)</f>
        <v/>
      </c>
      <c r="D543" s="51" t="str">
        <f>IF($B543&lt;&gt;"",Transactions!$E543*1,)</f>
        <v/>
      </c>
      <c r="E543" s="51" t="str">
        <f>IF($B543&lt;&gt;"",Transactions!$F543*1,)</f>
        <v/>
      </c>
      <c r="F543" s="42" t="str">
        <f>IF(Transactions!$G543&lt;&gt;"",Transactions!$H543&amp;" "&amp;Transactions!$G543,)</f>
        <v/>
      </c>
    </row>
    <row r="544">
      <c r="A544" s="55" t="str">
        <f>IF(Transactions!$B544&lt;&gt;"",DATE(LEFT(Transactions!$B544,4),MID(Transactions!$B544,6,2),MID(Transactions!$B544,9,2)),)</f>
        <v/>
      </c>
      <c r="B544" s="56" t="str">
        <f>Transactions!$C544</f>
        <v/>
      </c>
      <c r="C544" s="51" t="str">
        <f t="array" ref="C544">IFERROR(INDEX(Portfolio!$B:$B, MATCH($B544, Portfolio!$A:$A, 0)),Transactions!$B544)</f>
        <v/>
      </c>
      <c r="D544" s="51" t="str">
        <f>IF($B544&lt;&gt;"",Transactions!$E544*1,)</f>
        <v/>
      </c>
      <c r="E544" s="51" t="str">
        <f>IF($B544&lt;&gt;"",Transactions!$F544*1,)</f>
        <v/>
      </c>
      <c r="F544" s="42" t="str">
        <f>IF(Transactions!$G544&lt;&gt;"",Transactions!$H544&amp;" "&amp;Transactions!$G544,)</f>
        <v/>
      </c>
    </row>
    <row r="545">
      <c r="A545" s="55" t="str">
        <f>IF(Transactions!$B545&lt;&gt;"",DATE(LEFT(Transactions!$B545,4),MID(Transactions!$B545,6,2),MID(Transactions!$B545,9,2)),)</f>
        <v/>
      </c>
      <c r="B545" s="56" t="str">
        <f>Transactions!$C545</f>
        <v/>
      </c>
      <c r="C545" s="51" t="str">
        <f t="array" ref="C545">IFERROR(INDEX(Portfolio!$B:$B, MATCH($B545, Portfolio!$A:$A, 0)),Transactions!$B545)</f>
        <v/>
      </c>
      <c r="D545" s="51" t="str">
        <f>IF($B545&lt;&gt;"",Transactions!$E545*1,)</f>
        <v/>
      </c>
      <c r="E545" s="51" t="str">
        <f>IF($B545&lt;&gt;"",Transactions!$F545*1,)</f>
        <v/>
      </c>
      <c r="F545" s="42" t="str">
        <f>IF(Transactions!$G545&lt;&gt;"",Transactions!$H545&amp;" "&amp;Transactions!$G545,)</f>
        <v/>
      </c>
    </row>
    <row r="546">
      <c r="A546" s="55" t="str">
        <f>IF(Transactions!$B546&lt;&gt;"",DATE(LEFT(Transactions!$B546,4),MID(Transactions!$B546,6,2),MID(Transactions!$B546,9,2)),)</f>
        <v/>
      </c>
      <c r="B546" s="56" t="str">
        <f>Transactions!$C546</f>
        <v/>
      </c>
      <c r="C546" s="51" t="str">
        <f t="array" ref="C546">IFERROR(INDEX(Portfolio!$B:$B, MATCH($B546, Portfolio!$A:$A, 0)),Transactions!$B546)</f>
        <v/>
      </c>
      <c r="D546" s="51" t="str">
        <f>IF($B546&lt;&gt;"",Transactions!$E546*1,)</f>
        <v/>
      </c>
      <c r="E546" s="51" t="str">
        <f>IF($B546&lt;&gt;"",Transactions!$F546*1,)</f>
        <v/>
      </c>
      <c r="F546" s="42" t="str">
        <f>IF(Transactions!$G546&lt;&gt;"",Transactions!$H546&amp;" "&amp;Transactions!$G546,)</f>
        <v/>
      </c>
    </row>
    <row r="547">
      <c r="A547" s="55" t="str">
        <f>IF(Transactions!$B547&lt;&gt;"",DATE(LEFT(Transactions!$B547,4),MID(Transactions!$B547,6,2),MID(Transactions!$B547,9,2)),)</f>
        <v/>
      </c>
      <c r="B547" s="56" t="str">
        <f>Transactions!$C547</f>
        <v/>
      </c>
      <c r="C547" s="51" t="str">
        <f t="array" ref="C547">IFERROR(INDEX(Portfolio!$B:$B, MATCH($B547, Portfolio!$A:$A, 0)),Transactions!$B547)</f>
        <v/>
      </c>
      <c r="D547" s="51" t="str">
        <f>IF($B547&lt;&gt;"",Transactions!$E547*1,)</f>
        <v/>
      </c>
      <c r="E547" s="51" t="str">
        <f>IF($B547&lt;&gt;"",Transactions!$F547*1,)</f>
        <v/>
      </c>
      <c r="F547" s="42" t="str">
        <f>IF(Transactions!$G547&lt;&gt;"",Transactions!$H547&amp;" "&amp;Transactions!$G547,)</f>
        <v/>
      </c>
    </row>
    <row r="548">
      <c r="A548" s="55" t="str">
        <f>IF(Transactions!$B548&lt;&gt;"",DATE(LEFT(Transactions!$B548,4),MID(Transactions!$B548,6,2),MID(Transactions!$B548,9,2)),)</f>
        <v/>
      </c>
      <c r="B548" s="56" t="str">
        <f>Transactions!$C548</f>
        <v/>
      </c>
      <c r="C548" s="51" t="str">
        <f t="array" ref="C548">IFERROR(INDEX(Portfolio!$B:$B, MATCH($B548, Portfolio!$A:$A, 0)),Transactions!$B548)</f>
        <v/>
      </c>
      <c r="D548" s="51" t="str">
        <f>IF($B548&lt;&gt;"",Transactions!$E548*1,)</f>
        <v/>
      </c>
      <c r="E548" s="51" t="str">
        <f>IF($B548&lt;&gt;"",Transactions!$F548*1,)</f>
        <v/>
      </c>
      <c r="F548" s="42" t="str">
        <f>IF(Transactions!$G548&lt;&gt;"",Transactions!$H548&amp;" "&amp;Transactions!$G548,)</f>
        <v/>
      </c>
    </row>
    <row r="549">
      <c r="A549" s="55" t="str">
        <f>IF(Transactions!$B549&lt;&gt;"",DATE(LEFT(Transactions!$B549,4),MID(Transactions!$B549,6,2),MID(Transactions!$B549,9,2)),)</f>
        <v/>
      </c>
      <c r="B549" s="56" t="str">
        <f>Transactions!$C549</f>
        <v/>
      </c>
      <c r="C549" s="51" t="str">
        <f t="array" ref="C549">IFERROR(INDEX(Portfolio!$B:$B, MATCH($B549, Portfolio!$A:$A, 0)),Transactions!$B549)</f>
        <v/>
      </c>
      <c r="D549" s="51" t="str">
        <f>IF($B549&lt;&gt;"",Transactions!$E549*1,)</f>
        <v/>
      </c>
      <c r="E549" s="51" t="str">
        <f>IF($B549&lt;&gt;"",Transactions!$F549*1,)</f>
        <v/>
      </c>
      <c r="F549" s="42" t="str">
        <f>IF(Transactions!$G549&lt;&gt;"",Transactions!$H549&amp;" "&amp;Transactions!$G549,)</f>
        <v/>
      </c>
    </row>
    <row r="550">
      <c r="A550" s="55" t="str">
        <f>IF(Transactions!$B550&lt;&gt;"",DATE(LEFT(Transactions!$B550,4),MID(Transactions!$B550,6,2),MID(Transactions!$B550,9,2)),)</f>
        <v/>
      </c>
      <c r="B550" s="56" t="str">
        <f>Transactions!$C550</f>
        <v/>
      </c>
      <c r="C550" s="51" t="str">
        <f t="array" ref="C550">IFERROR(INDEX(Portfolio!$B:$B, MATCH($B550, Portfolio!$A:$A, 0)),Transactions!$B550)</f>
        <v/>
      </c>
      <c r="D550" s="51" t="str">
        <f>IF($B550&lt;&gt;"",Transactions!$E550*1,)</f>
        <v/>
      </c>
      <c r="E550" s="51" t="str">
        <f>IF($B550&lt;&gt;"",Transactions!$F550*1,)</f>
        <v/>
      </c>
      <c r="F550" s="42" t="str">
        <f>IF(Transactions!$G550&lt;&gt;"",Transactions!$H550&amp;" "&amp;Transactions!$G550,)</f>
        <v/>
      </c>
    </row>
    <row r="551">
      <c r="A551" s="55" t="str">
        <f>IF(Transactions!$B551&lt;&gt;"",DATE(LEFT(Transactions!$B551,4),MID(Transactions!$B551,6,2),MID(Transactions!$B551,9,2)),)</f>
        <v/>
      </c>
      <c r="B551" s="56" t="str">
        <f>Transactions!$C551</f>
        <v/>
      </c>
      <c r="C551" s="51" t="str">
        <f t="array" ref="C551">IFERROR(INDEX(Portfolio!$B:$B, MATCH($B551, Portfolio!$A:$A, 0)),Transactions!$B551)</f>
        <v/>
      </c>
      <c r="D551" s="51" t="str">
        <f>IF($B551&lt;&gt;"",Transactions!$E551*1,)</f>
        <v/>
      </c>
      <c r="E551" s="51" t="str">
        <f>IF($B551&lt;&gt;"",Transactions!$F551*1,)</f>
        <v/>
      </c>
      <c r="F551" s="42" t="str">
        <f>IF(Transactions!$G551&lt;&gt;"",Transactions!$H551&amp;" "&amp;Transactions!$G551,)</f>
        <v/>
      </c>
    </row>
    <row r="552">
      <c r="A552" s="55" t="str">
        <f>IF(Transactions!$B552&lt;&gt;"",DATE(LEFT(Transactions!$B552,4),MID(Transactions!$B552,6,2),MID(Transactions!$B552,9,2)),)</f>
        <v/>
      </c>
      <c r="B552" s="56" t="str">
        <f>Transactions!$C552</f>
        <v/>
      </c>
      <c r="C552" s="51" t="str">
        <f t="array" ref="C552">IFERROR(INDEX(Portfolio!$B:$B, MATCH($B552, Portfolio!$A:$A, 0)),Transactions!$B552)</f>
        <v/>
      </c>
      <c r="D552" s="51" t="str">
        <f>IF($B552&lt;&gt;"",Transactions!$E552*1,)</f>
        <v/>
      </c>
      <c r="E552" s="51" t="str">
        <f>IF($B552&lt;&gt;"",Transactions!$F552*1,)</f>
        <v/>
      </c>
      <c r="F552" s="42" t="str">
        <f>IF(Transactions!$G552&lt;&gt;"",Transactions!$H552&amp;" "&amp;Transactions!$G552,)</f>
        <v/>
      </c>
    </row>
    <row r="553">
      <c r="A553" s="55" t="str">
        <f>IF(Transactions!$B553&lt;&gt;"",DATE(LEFT(Transactions!$B553,4),MID(Transactions!$B553,6,2),MID(Transactions!$B553,9,2)),)</f>
        <v/>
      </c>
      <c r="B553" s="56" t="str">
        <f>Transactions!$C553</f>
        <v/>
      </c>
      <c r="C553" s="51" t="str">
        <f t="array" ref="C553">IFERROR(INDEX(Portfolio!$B:$B, MATCH($B553, Portfolio!$A:$A, 0)),Transactions!$B553)</f>
        <v/>
      </c>
      <c r="D553" s="51" t="str">
        <f>IF($B553&lt;&gt;"",Transactions!$E553*1,)</f>
        <v/>
      </c>
      <c r="E553" s="51" t="str">
        <f>IF($B553&lt;&gt;"",Transactions!$F553*1,)</f>
        <v/>
      </c>
      <c r="F553" s="42" t="str">
        <f>IF(Transactions!$G553&lt;&gt;"",Transactions!$H553&amp;" "&amp;Transactions!$G553,)</f>
        <v/>
      </c>
    </row>
    <row r="554">
      <c r="A554" s="55" t="str">
        <f>IF(Transactions!$B554&lt;&gt;"",DATE(LEFT(Transactions!$B554,4),MID(Transactions!$B554,6,2),MID(Transactions!$B554,9,2)),)</f>
        <v/>
      </c>
      <c r="B554" s="56" t="str">
        <f>Transactions!$C554</f>
        <v/>
      </c>
      <c r="C554" s="51" t="str">
        <f t="array" ref="C554">IFERROR(INDEX(Portfolio!$B:$B, MATCH($B554, Portfolio!$A:$A, 0)),Transactions!$B554)</f>
        <v/>
      </c>
      <c r="D554" s="51" t="str">
        <f>IF($B554&lt;&gt;"",Transactions!$E554*1,)</f>
        <v/>
      </c>
      <c r="E554" s="51" t="str">
        <f>IF($B554&lt;&gt;"",Transactions!$F554*1,)</f>
        <v/>
      </c>
      <c r="F554" s="42" t="str">
        <f>IF(Transactions!$G554&lt;&gt;"",Transactions!$H554&amp;" "&amp;Transactions!$G554,)</f>
        <v/>
      </c>
    </row>
    <row r="555">
      <c r="A555" s="55" t="str">
        <f>IF(Transactions!$B555&lt;&gt;"",DATE(LEFT(Transactions!$B555,4),MID(Transactions!$B555,6,2),MID(Transactions!$B555,9,2)),)</f>
        <v/>
      </c>
      <c r="B555" s="56" t="str">
        <f>Transactions!$C555</f>
        <v/>
      </c>
      <c r="C555" s="51" t="str">
        <f t="array" ref="C555">IFERROR(INDEX(Portfolio!$B:$B, MATCH($B555, Portfolio!$A:$A, 0)),Transactions!$B555)</f>
        <v/>
      </c>
      <c r="D555" s="51" t="str">
        <f>IF($B555&lt;&gt;"",Transactions!$E555*1,)</f>
        <v/>
      </c>
      <c r="E555" s="51" t="str">
        <f>IF($B555&lt;&gt;"",Transactions!$F555*1,)</f>
        <v/>
      </c>
      <c r="F555" s="42" t="str">
        <f>IF(Transactions!$G555&lt;&gt;"",Transactions!$H555&amp;" "&amp;Transactions!$G555,)</f>
        <v/>
      </c>
    </row>
    <row r="556">
      <c r="A556" s="55" t="str">
        <f>IF(Transactions!$B556&lt;&gt;"",DATE(LEFT(Transactions!$B556,4),MID(Transactions!$B556,6,2),MID(Transactions!$B556,9,2)),)</f>
        <v/>
      </c>
      <c r="B556" s="56" t="str">
        <f>Transactions!$C556</f>
        <v/>
      </c>
      <c r="C556" s="51" t="str">
        <f t="array" ref="C556">IFERROR(INDEX(Portfolio!$B:$B, MATCH($B556, Portfolio!$A:$A, 0)),Transactions!$B556)</f>
        <v/>
      </c>
      <c r="D556" s="51" t="str">
        <f>IF($B556&lt;&gt;"",Transactions!$E556*1,)</f>
        <v/>
      </c>
      <c r="E556" s="51" t="str">
        <f>IF($B556&lt;&gt;"",Transactions!$F556*1,)</f>
        <v/>
      </c>
      <c r="F556" s="42" t="str">
        <f>IF(Transactions!$G556&lt;&gt;"",Transactions!$H556&amp;" "&amp;Transactions!$G556,)</f>
        <v/>
      </c>
    </row>
    <row r="557">
      <c r="A557" s="55" t="str">
        <f>IF(Transactions!$B557&lt;&gt;"",DATE(LEFT(Transactions!$B557,4),MID(Transactions!$B557,6,2),MID(Transactions!$B557,9,2)),)</f>
        <v/>
      </c>
      <c r="B557" s="56" t="str">
        <f>Transactions!$C557</f>
        <v/>
      </c>
      <c r="C557" s="51" t="str">
        <f t="array" ref="C557">IFERROR(INDEX(Portfolio!$B:$B, MATCH($B557, Portfolio!$A:$A, 0)),Transactions!$B557)</f>
        <v/>
      </c>
      <c r="D557" s="51" t="str">
        <f>IF($B557&lt;&gt;"",Transactions!$E557*1,)</f>
        <v/>
      </c>
      <c r="E557" s="51" t="str">
        <f>IF($B557&lt;&gt;"",Transactions!$F557*1,)</f>
        <v/>
      </c>
      <c r="F557" s="42" t="str">
        <f>IF(Transactions!$G557&lt;&gt;"",Transactions!$H557&amp;" "&amp;Transactions!$G557,)</f>
        <v/>
      </c>
    </row>
    <row r="558">
      <c r="A558" s="55" t="str">
        <f>IF(Transactions!$B558&lt;&gt;"",DATE(LEFT(Transactions!$B558,4),MID(Transactions!$B558,6,2),MID(Transactions!$B558,9,2)),)</f>
        <v/>
      </c>
      <c r="B558" s="56" t="str">
        <f>Transactions!$C558</f>
        <v/>
      </c>
      <c r="C558" s="51" t="str">
        <f t="array" ref="C558">IFERROR(INDEX(Portfolio!$B:$B, MATCH($B558, Portfolio!$A:$A, 0)),Transactions!$B558)</f>
        <v/>
      </c>
      <c r="D558" s="51" t="str">
        <f>IF($B558&lt;&gt;"",Transactions!$E558*1,)</f>
        <v/>
      </c>
      <c r="E558" s="51" t="str">
        <f>IF($B558&lt;&gt;"",Transactions!$F558*1,)</f>
        <v/>
      </c>
      <c r="F558" s="42" t="str">
        <f>IF(Transactions!$G558&lt;&gt;"",Transactions!$H558&amp;" "&amp;Transactions!$G558,)</f>
        <v/>
      </c>
    </row>
    <row r="559">
      <c r="A559" s="55" t="str">
        <f>IF(Transactions!$B559&lt;&gt;"",DATE(LEFT(Transactions!$B559,4),MID(Transactions!$B559,6,2),MID(Transactions!$B559,9,2)),)</f>
        <v/>
      </c>
      <c r="B559" s="56" t="str">
        <f>Transactions!$C559</f>
        <v/>
      </c>
      <c r="C559" s="51" t="str">
        <f t="array" ref="C559">IFERROR(INDEX(Portfolio!$B:$B, MATCH($B559, Portfolio!$A:$A, 0)),Transactions!$B559)</f>
        <v/>
      </c>
      <c r="D559" s="51" t="str">
        <f>IF($B559&lt;&gt;"",Transactions!$E559*1,)</f>
        <v/>
      </c>
      <c r="E559" s="51" t="str">
        <f>IF($B559&lt;&gt;"",Transactions!$F559*1,)</f>
        <v/>
      </c>
      <c r="F559" s="42" t="str">
        <f>IF(Transactions!$G559&lt;&gt;"",Transactions!$H559&amp;" "&amp;Transactions!$G559,)</f>
        <v/>
      </c>
    </row>
    <row r="560">
      <c r="A560" s="55" t="str">
        <f>IF(Transactions!$B560&lt;&gt;"",DATE(LEFT(Transactions!$B560,4),MID(Transactions!$B560,6,2),MID(Transactions!$B560,9,2)),)</f>
        <v/>
      </c>
      <c r="B560" s="56" t="str">
        <f>Transactions!$C560</f>
        <v/>
      </c>
      <c r="C560" s="51" t="str">
        <f t="array" ref="C560">IFERROR(INDEX(Portfolio!$B:$B, MATCH($B560, Portfolio!$A:$A, 0)),Transactions!$B560)</f>
        <v/>
      </c>
      <c r="D560" s="51" t="str">
        <f>IF($B560&lt;&gt;"",Transactions!$E560*1,)</f>
        <v/>
      </c>
      <c r="E560" s="51" t="str">
        <f>IF($B560&lt;&gt;"",Transactions!$F560*1,)</f>
        <v/>
      </c>
      <c r="F560" s="42" t="str">
        <f>IF(Transactions!$G560&lt;&gt;"",Transactions!$H560&amp;" "&amp;Transactions!$G560,)</f>
        <v/>
      </c>
    </row>
    <row r="561">
      <c r="A561" s="55" t="str">
        <f>IF(Transactions!$B561&lt;&gt;"",DATE(LEFT(Transactions!$B561,4),MID(Transactions!$B561,6,2),MID(Transactions!$B561,9,2)),)</f>
        <v/>
      </c>
      <c r="B561" s="56" t="str">
        <f>Transactions!$C561</f>
        <v/>
      </c>
      <c r="C561" s="51" t="str">
        <f t="array" ref="C561">IFERROR(INDEX(Portfolio!$B:$B, MATCH($B561, Portfolio!$A:$A, 0)),Transactions!$B561)</f>
        <v/>
      </c>
      <c r="D561" s="51" t="str">
        <f>IF($B561&lt;&gt;"",Transactions!$E561*1,)</f>
        <v/>
      </c>
      <c r="E561" s="51" t="str">
        <f>IF($B561&lt;&gt;"",Transactions!$F561*1,)</f>
        <v/>
      </c>
      <c r="F561" s="42" t="str">
        <f>IF(Transactions!$G561&lt;&gt;"",Transactions!$H561&amp;" "&amp;Transactions!$G561,)</f>
        <v/>
      </c>
    </row>
    <row r="562">
      <c r="A562" s="55" t="str">
        <f>IF(Transactions!$B562&lt;&gt;"",DATE(LEFT(Transactions!$B562,4),MID(Transactions!$B562,6,2),MID(Transactions!$B562,9,2)),)</f>
        <v/>
      </c>
      <c r="B562" s="56" t="str">
        <f>Transactions!$C562</f>
        <v/>
      </c>
      <c r="C562" s="51" t="str">
        <f t="array" ref="C562">IFERROR(INDEX(Portfolio!$B:$B, MATCH($B562, Portfolio!$A:$A, 0)),Transactions!$B562)</f>
        <v/>
      </c>
      <c r="D562" s="51" t="str">
        <f>IF($B562&lt;&gt;"",Transactions!$E562*1,)</f>
        <v/>
      </c>
      <c r="E562" s="51" t="str">
        <f>IF($B562&lt;&gt;"",Transactions!$F562*1,)</f>
        <v/>
      </c>
      <c r="F562" s="42" t="str">
        <f>IF(Transactions!$G562&lt;&gt;"",Transactions!$H562&amp;" "&amp;Transactions!$G562,)</f>
        <v/>
      </c>
    </row>
    <row r="563">
      <c r="A563" s="55" t="str">
        <f>IF(Transactions!$B563&lt;&gt;"",DATE(LEFT(Transactions!$B563,4),MID(Transactions!$B563,6,2),MID(Transactions!$B563,9,2)),)</f>
        <v/>
      </c>
      <c r="B563" s="56" t="str">
        <f>Transactions!$C563</f>
        <v/>
      </c>
      <c r="C563" s="51" t="str">
        <f t="array" ref="C563">IFERROR(INDEX(Portfolio!$B:$B, MATCH($B563, Portfolio!$A:$A, 0)),Transactions!$B563)</f>
        <v/>
      </c>
      <c r="D563" s="51" t="str">
        <f>IF($B563&lt;&gt;"",Transactions!$E563*1,)</f>
        <v/>
      </c>
      <c r="E563" s="51" t="str">
        <f>IF($B563&lt;&gt;"",Transactions!$F563*1,)</f>
        <v/>
      </c>
      <c r="F563" s="42" t="str">
        <f>IF(Transactions!$G563&lt;&gt;"",Transactions!$H563&amp;" "&amp;Transactions!$G563,)</f>
        <v/>
      </c>
    </row>
    <row r="564">
      <c r="A564" s="55" t="str">
        <f>IF(Transactions!$B564&lt;&gt;"",DATE(LEFT(Transactions!$B564,4),MID(Transactions!$B564,6,2),MID(Transactions!$B564,9,2)),)</f>
        <v/>
      </c>
      <c r="B564" s="56" t="str">
        <f>Transactions!$C564</f>
        <v/>
      </c>
      <c r="C564" s="51" t="str">
        <f t="array" ref="C564">IFERROR(INDEX(Portfolio!$B:$B, MATCH($B564, Portfolio!$A:$A, 0)),Transactions!$B564)</f>
        <v/>
      </c>
      <c r="D564" s="51" t="str">
        <f>IF($B564&lt;&gt;"",Transactions!$E564*1,)</f>
        <v/>
      </c>
      <c r="E564" s="51" t="str">
        <f>IF($B564&lt;&gt;"",Transactions!$F564*1,)</f>
        <v/>
      </c>
      <c r="F564" s="42" t="str">
        <f>IF(Transactions!$G564&lt;&gt;"",Transactions!$H564&amp;" "&amp;Transactions!$G564,)</f>
        <v/>
      </c>
    </row>
    <row r="565">
      <c r="A565" s="55" t="str">
        <f>IF(Transactions!$B565&lt;&gt;"",DATE(LEFT(Transactions!$B565,4),MID(Transactions!$B565,6,2),MID(Transactions!$B565,9,2)),)</f>
        <v/>
      </c>
      <c r="B565" s="56" t="str">
        <f>Transactions!$C565</f>
        <v/>
      </c>
      <c r="C565" s="51" t="str">
        <f t="array" ref="C565">IFERROR(INDEX(Portfolio!$B:$B, MATCH($B565, Portfolio!$A:$A, 0)),Transactions!$B565)</f>
        <v/>
      </c>
      <c r="D565" s="51" t="str">
        <f>IF($B565&lt;&gt;"",Transactions!$E565*1,)</f>
        <v/>
      </c>
      <c r="E565" s="51" t="str">
        <f>IF($B565&lt;&gt;"",Transactions!$F565*1,)</f>
        <v/>
      </c>
      <c r="F565" s="42" t="str">
        <f>IF(Transactions!$G565&lt;&gt;"",Transactions!$H565&amp;" "&amp;Transactions!$G565,)</f>
        <v/>
      </c>
    </row>
    <row r="566">
      <c r="A566" s="55" t="str">
        <f>IF(Transactions!$B566&lt;&gt;"",DATE(LEFT(Transactions!$B566,4),MID(Transactions!$B566,6,2),MID(Transactions!$B566,9,2)),)</f>
        <v/>
      </c>
      <c r="B566" s="56" t="str">
        <f>Transactions!$C566</f>
        <v/>
      </c>
      <c r="C566" s="51" t="str">
        <f t="array" ref="C566">IFERROR(INDEX(Portfolio!$B:$B, MATCH($B566, Portfolio!$A:$A, 0)),Transactions!$B566)</f>
        <v/>
      </c>
      <c r="D566" s="51" t="str">
        <f>IF($B566&lt;&gt;"",Transactions!$E566*1,)</f>
        <v/>
      </c>
      <c r="E566" s="51" t="str">
        <f>IF($B566&lt;&gt;"",Transactions!$F566*1,)</f>
        <v/>
      </c>
      <c r="F566" s="42" t="str">
        <f>IF(Transactions!$G566&lt;&gt;"",Transactions!$H566&amp;" "&amp;Transactions!$G566,)</f>
        <v/>
      </c>
    </row>
    <row r="567">
      <c r="A567" s="55" t="str">
        <f>IF(Transactions!$B567&lt;&gt;"",DATE(LEFT(Transactions!$B567,4),MID(Transactions!$B567,6,2),MID(Transactions!$B567,9,2)),)</f>
        <v/>
      </c>
      <c r="B567" s="56" t="str">
        <f>Transactions!$C567</f>
        <v/>
      </c>
      <c r="C567" s="51" t="str">
        <f t="array" ref="C567">IFERROR(INDEX(Portfolio!$B:$B, MATCH($B567, Portfolio!$A:$A, 0)),Transactions!$B567)</f>
        <v/>
      </c>
      <c r="D567" s="51" t="str">
        <f>IF($B567&lt;&gt;"",Transactions!$E567*1,)</f>
        <v/>
      </c>
      <c r="E567" s="51" t="str">
        <f>IF($B567&lt;&gt;"",Transactions!$F567*1,)</f>
        <v/>
      </c>
      <c r="F567" s="42" t="str">
        <f>IF(Transactions!$G567&lt;&gt;"",Transactions!$H567&amp;" "&amp;Transactions!$G567,)</f>
        <v/>
      </c>
    </row>
    <row r="568">
      <c r="A568" s="55" t="str">
        <f>IF(Transactions!$B568&lt;&gt;"",DATE(LEFT(Transactions!$B568,4),MID(Transactions!$B568,6,2),MID(Transactions!$B568,9,2)),)</f>
        <v/>
      </c>
      <c r="B568" s="56" t="str">
        <f>Transactions!$C568</f>
        <v/>
      </c>
      <c r="C568" s="51" t="str">
        <f t="array" ref="C568">IFERROR(INDEX(Portfolio!$B:$B, MATCH($B568, Portfolio!$A:$A, 0)),Transactions!$B568)</f>
        <v/>
      </c>
      <c r="D568" s="51" t="str">
        <f>IF($B568&lt;&gt;"",Transactions!$E568*1,)</f>
        <v/>
      </c>
      <c r="E568" s="51" t="str">
        <f>IF($B568&lt;&gt;"",Transactions!$F568*1,)</f>
        <v/>
      </c>
      <c r="F568" s="42" t="str">
        <f>IF(Transactions!$G568&lt;&gt;"",Transactions!$H568&amp;" "&amp;Transactions!$G568,)</f>
        <v/>
      </c>
    </row>
    <row r="569">
      <c r="A569" s="55" t="str">
        <f>IF(Transactions!$B569&lt;&gt;"",DATE(LEFT(Transactions!$B569,4),MID(Transactions!$B569,6,2),MID(Transactions!$B569,9,2)),)</f>
        <v/>
      </c>
      <c r="B569" s="56" t="str">
        <f>Transactions!$C569</f>
        <v/>
      </c>
      <c r="C569" s="51" t="str">
        <f t="array" ref="C569">IFERROR(INDEX(Portfolio!$B:$B, MATCH($B569, Portfolio!$A:$A, 0)),Transactions!$B569)</f>
        <v/>
      </c>
      <c r="D569" s="51" t="str">
        <f>IF($B569&lt;&gt;"",Transactions!$E569*1,)</f>
        <v/>
      </c>
      <c r="E569" s="51" t="str">
        <f>IF($B569&lt;&gt;"",Transactions!$F569*1,)</f>
        <v/>
      </c>
      <c r="F569" s="42" t="str">
        <f>IF(Transactions!$G569&lt;&gt;"",Transactions!$H569&amp;" "&amp;Transactions!$G569,)</f>
        <v/>
      </c>
    </row>
    <row r="570">
      <c r="A570" s="55" t="str">
        <f>IF(Transactions!$B570&lt;&gt;"",DATE(LEFT(Transactions!$B570,4),MID(Transactions!$B570,6,2),MID(Transactions!$B570,9,2)),)</f>
        <v/>
      </c>
      <c r="B570" s="56" t="str">
        <f>Transactions!$C570</f>
        <v/>
      </c>
      <c r="C570" s="51" t="str">
        <f t="array" ref="C570">IFERROR(INDEX(Portfolio!$B:$B, MATCH($B570, Portfolio!$A:$A, 0)),Transactions!$B570)</f>
        <v/>
      </c>
      <c r="D570" s="51" t="str">
        <f>IF($B570&lt;&gt;"",Transactions!$E570*1,)</f>
        <v/>
      </c>
      <c r="E570" s="51" t="str">
        <f>IF($B570&lt;&gt;"",Transactions!$F570*1,)</f>
        <v/>
      </c>
      <c r="F570" s="42" t="str">
        <f>IF(Transactions!$G570&lt;&gt;"",Transactions!$H570&amp;" "&amp;Transactions!$G570,)</f>
        <v/>
      </c>
    </row>
    <row r="571">
      <c r="A571" s="55" t="str">
        <f>IF(Transactions!$B571&lt;&gt;"",DATE(LEFT(Transactions!$B571,4),MID(Transactions!$B571,6,2),MID(Transactions!$B571,9,2)),)</f>
        <v/>
      </c>
      <c r="B571" s="56" t="str">
        <f>Transactions!$C571</f>
        <v/>
      </c>
      <c r="C571" s="51" t="str">
        <f t="array" ref="C571">IFERROR(INDEX(Portfolio!$B:$B, MATCH($B571, Portfolio!$A:$A, 0)),Transactions!$B571)</f>
        <v/>
      </c>
      <c r="D571" s="51" t="str">
        <f>IF($B571&lt;&gt;"",Transactions!$E571*1,)</f>
        <v/>
      </c>
      <c r="E571" s="51" t="str">
        <f>IF($B571&lt;&gt;"",Transactions!$F571*1,)</f>
        <v/>
      </c>
      <c r="F571" s="42" t="str">
        <f>IF(Transactions!$G571&lt;&gt;"",Transactions!$H571&amp;" "&amp;Transactions!$G571,)</f>
        <v/>
      </c>
    </row>
    <row r="572">
      <c r="A572" s="55" t="str">
        <f>IF(Transactions!$B572&lt;&gt;"",DATE(LEFT(Transactions!$B572,4),MID(Transactions!$B572,6,2),MID(Transactions!$B572,9,2)),)</f>
        <v/>
      </c>
      <c r="B572" s="56" t="str">
        <f>Transactions!$C572</f>
        <v/>
      </c>
      <c r="C572" s="51" t="str">
        <f t="array" ref="C572">IFERROR(INDEX(Portfolio!$B:$B, MATCH($B572, Portfolio!$A:$A, 0)),Transactions!$B572)</f>
        <v/>
      </c>
      <c r="D572" s="51" t="str">
        <f>IF($B572&lt;&gt;"",Transactions!$E572*1,)</f>
        <v/>
      </c>
      <c r="E572" s="51" t="str">
        <f>IF($B572&lt;&gt;"",Transactions!$F572*1,)</f>
        <v/>
      </c>
      <c r="F572" s="42" t="str">
        <f>IF(Transactions!$G572&lt;&gt;"",Transactions!$H572&amp;" "&amp;Transactions!$G572,)</f>
        <v/>
      </c>
    </row>
    <row r="573">
      <c r="A573" s="55" t="str">
        <f>IF(Transactions!$B573&lt;&gt;"",DATE(LEFT(Transactions!$B573,4),MID(Transactions!$B573,6,2),MID(Transactions!$B573,9,2)),)</f>
        <v/>
      </c>
      <c r="B573" s="56" t="str">
        <f>Transactions!$C573</f>
        <v/>
      </c>
      <c r="C573" s="51" t="str">
        <f t="array" ref="C573">IFERROR(INDEX(Portfolio!$B:$B, MATCH($B573, Portfolio!$A:$A, 0)),Transactions!$B573)</f>
        <v/>
      </c>
      <c r="D573" s="51" t="str">
        <f>IF($B573&lt;&gt;"",Transactions!$E573*1,)</f>
        <v/>
      </c>
      <c r="E573" s="51" t="str">
        <f>IF($B573&lt;&gt;"",Transactions!$F573*1,)</f>
        <v/>
      </c>
      <c r="F573" s="42" t="str">
        <f>IF(Transactions!$G573&lt;&gt;"",Transactions!$H573&amp;" "&amp;Transactions!$G573,)</f>
        <v/>
      </c>
    </row>
    <row r="574">
      <c r="A574" s="55" t="str">
        <f>IF(Transactions!$B574&lt;&gt;"",DATE(LEFT(Transactions!$B574,4),MID(Transactions!$B574,6,2),MID(Transactions!$B574,9,2)),)</f>
        <v/>
      </c>
      <c r="B574" s="56" t="str">
        <f>Transactions!$C574</f>
        <v/>
      </c>
      <c r="C574" s="51" t="str">
        <f t="array" ref="C574">IFERROR(INDEX(Portfolio!$B:$B, MATCH($B574, Portfolio!$A:$A, 0)),Transactions!$B574)</f>
        <v/>
      </c>
      <c r="D574" s="51" t="str">
        <f>IF($B574&lt;&gt;"",Transactions!$E574*1,)</f>
        <v/>
      </c>
      <c r="E574" s="51" t="str">
        <f>IF($B574&lt;&gt;"",Transactions!$F574*1,)</f>
        <v/>
      </c>
      <c r="F574" s="42" t="str">
        <f>IF(Transactions!$G574&lt;&gt;"",Transactions!$H574&amp;" "&amp;Transactions!$G574,)</f>
        <v/>
      </c>
    </row>
    <row r="575">
      <c r="A575" s="55" t="str">
        <f>IF(Transactions!$B575&lt;&gt;"",DATE(LEFT(Transactions!$B575,4),MID(Transactions!$B575,6,2),MID(Transactions!$B575,9,2)),)</f>
        <v/>
      </c>
      <c r="B575" s="56" t="str">
        <f>Transactions!$C575</f>
        <v/>
      </c>
      <c r="C575" s="51" t="str">
        <f t="array" ref="C575">IFERROR(INDEX(Portfolio!$B:$B, MATCH($B575, Portfolio!$A:$A, 0)),Transactions!$B575)</f>
        <v/>
      </c>
      <c r="D575" s="51" t="str">
        <f>IF($B575&lt;&gt;"",Transactions!$E575*1,)</f>
        <v/>
      </c>
      <c r="E575" s="51" t="str">
        <f>IF($B575&lt;&gt;"",Transactions!$F575*1,)</f>
        <v/>
      </c>
      <c r="F575" s="42" t="str">
        <f>IF(Transactions!$G575&lt;&gt;"",Transactions!$H575&amp;" "&amp;Transactions!$G575,)</f>
        <v/>
      </c>
    </row>
    <row r="576">
      <c r="A576" s="55" t="str">
        <f>IF(Transactions!$B576&lt;&gt;"",DATE(LEFT(Transactions!$B576,4),MID(Transactions!$B576,6,2),MID(Transactions!$B576,9,2)),)</f>
        <v/>
      </c>
      <c r="B576" s="56" t="str">
        <f>Transactions!$C576</f>
        <v/>
      </c>
      <c r="C576" s="51" t="str">
        <f t="array" ref="C576">IFERROR(INDEX(Portfolio!$B:$B, MATCH($B576, Portfolio!$A:$A, 0)),Transactions!$B576)</f>
        <v/>
      </c>
      <c r="D576" s="51" t="str">
        <f>IF($B576&lt;&gt;"",Transactions!$E576*1,)</f>
        <v/>
      </c>
      <c r="E576" s="51" t="str">
        <f>IF($B576&lt;&gt;"",Transactions!$F576*1,)</f>
        <v/>
      </c>
      <c r="F576" s="42" t="str">
        <f>IF(Transactions!$G576&lt;&gt;"",Transactions!$H576&amp;" "&amp;Transactions!$G576,)</f>
        <v/>
      </c>
    </row>
    <row r="577">
      <c r="A577" s="55" t="str">
        <f>IF(Transactions!$B577&lt;&gt;"",DATE(LEFT(Transactions!$B577,4),MID(Transactions!$B577,6,2),MID(Transactions!$B577,9,2)),)</f>
        <v/>
      </c>
      <c r="B577" s="56" t="str">
        <f>Transactions!$C577</f>
        <v/>
      </c>
      <c r="C577" s="51" t="str">
        <f t="array" ref="C577">IFERROR(INDEX(Portfolio!$B:$B, MATCH($B577, Portfolio!$A:$A, 0)),Transactions!$B577)</f>
        <v/>
      </c>
      <c r="D577" s="51" t="str">
        <f>IF($B577&lt;&gt;"",Transactions!$E577*1,)</f>
        <v/>
      </c>
      <c r="E577" s="51" t="str">
        <f>IF($B577&lt;&gt;"",Transactions!$F577*1,)</f>
        <v/>
      </c>
      <c r="F577" s="42" t="str">
        <f>IF(Transactions!$G577&lt;&gt;"",Transactions!$H577&amp;" "&amp;Transactions!$G577,)</f>
        <v/>
      </c>
    </row>
    <row r="578">
      <c r="A578" s="55" t="str">
        <f>IF(Transactions!$B578&lt;&gt;"",DATE(LEFT(Transactions!$B578,4),MID(Transactions!$B578,6,2),MID(Transactions!$B578,9,2)),)</f>
        <v/>
      </c>
      <c r="B578" s="56" t="str">
        <f>Transactions!$C578</f>
        <v/>
      </c>
      <c r="C578" s="51" t="str">
        <f t="array" ref="C578">IFERROR(INDEX(Portfolio!$B:$B, MATCH($B578, Portfolio!$A:$A, 0)),Transactions!$B578)</f>
        <v/>
      </c>
      <c r="D578" s="51" t="str">
        <f>IF($B578&lt;&gt;"",Transactions!$E578*1,)</f>
        <v/>
      </c>
      <c r="E578" s="51" t="str">
        <f>IF($B578&lt;&gt;"",Transactions!$F578*1,)</f>
        <v/>
      </c>
      <c r="F578" s="42" t="str">
        <f>IF(Transactions!$G578&lt;&gt;"",Transactions!$H578&amp;" "&amp;Transactions!$G578,)</f>
        <v/>
      </c>
    </row>
    <row r="579">
      <c r="A579" s="55" t="str">
        <f>IF(Transactions!$B579&lt;&gt;"",DATE(LEFT(Transactions!$B579,4),MID(Transactions!$B579,6,2),MID(Transactions!$B579,9,2)),)</f>
        <v/>
      </c>
      <c r="B579" s="56" t="str">
        <f>Transactions!$C579</f>
        <v/>
      </c>
      <c r="C579" s="51" t="str">
        <f t="array" ref="C579">IFERROR(INDEX(Portfolio!$B:$B, MATCH($B579, Portfolio!$A:$A, 0)),Transactions!$B579)</f>
        <v/>
      </c>
      <c r="D579" s="51" t="str">
        <f>IF($B579&lt;&gt;"",Transactions!$E579*1,)</f>
        <v/>
      </c>
      <c r="E579" s="51" t="str">
        <f>IF($B579&lt;&gt;"",Transactions!$F579*1,)</f>
        <v/>
      </c>
      <c r="F579" s="42" t="str">
        <f>IF(Transactions!$G579&lt;&gt;"",Transactions!$H579&amp;" "&amp;Transactions!$G579,)</f>
        <v/>
      </c>
    </row>
    <row r="580">
      <c r="A580" s="55" t="str">
        <f>IF(Transactions!$B580&lt;&gt;"",DATE(LEFT(Transactions!$B580,4),MID(Transactions!$B580,6,2),MID(Transactions!$B580,9,2)),)</f>
        <v/>
      </c>
      <c r="B580" s="56" t="str">
        <f>Transactions!$C580</f>
        <v/>
      </c>
      <c r="C580" s="51" t="str">
        <f t="array" ref="C580">IFERROR(INDEX(Portfolio!$B:$B, MATCH($B580, Portfolio!$A:$A, 0)),Transactions!$B580)</f>
        <v/>
      </c>
      <c r="D580" s="51" t="str">
        <f>IF($B580&lt;&gt;"",Transactions!$E580*1,)</f>
        <v/>
      </c>
      <c r="E580" s="51" t="str">
        <f>IF($B580&lt;&gt;"",Transactions!$F580*1,)</f>
        <v/>
      </c>
      <c r="F580" s="42" t="str">
        <f>IF(Transactions!$G580&lt;&gt;"",Transactions!$H580&amp;" "&amp;Transactions!$G580,)</f>
        <v/>
      </c>
    </row>
    <row r="581">
      <c r="A581" s="55" t="str">
        <f>IF(Transactions!$B581&lt;&gt;"",DATE(LEFT(Transactions!$B581,4),MID(Transactions!$B581,6,2),MID(Transactions!$B581,9,2)),)</f>
        <v/>
      </c>
      <c r="B581" s="56" t="str">
        <f>Transactions!$C581</f>
        <v/>
      </c>
      <c r="C581" s="51" t="str">
        <f t="array" ref="C581">IFERROR(INDEX(Portfolio!$B:$B, MATCH($B581, Portfolio!$A:$A, 0)),Transactions!$B581)</f>
        <v/>
      </c>
      <c r="D581" s="51" t="str">
        <f>IF($B581&lt;&gt;"",Transactions!$E581*1,)</f>
        <v/>
      </c>
      <c r="E581" s="51" t="str">
        <f>IF($B581&lt;&gt;"",Transactions!$F581*1,)</f>
        <v/>
      </c>
      <c r="F581" s="42" t="str">
        <f>IF(Transactions!$G581&lt;&gt;"",Transactions!$H581&amp;" "&amp;Transactions!$G581,)</f>
        <v/>
      </c>
    </row>
    <row r="582">
      <c r="A582" s="55" t="str">
        <f>IF(Transactions!$B582&lt;&gt;"",DATE(LEFT(Transactions!$B582,4),MID(Transactions!$B582,6,2),MID(Transactions!$B582,9,2)),)</f>
        <v/>
      </c>
      <c r="B582" s="56" t="str">
        <f>Transactions!$C582</f>
        <v/>
      </c>
      <c r="C582" s="51" t="str">
        <f t="array" ref="C582">IFERROR(INDEX(Portfolio!$B:$B, MATCH($B582, Portfolio!$A:$A, 0)),Transactions!$B582)</f>
        <v/>
      </c>
      <c r="D582" s="51" t="str">
        <f>IF($B582&lt;&gt;"",Transactions!$E582*1,)</f>
        <v/>
      </c>
      <c r="E582" s="51" t="str">
        <f>IF($B582&lt;&gt;"",Transactions!$F582*1,)</f>
        <v/>
      </c>
      <c r="F582" s="42" t="str">
        <f>IF(Transactions!$G582&lt;&gt;"",Transactions!$H582&amp;" "&amp;Transactions!$G582,)</f>
        <v/>
      </c>
    </row>
    <row r="583">
      <c r="A583" s="55" t="str">
        <f>IF(Transactions!$B583&lt;&gt;"",DATE(LEFT(Transactions!$B583,4),MID(Transactions!$B583,6,2),MID(Transactions!$B583,9,2)),)</f>
        <v/>
      </c>
      <c r="B583" s="56" t="str">
        <f>Transactions!$C583</f>
        <v/>
      </c>
      <c r="C583" s="51" t="str">
        <f t="array" ref="C583">IFERROR(INDEX(Portfolio!$B:$B, MATCH($B583, Portfolio!$A:$A, 0)),Transactions!$B583)</f>
        <v/>
      </c>
      <c r="D583" s="51" t="str">
        <f>IF($B583&lt;&gt;"",Transactions!$E583*1,)</f>
        <v/>
      </c>
      <c r="E583" s="51" t="str">
        <f>IF($B583&lt;&gt;"",Transactions!$F583*1,)</f>
        <v/>
      </c>
      <c r="F583" s="42" t="str">
        <f>IF(Transactions!$G583&lt;&gt;"",Transactions!$H583&amp;" "&amp;Transactions!$G583,)</f>
        <v/>
      </c>
    </row>
    <row r="584">
      <c r="A584" s="55" t="str">
        <f>IF(Transactions!$B584&lt;&gt;"",DATE(LEFT(Transactions!$B584,4),MID(Transactions!$B584,6,2),MID(Transactions!$B584,9,2)),)</f>
        <v/>
      </c>
      <c r="B584" s="56" t="str">
        <f>Transactions!$C584</f>
        <v/>
      </c>
      <c r="C584" s="51" t="str">
        <f t="array" ref="C584">IFERROR(INDEX(Portfolio!$B:$B, MATCH($B584, Portfolio!$A:$A, 0)),Transactions!$B584)</f>
        <v/>
      </c>
      <c r="D584" s="51" t="str">
        <f>IF($B584&lt;&gt;"",Transactions!$E584*1,)</f>
        <v/>
      </c>
      <c r="E584" s="51" t="str">
        <f>IF($B584&lt;&gt;"",Transactions!$F584*1,)</f>
        <v/>
      </c>
      <c r="F584" s="42" t="str">
        <f>IF(Transactions!$G584&lt;&gt;"",Transactions!$H584&amp;" "&amp;Transactions!$G584,)</f>
        <v/>
      </c>
    </row>
    <row r="585">
      <c r="A585" s="55" t="str">
        <f>IF(Transactions!$B585&lt;&gt;"",DATE(LEFT(Transactions!$B585,4),MID(Transactions!$B585,6,2),MID(Transactions!$B585,9,2)),)</f>
        <v/>
      </c>
      <c r="B585" s="56" t="str">
        <f>Transactions!$C585</f>
        <v/>
      </c>
      <c r="C585" s="51" t="str">
        <f t="array" ref="C585">IFERROR(INDEX(Portfolio!$B:$B, MATCH($B585, Portfolio!$A:$A, 0)),Transactions!$B585)</f>
        <v/>
      </c>
      <c r="D585" s="51" t="str">
        <f>IF($B585&lt;&gt;"",Transactions!$E585*1,)</f>
        <v/>
      </c>
      <c r="E585" s="51" t="str">
        <f>IF($B585&lt;&gt;"",Transactions!$F585*1,)</f>
        <v/>
      </c>
      <c r="F585" s="42" t="str">
        <f>IF(Transactions!$G585&lt;&gt;"",Transactions!$H585&amp;" "&amp;Transactions!$G585,)</f>
        <v/>
      </c>
    </row>
    <row r="586">
      <c r="A586" s="55" t="str">
        <f>IF(Transactions!$B586&lt;&gt;"",DATE(LEFT(Transactions!$B586,4),MID(Transactions!$B586,6,2),MID(Transactions!$B586,9,2)),)</f>
        <v/>
      </c>
      <c r="B586" s="56" t="str">
        <f>Transactions!$C586</f>
        <v/>
      </c>
      <c r="C586" s="51" t="str">
        <f t="array" ref="C586">IFERROR(INDEX(Portfolio!$B:$B, MATCH($B586, Portfolio!$A:$A, 0)),Transactions!$B586)</f>
        <v/>
      </c>
      <c r="D586" s="51" t="str">
        <f>IF($B586&lt;&gt;"",Transactions!$E586*1,)</f>
        <v/>
      </c>
      <c r="E586" s="51" t="str">
        <f>IF($B586&lt;&gt;"",Transactions!$F586*1,)</f>
        <v/>
      </c>
      <c r="F586" s="42" t="str">
        <f>IF(Transactions!$G586&lt;&gt;"",Transactions!$H586&amp;" "&amp;Transactions!$G586,)</f>
        <v/>
      </c>
    </row>
    <row r="587">
      <c r="A587" s="55" t="str">
        <f>IF(Transactions!$B587&lt;&gt;"",DATE(LEFT(Transactions!$B587,4),MID(Transactions!$B587,6,2),MID(Transactions!$B587,9,2)),)</f>
        <v/>
      </c>
      <c r="B587" s="56" t="str">
        <f>Transactions!$C587</f>
        <v/>
      </c>
      <c r="C587" s="51" t="str">
        <f t="array" ref="C587">IFERROR(INDEX(Portfolio!$B:$B, MATCH($B587, Portfolio!$A:$A, 0)),Transactions!$B587)</f>
        <v/>
      </c>
      <c r="D587" s="51" t="str">
        <f>IF($B587&lt;&gt;"",Transactions!$E587*1,)</f>
        <v/>
      </c>
      <c r="E587" s="51" t="str">
        <f>IF($B587&lt;&gt;"",Transactions!$F587*1,)</f>
        <v/>
      </c>
      <c r="F587" s="42" t="str">
        <f>IF(Transactions!$G587&lt;&gt;"",Transactions!$H587&amp;" "&amp;Transactions!$G587,)</f>
        <v/>
      </c>
    </row>
    <row r="588">
      <c r="A588" s="55" t="str">
        <f>IF(Transactions!$B588&lt;&gt;"",DATE(LEFT(Transactions!$B588,4),MID(Transactions!$B588,6,2),MID(Transactions!$B588,9,2)),)</f>
        <v/>
      </c>
      <c r="B588" s="56" t="str">
        <f>Transactions!$C588</f>
        <v/>
      </c>
      <c r="C588" s="51" t="str">
        <f t="array" ref="C588">IFERROR(INDEX(Portfolio!$B:$B, MATCH($B588, Portfolio!$A:$A, 0)),Transactions!$B588)</f>
        <v/>
      </c>
      <c r="D588" s="51" t="str">
        <f>IF($B588&lt;&gt;"",Transactions!$E588*1,)</f>
        <v/>
      </c>
      <c r="E588" s="51" t="str">
        <f>IF($B588&lt;&gt;"",Transactions!$F588*1,)</f>
        <v/>
      </c>
      <c r="F588" s="42" t="str">
        <f>IF(Transactions!$G588&lt;&gt;"",Transactions!$H588&amp;" "&amp;Transactions!$G588,)</f>
        <v/>
      </c>
    </row>
    <row r="589">
      <c r="A589" s="55" t="str">
        <f>IF(Transactions!$B589&lt;&gt;"",DATE(LEFT(Transactions!$B589,4),MID(Transactions!$B589,6,2),MID(Transactions!$B589,9,2)),)</f>
        <v/>
      </c>
      <c r="B589" s="56" t="str">
        <f>Transactions!$C589</f>
        <v/>
      </c>
      <c r="C589" s="51" t="str">
        <f t="array" ref="C589">IFERROR(INDEX(Portfolio!$B:$B, MATCH($B589, Portfolio!$A:$A, 0)),Transactions!$B589)</f>
        <v/>
      </c>
      <c r="D589" s="51" t="str">
        <f>IF($B589&lt;&gt;"",Transactions!$E589*1,)</f>
        <v/>
      </c>
      <c r="E589" s="51" t="str">
        <f>IF($B589&lt;&gt;"",Transactions!$F589*1,)</f>
        <v/>
      </c>
      <c r="F589" s="42" t="str">
        <f>IF(Transactions!$G589&lt;&gt;"",Transactions!$H589&amp;" "&amp;Transactions!$G589,)</f>
        <v/>
      </c>
    </row>
    <row r="590">
      <c r="A590" s="55" t="str">
        <f>IF(Transactions!$B590&lt;&gt;"",DATE(LEFT(Transactions!$B590,4),MID(Transactions!$B590,6,2),MID(Transactions!$B590,9,2)),)</f>
        <v/>
      </c>
      <c r="B590" s="56" t="str">
        <f>Transactions!$C590</f>
        <v/>
      </c>
      <c r="C590" s="51" t="str">
        <f t="array" ref="C590">IFERROR(INDEX(Portfolio!$B:$B, MATCH($B590, Portfolio!$A:$A, 0)),Transactions!$B590)</f>
        <v/>
      </c>
      <c r="D590" s="51" t="str">
        <f>IF($B590&lt;&gt;"",Transactions!$E590*1,)</f>
        <v/>
      </c>
      <c r="E590" s="51" t="str">
        <f>IF($B590&lt;&gt;"",Transactions!$F590*1,)</f>
        <v/>
      </c>
      <c r="F590" s="42" t="str">
        <f>IF(Transactions!$G590&lt;&gt;"",Transactions!$H590&amp;" "&amp;Transactions!$G590,)</f>
        <v/>
      </c>
    </row>
    <row r="591">
      <c r="A591" s="55" t="str">
        <f>IF(Transactions!$B591&lt;&gt;"",DATE(LEFT(Transactions!$B591,4),MID(Transactions!$B591,6,2),MID(Transactions!$B591,9,2)),)</f>
        <v/>
      </c>
      <c r="B591" s="56" t="str">
        <f>Transactions!$C591</f>
        <v/>
      </c>
      <c r="C591" s="51" t="str">
        <f t="array" ref="C591">IFERROR(INDEX(Portfolio!$B:$B, MATCH($B591, Portfolio!$A:$A, 0)),Transactions!$B591)</f>
        <v/>
      </c>
      <c r="D591" s="51" t="str">
        <f>IF($B591&lt;&gt;"",Transactions!$E591*1,)</f>
        <v/>
      </c>
      <c r="E591" s="51" t="str">
        <f>IF($B591&lt;&gt;"",Transactions!$F591*1,)</f>
        <v/>
      </c>
      <c r="F591" s="42" t="str">
        <f>IF(Transactions!$G591&lt;&gt;"",Transactions!$H591&amp;" "&amp;Transactions!$G591,)</f>
        <v/>
      </c>
    </row>
    <row r="592">
      <c r="A592" s="55" t="str">
        <f>IF(Transactions!$B592&lt;&gt;"",DATE(LEFT(Transactions!$B592,4),MID(Transactions!$B592,6,2),MID(Transactions!$B592,9,2)),)</f>
        <v/>
      </c>
      <c r="B592" s="56" t="str">
        <f>Transactions!$C592</f>
        <v/>
      </c>
      <c r="C592" s="51" t="str">
        <f t="array" ref="C592">IFERROR(INDEX(Portfolio!$B:$B, MATCH($B592, Portfolio!$A:$A, 0)),Transactions!$B592)</f>
        <v/>
      </c>
      <c r="D592" s="51" t="str">
        <f>IF($B592&lt;&gt;"",Transactions!$E592*1,)</f>
        <v/>
      </c>
      <c r="E592" s="51" t="str">
        <f>IF($B592&lt;&gt;"",Transactions!$F592*1,)</f>
        <v/>
      </c>
      <c r="F592" s="42" t="str">
        <f>IF(Transactions!$G592&lt;&gt;"",Transactions!$H592&amp;" "&amp;Transactions!$G592,)</f>
        <v/>
      </c>
    </row>
    <row r="593">
      <c r="A593" s="55" t="str">
        <f>IF(Transactions!$B593&lt;&gt;"",DATE(LEFT(Transactions!$B593,4),MID(Transactions!$B593,6,2),MID(Transactions!$B593,9,2)),)</f>
        <v/>
      </c>
      <c r="B593" s="56" t="str">
        <f>Transactions!$C593</f>
        <v/>
      </c>
      <c r="C593" s="51" t="str">
        <f t="array" ref="C593">IFERROR(INDEX(Portfolio!$B:$B, MATCH($B593, Portfolio!$A:$A, 0)),Transactions!$B593)</f>
        <v/>
      </c>
      <c r="D593" s="51" t="str">
        <f>IF($B593&lt;&gt;"",Transactions!$E593*1,)</f>
        <v/>
      </c>
      <c r="E593" s="51" t="str">
        <f>IF($B593&lt;&gt;"",Transactions!$F593*1,)</f>
        <v/>
      </c>
      <c r="F593" s="42" t="str">
        <f>IF(Transactions!$G593&lt;&gt;"",Transactions!$H593&amp;" "&amp;Transactions!$G593,)</f>
        <v/>
      </c>
    </row>
    <row r="594">
      <c r="A594" s="55" t="str">
        <f>IF(Transactions!$B594&lt;&gt;"",DATE(LEFT(Transactions!$B594,4),MID(Transactions!$B594,6,2),MID(Transactions!$B594,9,2)),)</f>
        <v/>
      </c>
      <c r="B594" s="56" t="str">
        <f>Transactions!$C594</f>
        <v/>
      </c>
      <c r="C594" s="51" t="str">
        <f t="array" ref="C594">IFERROR(INDEX(Portfolio!$B:$B, MATCH($B594, Portfolio!$A:$A, 0)),Transactions!$B594)</f>
        <v/>
      </c>
      <c r="D594" s="51" t="str">
        <f>IF($B594&lt;&gt;"",Transactions!$E594*1,)</f>
        <v/>
      </c>
      <c r="E594" s="51" t="str">
        <f>IF($B594&lt;&gt;"",Transactions!$F594*1,)</f>
        <v/>
      </c>
      <c r="F594" s="42" t="str">
        <f>IF(Transactions!$G594&lt;&gt;"",Transactions!$H594&amp;" "&amp;Transactions!$G594,)</f>
        <v/>
      </c>
    </row>
    <row r="595">
      <c r="A595" s="55" t="str">
        <f>IF(Transactions!$B595&lt;&gt;"",DATE(LEFT(Transactions!$B595,4),MID(Transactions!$B595,6,2),MID(Transactions!$B595,9,2)),)</f>
        <v/>
      </c>
      <c r="B595" s="56" t="str">
        <f>Transactions!$C595</f>
        <v/>
      </c>
      <c r="C595" s="51" t="str">
        <f t="array" ref="C595">IFERROR(INDEX(Portfolio!$B:$B, MATCH($B595, Portfolio!$A:$A, 0)),Transactions!$B595)</f>
        <v/>
      </c>
      <c r="D595" s="51" t="str">
        <f>IF($B595&lt;&gt;"",Transactions!$E595*1,)</f>
        <v/>
      </c>
      <c r="E595" s="51" t="str">
        <f>IF($B595&lt;&gt;"",Transactions!$F595*1,)</f>
        <v/>
      </c>
      <c r="F595" s="42" t="str">
        <f>IF(Transactions!$G595&lt;&gt;"",Transactions!$H595&amp;" "&amp;Transactions!$G595,)</f>
        <v/>
      </c>
    </row>
    <row r="596">
      <c r="A596" s="55" t="str">
        <f>IF(Transactions!$B596&lt;&gt;"",DATE(LEFT(Transactions!$B596,4),MID(Transactions!$B596,6,2),MID(Transactions!$B596,9,2)),)</f>
        <v/>
      </c>
      <c r="B596" s="56" t="str">
        <f>Transactions!$C596</f>
        <v/>
      </c>
      <c r="C596" s="51" t="str">
        <f t="array" ref="C596">IFERROR(INDEX(Portfolio!$B:$B, MATCH($B596, Portfolio!$A:$A, 0)),Transactions!$B596)</f>
        <v/>
      </c>
      <c r="D596" s="51" t="str">
        <f>IF($B596&lt;&gt;"",Transactions!$E596*1,)</f>
        <v/>
      </c>
      <c r="E596" s="51" t="str">
        <f>IF($B596&lt;&gt;"",Transactions!$F596*1,)</f>
        <v/>
      </c>
      <c r="F596" s="42" t="str">
        <f>IF(Transactions!$G596&lt;&gt;"",Transactions!$H596&amp;" "&amp;Transactions!$G596,)</f>
        <v/>
      </c>
    </row>
    <row r="597">
      <c r="A597" s="55" t="str">
        <f>IF(Transactions!$B597&lt;&gt;"",DATE(LEFT(Transactions!$B597,4),MID(Transactions!$B597,6,2),MID(Transactions!$B597,9,2)),)</f>
        <v/>
      </c>
      <c r="B597" s="56" t="str">
        <f>Transactions!$C597</f>
        <v/>
      </c>
      <c r="C597" s="51" t="str">
        <f t="array" ref="C597">IFERROR(INDEX(Portfolio!$B:$B, MATCH($B597, Portfolio!$A:$A, 0)),Transactions!$B597)</f>
        <v/>
      </c>
      <c r="D597" s="51" t="str">
        <f>IF($B597&lt;&gt;"",Transactions!$E597*1,)</f>
        <v/>
      </c>
      <c r="E597" s="51" t="str">
        <f>IF($B597&lt;&gt;"",Transactions!$F597*1,)</f>
        <v/>
      </c>
      <c r="F597" s="42" t="str">
        <f>IF(Transactions!$G597&lt;&gt;"",Transactions!$H597&amp;" "&amp;Transactions!$G597,)</f>
        <v/>
      </c>
    </row>
    <row r="598">
      <c r="A598" s="55" t="str">
        <f>IF(Transactions!$B598&lt;&gt;"",DATE(LEFT(Transactions!$B598,4),MID(Transactions!$B598,6,2),MID(Transactions!$B598,9,2)),)</f>
        <v/>
      </c>
      <c r="B598" s="56" t="str">
        <f>Transactions!$C598</f>
        <v/>
      </c>
      <c r="C598" s="51" t="str">
        <f t="array" ref="C598">IFERROR(INDEX(Portfolio!$B:$B, MATCH($B598, Portfolio!$A:$A, 0)),Transactions!$B598)</f>
        <v/>
      </c>
      <c r="D598" s="51" t="str">
        <f>IF($B598&lt;&gt;"",Transactions!$E598*1,)</f>
        <v/>
      </c>
      <c r="E598" s="51" t="str">
        <f>IF($B598&lt;&gt;"",Transactions!$F598*1,)</f>
        <v/>
      </c>
      <c r="F598" s="42" t="str">
        <f>IF(Transactions!$G598&lt;&gt;"",Transactions!$H598&amp;" "&amp;Transactions!$G598,)</f>
        <v/>
      </c>
    </row>
    <row r="599">
      <c r="A599" s="55" t="str">
        <f>IF(Transactions!$B599&lt;&gt;"",DATE(LEFT(Transactions!$B599,4),MID(Transactions!$B599,6,2),MID(Transactions!$B599,9,2)),)</f>
        <v/>
      </c>
      <c r="B599" s="56" t="str">
        <f>Transactions!$C599</f>
        <v/>
      </c>
      <c r="C599" s="51" t="str">
        <f t="array" ref="C599">IFERROR(INDEX(Portfolio!$B:$B, MATCH($B599, Portfolio!$A:$A, 0)),Transactions!$B599)</f>
        <v/>
      </c>
      <c r="D599" s="51" t="str">
        <f>IF($B599&lt;&gt;"",Transactions!$E599*1,)</f>
        <v/>
      </c>
      <c r="E599" s="51" t="str">
        <f>IF($B599&lt;&gt;"",Transactions!$F599*1,)</f>
        <v/>
      </c>
      <c r="F599" s="42" t="str">
        <f>IF(Transactions!$G599&lt;&gt;"",Transactions!$H599&amp;" "&amp;Transactions!$G599,)</f>
        <v/>
      </c>
    </row>
    <row r="600">
      <c r="A600" s="55" t="str">
        <f>IF(Transactions!$B600&lt;&gt;"",DATE(LEFT(Transactions!$B600,4),MID(Transactions!$B600,6,2),MID(Transactions!$B600,9,2)),)</f>
        <v/>
      </c>
      <c r="B600" s="56" t="str">
        <f>Transactions!$C600</f>
        <v/>
      </c>
      <c r="C600" s="51" t="str">
        <f t="array" ref="C600">IFERROR(INDEX(Portfolio!$B:$B, MATCH($B600, Portfolio!$A:$A, 0)),Transactions!$B600)</f>
        <v/>
      </c>
      <c r="D600" s="51" t="str">
        <f>IF($B600&lt;&gt;"",Transactions!$E600*1,)</f>
        <v/>
      </c>
      <c r="E600" s="51" t="str">
        <f>IF($B600&lt;&gt;"",Transactions!$F600*1,)</f>
        <v/>
      </c>
      <c r="F600" s="42" t="str">
        <f>IF(Transactions!$G600&lt;&gt;"",Transactions!$H600&amp;" "&amp;Transactions!$G600,)</f>
        <v/>
      </c>
    </row>
    <row r="601">
      <c r="A601" s="55" t="str">
        <f>IF(Transactions!$B601&lt;&gt;"",DATE(LEFT(Transactions!$B601,4),MID(Transactions!$B601,6,2),MID(Transactions!$B601,9,2)),)</f>
        <v/>
      </c>
      <c r="B601" s="56" t="str">
        <f>Transactions!$C601</f>
        <v/>
      </c>
      <c r="C601" s="51" t="str">
        <f t="array" ref="C601">IFERROR(INDEX(Portfolio!$B:$B, MATCH($B601, Portfolio!$A:$A, 0)),Transactions!$B601)</f>
        <v/>
      </c>
      <c r="D601" s="51" t="str">
        <f>IF($B601&lt;&gt;"",Transactions!$E601*1,)</f>
        <v/>
      </c>
      <c r="E601" s="51" t="str">
        <f>IF($B601&lt;&gt;"",Transactions!$F601*1,)</f>
        <v/>
      </c>
      <c r="F601" s="42" t="str">
        <f>IF(Transactions!$G601&lt;&gt;"",Transactions!$H601&amp;" "&amp;Transactions!$G601,)</f>
        <v/>
      </c>
    </row>
    <row r="602">
      <c r="A602" s="55" t="str">
        <f>IF(Transactions!$B602&lt;&gt;"",DATE(LEFT(Transactions!$B602,4),MID(Transactions!$B602,6,2),MID(Transactions!$B602,9,2)),)</f>
        <v/>
      </c>
      <c r="B602" s="56" t="str">
        <f>Transactions!$C602</f>
        <v/>
      </c>
      <c r="C602" s="51" t="str">
        <f t="array" ref="C602">IFERROR(INDEX(Portfolio!$B:$B, MATCH($B602, Portfolio!$A:$A, 0)),Transactions!$B602)</f>
        <v/>
      </c>
      <c r="D602" s="51" t="str">
        <f>IF($B602&lt;&gt;"",Transactions!$E602*1,)</f>
        <v/>
      </c>
      <c r="E602" s="51" t="str">
        <f>IF($B602&lt;&gt;"",Transactions!$F602*1,)</f>
        <v/>
      </c>
      <c r="F602" s="42" t="str">
        <f>IF(Transactions!$G602&lt;&gt;"",Transactions!$H602&amp;" "&amp;Transactions!$G602,)</f>
        <v/>
      </c>
    </row>
    <row r="603">
      <c r="A603" s="55" t="str">
        <f>IF(Transactions!$B603&lt;&gt;"",DATE(LEFT(Transactions!$B603,4),MID(Transactions!$B603,6,2),MID(Transactions!$B603,9,2)),)</f>
        <v/>
      </c>
      <c r="B603" s="56" t="str">
        <f>Transactions!$C603</f>
        <v/>
      </c>
      <c r="C603" s="51" t="str">
        <f t="array" ref="C603">IFERROR(INDEX(Portfolio!$B:$B, MATCH($B603, Portfolio!$A:$A, 0)),Transactions!$B603)</f>
        <v/>
      </c>
      <c r="D603" s="51" t="str">
        <f>IF($B603&lt;&gt;"",Transactions!$E603*1,)</f>
        <v/>
      </c>
      <c r="E603" s="51" t="str">
        <f>IF($B603&lt;&gt;"",Transactions!$F603*1,)</f>
        <v/>
      </c>
      <c r="F603" s="42" t="str">
        <f>IF(Transactions!$G603&lt;&gt;"",Transactions!$H603&amp;" "&amp;Transactions!$G603,)</f>
        <v/>
      </c>
    </row>
    <row r="604">
      <c r="A604" s="55" t="str">
        <f>IF(Transactions!$B604&lt;&gt;"",DATE(LEFT(Transactions!$B604,4),MID(Transactions!$B604,6,2),MID(Transactions!$B604,9,2)),)</f>
        <v/>
      </c>
      <c r="B604" s="56" t="str">
        <f>Transactions!$C604</f>
        <v/>
      </c>
      <c r="C604" s="51" t="str">
        <f t="array" ref="C604">IFERROR(INDEX(Portfolio!$B:$B, MATCH($B604, Portfolio!$A:$A, 0)),Transactions!$B604)</f>
        <v/>
      </c>
      <c r="D604" s="51" t="str">
        <f>IF($B604&lt;&gt;"",Transactions!$E604*1,)</f>
        <v/>
      </c>
      <c r="E604" s="51" t="str">
        <f>IF($B604&lt;&gt;"",Transactions!$F604*1,)</f>
        <v/>
      </c>
      <c r="F604" s="42" t="str">
        <f>IF(Transactions!$G604&lt;&gt;"",Transactions!$H604&amp;" "&amp;Transactions!$G604,)</f>
        <v/>
      </c>
    </row>
    <row r="605">
      <c r="A605" s="55" t="str">
        <f>IF(Transactions!$B605&lt;&gt;"",DATE(LEFT(Transactions!$B605,4),MID(Transactions!$B605,6,2),MID(Transactions!$B605,9,2)),)</f>
        <v/>
      </c>
      <c r="B605" s="56" t="str">
        <f>Transactions!$C605</f>
        <v/>
      </c>
      <c r="C605" s="51" t="str">
        <f t="array" ref="C605">IFERROR(INDEX(Portfolio!$B:$B, MATCH($B605, Portfolio!$A:$A, 0)),Transactions!$B605)</f>
        <v/>
      </c>
      <c r="D605" s="51" t="str">
        <f>IF($B605&lt;&gt;"",Transactions!$E605*1,)</f>
        <v/>
      </c>
      <c r="E605" s="51" t="str">
        <f>IF($B605&lt;&gt;"",Transactions!$F605*1,)</f>
        <v/>
      </c>
      <c r="F605" s="42" t="str">
        <f>IF(Transactions!$G605&lt;&gt;"",Transactions!$H605&amp;" "&amp;Transactions!$G605,)</f>
        <v/>
      </c>
    </row>
    <row r="606">
      <c r="A606" s="55" t="str">
        <f>IF(Transactions!$B606&lt;&gt;"",DATE(LEFT(Transactions!$B606,4),MID(Transactions!$B606,6,2),MID(Transactions!$B606,9,2)),)</f>
        <v/>
      </c>
      <c r="B606" s="56" t="str">
        <f>Transactions!$C606</f>
        <v/>
      </c>
      <c r="C606" s="51" t="str">
        <f t="array" ref="C606">IFERROR(INDEX(Portfolio!$B:$B, MATCH($B606, Portfolio!$A:$A, 0)),Transactions!$B606)</f>
        <v/>
      </c>
      <c r="D606" s="51" t="str">
        <f>IF($B606&lt;&gt;"",Transactions!$E606*1,)</f>
        <v/>
      </c>
      <c r="E606" s="51" t="str">
        <f>IF($B606&lt;&gt;"",Transactions!$F606*1,)</f>
        <v/>
      </c>
      <c r="F606" s="42" t="str">
        <f>IF(Transactions!$G606&lt;&gt;"",Transactions!$H606&amp;" "&amp;Transactions!$G606,)</f>
        <v/>
      </c>
    </row>
    <row r="607">
      <c r="A607" s="55" t="str">
        <f>IF(Transactions!$B607&lt;&gt;"",DATE(LEFT(Transactions!$B607,4),MID(Transactions!$B607,6,2),MID(Transactions!$B607,9,2)),)</f>
        <v/>
      </c>
      <c r="B607" s="56" t="str">
        <f>Transactions!$C607</f>
        <v/>
      </c>
      <c r="C607" s="51" t="str">
        <f t="array" ref="C607">IFERROR(INDEX(Portfolio!$B:$B, MATCH($B607, Portfolio!$A:$A, 0)),Transactions!$B607)</f>
        <v/>
      </c>
      <c r="D607" s="51" t="str">
        <f>IF($B607&lt;&gt;"",Transactions!$E607*1,)</f>
        <v/>
      </c>
      <c r="E607" s="51" t="str">
        <f>IF($B607&lt;&gt;"",Transactions!$F607*1,)</f>
        <v/>
      </c>
      <c r="F607" s="42" t="str">
        <f>IF(Transactions!$G607&lt;&gt;"",Transactions!$H607&amp;" "&amp;Transactions!$G607,)</f>
        <v/>
      </c>
    </row>
    <row r="608">
      <c r="A608" s="55" t="str">
        <f>IF(Transactions!$B608&lt;&gt;"",DATE(LEFT(Transactions!$B608,4),MID(Transactions!$B608,6,2),MID(Transactions!$B608,9,2)),)</f>
        <v/>
      </c>
      <c r="B608" s="56" t="str">
        <f>Transactions!$C608</f>
        <v/>
      </c>
      <c r="C608" s="51" t="str">
        <f t="array" ref="C608">IFERROR(INDEX(Portfolio!$B:$B, MATCH($B608, Portfolio!$A:$A, 0)),Transactions!$B608)</f>
        <v/>
      </c>
      <c r="D608" s="51" t="str">
        <f>IF($B608&lt;&gt;"",Transactions!$E608*1,)</f>
        <v/>
      </c>
      <c r="E608" s="51" t="str">
        <f>IF($B608&lt;&gt;"",Transactions!$F608*1,)</f>
        <v/>
      </c>
      <c r="F608" s="42" t="str">
        <f>IF(Transactions!$G608&lt;&gt;"",Transactions!$H608&amp;" "&amp;Transactions!$G608,)</f>
        <v/>
      </c>
    </row>
    <row r="609">
      <c r="A609" s="55" t="str">
        <f>IF(Transactions!$B609&lt;&gt;"",DATE(LEFT(Transactions!$B609,4),MID(Transactions!$B609,6,2),MID(Transactions!$B609,9,2)),)</f>
        <v/>
      </c>
      <c r="B609" s="56" t="str">
        <f>Transactions!$C609</f>
        <v/>
      </c>
      <c r="C609" s="51" t="str">
        <f t="array" ref="C609">IFERROR(INDEX(Portfolio!$B:$B, MATCH($B609, Portfolio!$A:$A, 0)),Transactions!$B609)</f>
        <v/>
      </c>
      <c r="D609" s="51" t="str">
        <f>IF($B609&lt;&gt;"",Transactions!$E609*1,)</f>
        <v/>
      </c>
      <c r="E609" s="51" t="str">
        <f>IF($B609&lt;&gt;"",Transactions!$F609*1,)</f>
        <v/>
      </c>
      <c r="F609" s="42" t="str">
        <f>IF(Transactions!$G609&lt;&gt;"",Transactions!$H609&amp;" "&amp;Transactions!$G609,)</f>
        <v/>
      </c>
    </row>
    <row r="610">
      <c r="A610" s="55" t="str">
        <f>IF(Transactions!$B610&lt;&gt;"",DATE(LEFT(Transactions!$B610,4),MID(Transactions!$B610,6,2),MID(Transactions!$B610,9,2)),)</f>
        <v/>
      </c>
      <c r="B610" s="56" t="str">
        <f>Transactions!$C610</f>
        <v/>
      </c>
      <c r="C610" s="51" t="str">
        <f t="array" ref="C610">IFERROR(INDEX(Portfolio!$B:$B, MATCH($B610, Portfolio!$A:$A, 0)),Transactions!$B610)</f>
        <v/>
      </c>
      <c r="D610" s="51" t="str">
        <f>IF($B610&lt;&gt;"",Transactions!$E610*1,)</f>
        <v/>
      </c>
      <c r="E610" s="51" t="str">
        <f>IF($B610&lt;&gt;"",Transactions!$F610*1,)</f>
        <v/>
      </c>
      <c r="F610" s="42" t="str">
        <f>IF(Transactions!$G610&lt;&gt;"",Transactions!$H610&amp;" "&amp;Transactions!$G610,)</f>
        <v/>
      </c>
    </row>
    <row r="611">
      <c r="A611" s="55" t="str">
        <f>IF(Transactions!$B611&lt;&gt;"",DATE(LEFT(Transactions!$B611,4),MID(Transactions!$B611,6,2),MID(Transactions!$B611,9,2)),)</f>
        <v/>
      </c>
      <c r="B611" s="56" t="str">
        <f>Transactions!$C611</f>
        <v/>
      </c>
      <c r="C611" s="51" t="str">
        <f t="array" ref="C611">IFERROR(INDEX(Portfolio!$B:$B, MATCH($B611, Portfolio!$A:$A, 0)),Transactions!$B611)</f>
        <v/>
      </c>
      <c r="D611" s="51" t="str">
        <f>IF($B611&lt;&gt;"",Transactions!$E611*1,)</f>
        <v/>
      </c>
      <c r="E611" s="51" t="str">
        <f>IF($B611&lt;&gt;"",Transactions!$F611*1,)</f>
        <v/>
      </c>
      <c r="F611" s="42" t="str">
        <f>IF(Transactions!$G611&lt;&gt;"",Transactions!$H611&amp;" "&amp;Transactions!$G611,)</f>
        <v/>
      </c>
    </row>
    <row r="612">
      <c r="A612" s="55" t="str">
        <f>IF(Transactions!$B612&lt;&gt;"",DATE(LEFT(Transactions!$B612,4),MID(Transactions!$B612,6,2),MID(Transactions!$B612,9,2)),)</f>
        <v/>
      </c>
      <c r="B612" s="56" t="str">
        <f>Transactions!$C612</f>
        <v/>
      </c>
      <c r="C612" s="51" t="str">
        <f t="array" ref="C612">IFERROR(INDEX(Portfolio!$B:$B, MATCH($B612, Portfolio!$A:$A, 0)),Transactions!$B612)</f>
        <v/>
      </c>
      <c r="D612" s="51" t="str">
        <f>IF($B612&lt;&gt;"",Transactions!$E612*1,)</f>
        <v/>
      </c>
      <c r="E612" s="51" t="str">
        <f>IF($B612&lt;&gt;"",Transactions!$F612*1,)</f>
        <v/>
      </c>
      <c r="F612" s="42" t="str">
        <f>IF(Transactions!$G612&lt;&gt;"",Transactions!$H612&amp;" "&amp;Transactions!$G612,)</f>
        <v/>
      </c>
    </row>
    <row r="613">
      <c r="A613" s="55" t="str">
        <f>IF(Transactions!$B613&lt;&gt;"",DATE(LEFT(Transactions!$B613,4),MID(Transactions!$B613,6,2),MID(Transactions!$B613,9,2)),)</f>
        <v/>
      </c>
      <c r="B613" s="56" t="str">
        <f>Transactions!$C613</f>
        <v/>
      </c>
      <c r="C613" s="51" t="str">
        <f t="array" ref="C613">IFERROR(INDEX(Portfolio!$B:$B, MATCH($B613, Portfolio!$A:$A, 0)),Transactions!$B613)</f>
        <v/>
      </c>
      <c r="D613" s="51" t="str">
        <f>IF($B613&lt;&gt;"",Transactions!$E613*1,)</f>
        <v/>
      </c>
      <c r="E613" s="51" t="str">
        <f>IF($B613&lt;&gt;"",Transactions!$F613*1,)</f>
        <v/>
      </c>
      <c r="F613" s="42" t="str">
        <f>IF(Transactions!$G613&lt;&gt;"",Transactions!$H613&amp;" "&amp;Transactions!$G613,)</f>
        <v/>
      </c>
    </row>
    <row r="614">
      <c r="A614" s="55" t="str">
        <f>IF(Transactions!$B614&lt;&gt;"",DATE(LEFT(Transactions!$B614,4),MID(Transactions!$B614,6,2),MID(Transactions!$B614,9,2)),)</f>
        <v/>
      </c>
      <c r="B614" s="56" t="str">
        <f>Transactions!$C614</f>
        <v/>
      </c>
      <c r="C614" s="51" t="str">
        <f t="array" ref="C614">IFERROR(INDEX(Portfolio!$B:$B, MATCH($B614, Portfolio!$A:$A, 0)),Transactions!$B614)</f>
        <v/>
      </c>
      <c r="D614" s="51" t="str">
        <f>IF($B614&lt;&gt;"",Transactions!$E614*1,)</f>
        <v/>
      </c>
      <c r="E614" s="51" t="str">
        <f>IF($B614&lt;&gt;"",Transactions!$F614*1,)</f>
        <v/>
      </c>
      <c r="F614" s="42" t="str">
        <f>IF(Transactions!$G614&lt;&gt;"",Transactions!$H614&amp;" "&amp;Transactions!$G614,)</f>
        <v/>
      </c>
    </row>
    <row r="615">
      <c r="A615" s="55" t="str">
        <f>IF(Transactions!$B615&lt;&gt;"",DATE(LEFT(Transactions!$B615,4),MID(Transactions!$B615,6,2),MID(Transactions!$B615,9,2)),)</f>
        <v/>
      </c>
      <c r="B615" s="56" t="str">
        <f>Transactions!$C615</f>
        <v/>
      </c>
      <c r="C615" s="51" t="str">
        <f t="array" ref="C615">IFERROR(INDEX(Portfolio!$B:$B, MATCH($B615, Portfolio!$A:$A, 0)),Transactions!$B615)</f>
        <v/>
      </c>
      <c r="D615" s="51" t="str">
        <f>IF($B615&lt;&gt;"",Transactions!$E615*1,)</f>
        <v/>
      </c>
      <c r="E615" s="51" t="str">
        <f>IF($B615&lt;&gt;"",Transactions!$F615*1,)</f>
        <v/>
      </c>
      <c r="F615" s="42" t="str">
        <f>IF(Transactions!$G615&lt;&gt;"",Transactions!$H615&amp;" "&amp;Transactions!$G615,)</f>
        <v/>
      </c>
    </row>
    <row r="616">
      <c r="A616" s="55" t="str">
        <f>IF(Transactions!$B616&lt;&gt;"",DATE(LEFT(Transactions!$B616,4),MID(Transactions!$B616,6,2),MID(Transactions!$B616,9,2)),)</f>
        <v/>
      </c>
      <c r="B616" s="56" t="str">
        <f>Transactions!$C616</f>
        <v/>
      </c>
      <c r="C616" s="51" t="str">
        <f t="array" ref="C616">IFERROR(INDEX(Portfolio!$B:$B, MATCH($B616, Portfolio!$A:$A, 0)),Transactions!$B616)</f>
        <v/>
      </c>
      <c r="D616" s="51" t="str">
        <f>IF($B616&lt;&gt;"",Transactions!$E616*1,)</f>
        <v/>
      </c>
      <c r="E616" s="51" t="str">
        <f>IF($B616&lt;&gt;"",Transactions!$F616*1,)</f>
        <v/>
      </c>
      <c r="F616" s="42" t="str">
        <f>IF(Transactions!$G616&lt;&gt;"",Transactions!$H616&amp;" "&amp;Transactions!$G616,)</f>
        <v/>
      </c>
    </row>
    <row r="617">
      <c r="A617" s="55" t="str">
        <f>IF(Transactions!$B617&lt;&gt;"",DATE(LEFT(Transactions!$B617,4),MID(Transactions!$B617,6,2),MID(Transactions!$B617,9,2)),)</f>
        <v/>
      </c>
      <c r="B617" s="56" t="str">
        <f>Transactions!$C617</f>
        <v/>
      </c>
      <c r="C617" s="51" t="str">
        <f t="array" ref="C617">IFERROR(INDEX(Portfolio!$B:$B, MATCH($B617, Portfolio!$A:$A, 0)),Transactions!$B617)</f>
        <v/>
      </c>
      <c r="D617" s="51" t="str">
        <f>IF($B617&lt;&gt;"",Transactions!$E617*1,)</f>
        <v/>
      </c>
      <c r="E617" s="51" t="str">
        <f>IF($B617&lt;&gt;"",Transactions!$F617*1,)</f>
        <v/>
      </c>
      <c r="F617" s="42" t="str">
        <f>IF(Transactions!$G617&lt;&gt;"",Transactions!$H617&amp;" "&amp;Transactions!$G617,)</f>
        <v/>
      </c>
    </row>
    <row r="618">
      <c r="A618" s="55" t="str">
        <f>IF(Transactions!$B618&lt;&gt;"",DATE(LEFT(Transactions!$B618,4),MID(Transactions!$B618,6,2),MID(Transactions!$B618,9,2)),)</f>
        <v/>
      </c>
      <c r="B618" s="56" t="str">
        <f>Transactions!$C618</f>
        <v/>
      </c>
      <c r="C618" s="51" t="str">
        <f t="array" ref="C618">IFERROR(INDEX(Portfolio!$B:$B, MATCH($B618, Portfolio!$A:$A, 0)),Transactions!$B618)</f>
        <v/>
      </c>
      <c r="D618" s="51" t="str">
        <f>IF($B618&lt;&gt;"",Transactions!$E618*1,)</f>
        <v/>
      </c>
      <c r="E618" s="51" t="str">
        <f>IF($B618&lt;&gt;"",Transactions!$F618*1,)</f>
        <v/>
      </c>
      <c r="F618" s="42" t="str">
        <f>IF(Transactions!$G618&lt;&gt;"",Transactions!$H618&amp;" "&amp;Transactions!$G618,)</f>
        <v/>
      </c>
    </row>
    <row r="619">
      <c r="A619" s="55" t="str">
        <f>IF(Transactions!$B619&lt;&gt;"",DATE(LEFT(Transactions!$B619,4),MID(Transactions!$B619,6,2),MID(Transactions!$B619,9,2)),)</f>
        <v/>
      </c>
      <c r="B619" s="56" t="str">
        <f>Transactions!$C619</f>
        <v/>
      </c>
      <c r="C619" s="51" t="str">
        <f t="array" ref="C619">IFERROR(INDEX(Portfolio!$B:$B, MATCH($B619, Portfolio!$A:$A, 0)),Transactions!$B619)</f>
        <v/>
      </c>
      <c r="D619" s="51" t="str">
        <f>IF($B619&lt;&gt;"",Transactions!$E619*1,)</f>
        <v/>
      </c>
      <c r="E619" s="51" t="str">
        <f>IF($B619&lt;&gt;"",Transactions!$F619*1,)</f>
        <v/>
      </c>
      <c r="F619" s="42" t="str">
        <f>IF(Transactions!$G619&lt;&gt;"",Transactions!$H619&amp;" "&amp;Transactions!$G619,)</f>
        <v/>
      </c>
    </row>
    <row r="620">
      <c r="A620" s="55" t="str">
        <f>IF(Transactions!$B620&lt;&gt;"",DATE(LEFT(Transactions!$B620,4),MID(Transactions!$B620,6,2),MID(Transactions!$B620,9,2)),)</f>
        <v/>
      </c>
      <c r="B620" s="56" t="str">
        <f>Transactions!$C620</f>
        <v/>
      </c>
      <c r="C620" s="51" t="str">
        <f t="array" ref="C620">IFERROR(INDEX(Portfolio!$B:$B, MATCH($B620, Portfolio!$A:$A, 0)),Transactions!$B620)</f>
        <v/>
      </c>
      <c r="D620" s="51" t="str">
        <f>IF($B620&lt;&gt;"",Transactions!$E620*1,)</f>
        <v/>
      </c>
      <c r="E620" s="51" t="str">
        <f>IF($B620&lt;&gt;"",Transactions!$F620*1,)</f>
        <v/>
      </c>
      <c r="F620" s="42" t="str">
        <f>IF(Transactions!$G620&lt;&gt;"",Transactions!$H620&amp;" "&amp;Transactions!$G620,)</f>
        <v/>
      </c>
    </row>
    <row r="621">
      <c r="A621" s="55" t="str">
        <f>IF(Transactions!$B621&lt;&gt;"",DATE(LEFT(Transactions!$B621,4),MID(Transactions!$B621,6,2),MID(Transactions!$B621,9,2)),)</f>
        <v/>
      </c>
      <c r="B621" s="56" t="str">
        <f>Transactions!$C621</f>
        <v/>
      </c>
      <c r="C621" s="51" t="str">
        <f t="array" ref="C621">IFERROR(INDEX(Portfolio!$B:$B, MATCH($B621, Portfolio!$A:$A, 0)),Transactions!$B621)</f>
        <v/>
      </c>
      <c r="D621" s="51" t="str">
        <f>IF($B621&lt;&gt;"",Transactions!$E621*1,)</f>
        <v/>
      </c>
      <c r="E621" s="51" t="str">
        <f>IF($B621&lt;&gt;"",Transactions!$F621*1,)</f>
        <v/>
      </c>
      <c r="F621" s="42" t="str">
        <f>IF(Transactions!$G621&lt;&gt;"",Transactions!$H621&amp;" "&amp;Transactions!$G621,)</f>
        <v/>
      </c>
    </row>
    <row r="622">
      <c r="A622" s="55" t="str">
        <f>IF(Transactions!$B622&lt;&gt;"",DATE(LEFT(Transactions!$B622,4),MID(Transactions!$B622,6,2),MID(Transactions!$B622,9,2)),)</f>
        <v/>
      </c>
      <c r="B622" s="56" t="str">
        <f>Transactions!$C622</f>
        <v/>
      </c>
      <c r="C622" s="51" t="str">
        <f t="array" ref="C622">IFERROR(INDEX(Portfolio!$B:$B, MATCH($B622, Portfolio!$A:$A, 0)),Transactions!$B622)</f>
        <v/>
      </c>
      <c r="D622" s="51" t="str">
        <f>IF($B622&lt;&gt;"",Transactions!$E622*1,)</f>
        <v/>
      </c>
      <c r="E622" s="51" t="str">
        <f>IF($B622&lt;&gt;"",Transactions!$F622*1,)</f>
        <v/>
      </c>
      <c r="F622" s="42" t="str">
        <f>IF(Transactions!$G622&lt;&gt;"",Transactions!$H622&amp;" "&amp;Transactions!$G622,)</f>
        <v/>
      </c>
    </row>
    <row r="623">
      <c r="A623" s="55" t="str">
        <f>IF(Transactions!$B623&lt;&gt;"",DATE(LEFT(Transactions!$B623,4),MID(Transactions!$B623,6,2),MID(Transactions!$B623,9,2)),)</f>
        <v/>
      </c>
      <c r="B623" s="56" t="str">
        <f>Transactions!$C623</f>
        <v/>
      </c>
      <c r="C623" s="51" t="str">
        <f t="array" ref="C623">IFERROR(INDEX(Portfolio!$B:$B, MATCH($B623, Portfolio!$A:$A, 0)),Transactions!$B623)</f>
        <v/>
      </c>
      <c r="D623" s="51" t="str">
        <f>IF($B623&lt;&gt;"",Transactions!$E623*1,)</f>
        <v/>
      </c>
      <c r="E623" s="51" t="str">
        <f>IF($B623&lt;&gt;"",Transactions!$F623*1,)</f>
        <v/>
      </c>
      <c r="F623" s="42" t="str">
        <f>IF(Transactions!$G623&lt;&gt;"",Transactions!$H623&amp;" "&amp;Transactions!$G623,)</f>
        <v/>
      </c>
    </row>
    <row r="624">
      <c r="A624" s="55" t="str">
        <f>IF(Transactions!$B624&lt;&gt;"",DATE(LEFT(Transactions!$B624,4),MID(Transactions!$B624,6,2),MID(Transactions!$B624,9,2)),)</f>
        <v/>
      </c>
      <c r="B624" s="56" t="str">
        <f>Transactions!$C624</f>
        <v/>
      </c>
      <c r="C624" s="51" t="str">
        <f t="array" ref="C624">IFERROR(INDEX(Portfolio!$B:$B, MATCH($B624, Portfolio!$A:$A, 0)),Transactions!$B624)</f>
        <v/>
      </c>
      <c r="D624" s="51" t="str">
        <f>IF($B624&lt;&gt;"",Transactions!$E624*1,)</f>
        <v/>
      </c>
      <c r="E624" s="51" t="str">
        <f>IF($B624&lt;&gt;"",Transactions!$F624*1,)</f>
        <v/>
      </c>
      <c r="F624" s="42" t="str">
        <f>IF(Transactions!$G624&lt;&gt;"",Transactions!$H624&amp;" "&amp;Transactions!$G624,)</f>
        <v/>
      </c>
    </row>
    <row r="625">
      <c r="A625" s="55" t="str">
        <f>IF(Transactions!$B625&lt;&gt;"",DATE(LEFT(Transactions!$B625,4),MID(Transactions!$B625,6,2),MID(Transactions!$B625,9,2)),)</f>
        <v/>
      </c>
      <c r="B625" s="56" t="str">
        <f>Transactions!$C625</f>
        <v/>
      </c>
      <c r="C625" s="51" t="str">
        <f t="array" ref="C625">IFERROR(INDEX(Portfolio!$B:$B, MATCH($B625, Portfolio!$A:$A, 0)),Transactions!$B625)</f>
        <v/>
      </c>
      <c r="D625" s="51" t="str">
        <f>IF($B625&lt;&gt;"",Transactions!$E625*1,)</f>
        <v/>
      </c>
      <c r="E625" s="51" t="str">
        <f>IF($B625&lt;&gt;"",Transactions!$F625*1,)</f>
        <v/>
      </c>
      <c r="F625" s="42" t="str">
        <f>IF(Transactions!$G625&lt;&gt;"",Transactions!$H625&amp;" "&amp;Transactions!$G625,)</f>
        <v/>
      </c>
    </row>
    <row r="626">
      <c r="A626" s="55" t="str">
        <f>IF(Transactions!$B626&lt;&gt;"",DATE(LEFT(Transactions!$B626,4),MID(Transactions!$B626,6,2),MID(Transactions!$B626,9,2)),)</f>
        <v/>
      </c>
      <c r="B626" s="56" t="str">
        <f>Transactions!$C626</f>
        <v/>
      </c>
      <c r="C626" s="51" t="str">
        <f t="array" ref="C626">IFERROR(INDEX(Portfolio!$B:$B, MATCH($B626, Portfolio!$A:$A, 0)),Transactions!$B626)</f>
        <v/>
      </c>
      <c r="D626" s="51" t="str">
        <f>IF($B626&lt;&gt;"",Transactions!$E626*1,)</f>
        <v/>
      </c>
      <c r="E626" s="51" t="str">
        <f>IF($B626&lt;&gt;"",Transactions!$F626*1,)</f>
        <v/>
      </c>
      <c r="F626" s="42" t="str">
        <f>IF(Transactions!$G626&lt;&gt;"",Transactions!$H626&amp;" "&amp;Transactions!$G626,)</f>
        <v/>
      </c>
    </row>
    <row r="627">
      <c r="A627" s="55" t="str">
        <f>IF(Transactions!$B627&lt;&gt;"",DATE(LEFT(Transactions!$B627,4),MID(Transactions!$B627,6,2),MID(Transactions!$B627,9,2)),)</f>
        <v/>
      </c>
      <c r="B627" s="56" t="str">
        <f>Transactions!$C627</f>
        <v/>
      </c>
      <c r="C627" s="51" t="str">
        <f t="array" ref="C627">IFERROR(INDEX(Portfolio!$B:$B, MATCH($B627, Portfolio!$A:$A, 0)),Transactions!$B627)</f>
        <v/>
      </c>
      <c r="D627" s="51" t="str">
        <f>IF($B627&lt;&gt;"",Transactions!$E627*1,)</f>
        <v/>
      </c>
      <c r="E627" s="51" t="str">
        <f>IF($B627&lt;&gt;"",Transactions!$F627*1,)</f>
        <v/>
      </c>
      <c r="F627" s="42" t="str">
        <f>IF(Transactions!$G627&lt;&gt;"",Transactions!$H627&amp;" "&amp;Transactions!$G627,)</f>
        <v/>
      </c>
    </row>
    <row r="628">
      <c r="A628" s="55" t="str">
        <f>IF(Transactions!$B628&lt;&gt;"",DATE(LEFT(Transactions!$B628,4),MID(Transactions!$B628,6,2),MID(Transactions!$B628,9,2)),)</f>
        <v/>
      </c>
      <c r="B628" s="56" t="str">
        <f>Transactions!$C628</f>
        <v/>
      </c>
      <c r="C628" s="51" t="str">
        <f t="array" ref="C628">IFERROR(INDEX(Portfolio!$B:$B, MATCH($B628, Portfolio!$A:$A, 0)),Transactions!$B628)</f>
        <v/>
      </c>
      <c r="D628" s="51" t="str">
        <f>IF($B628&lt;&gt;"",Transactions!$E628*1,)</f>
        <v/>
      </c>
      <c r="E628" s="51" t="str">
        <f>IF($B628&lt;&gt;"",Transactions!$F628*1,)</f>
        <v/>
      </c>
      <c r="F628" s="42" t="str">
        <f>IF(Transactions!$G628&lt;&gt;"",Transactions!$H628&amp;" "&amp;Transactions!$G628,)</f>
        <v/>
      </c>
    </row>
    <row r="629">
      <c r="A629" s="55" t="str">
        <f>IF(Transactions!$B629&lt;&gt;"",DATE(LEFT(Transactions!$B629,4),MID(Transactions!$B629,6,2),MID(Transactions!$B629,9,2)),)</f>
        <v/>
      </c>
      <c r="B629" s="56" t="str">
        <f>Transactions!$C629</f>
        <v/>
      </c>
      <c r="C629" s="51" t="str">
        <f t="array" ref="C629">IFERROR(INDEX(Portfolio!$B:$B, MATCH($B629, Portfolio!$A:$A, 0)),Transactions!$B629)</f>
        <v/>
      </c>
      <c r="D629" s="51" t="str">
        <f>IF($B629&lt;&gt;"",Transactions!$E629*1,)</f>
        <v/>
      </c>
      <c r="E629" s="51" t="str">
        <f>IF($B629&lt;&gt;"",Transactions!$F629*1,)</f>
        <v/>
      </c>
      <c r="F629" s="42" t="str">
        <f>IF(Transactions!$G629&lt;&gt;"",Transactions!$H629&amp;" "&amp;Transactions!$G629,)</f>
        <v/>
      </c>
    </row>
    <row r="630">
      <c r="A630" s="55" t="str">
        <f>IF(Transactions!$B630&lt;&gt;"",DATE(LEFT(Transactions!$B630,4),MID(Transactions!$B630,6,2),MID(Transactions!$B630,9,2)),)</f>
        <v/>
      </c>
      <c r="B630" s="56" t="str">
        <f>Transactions!$C630</f>
        <v/>
      </c>
      <c r="C630" s="51" t="str">
        <f t="array" ref="C630">IFERROR(INDEX(Portfolio!$B:$B, MATCH($B630, Portfolio!$A:$A, 0)),Transactions!$B630)</f>
        <v/>
      </c>
      <c r="D630" s="51" t="str">
        <f>IF($B630&lt;&gt;"",Transactions!$E630*1,)</f>
        <v/>
      </c>
      <c r="E630" s="51" t="str">
        <f>IF($B630&lt;&gt;"",Transactions!$F630*1,)</f>
        <v/>
      </c>
      <c r="F630" s="42" t="str">
        <f>IF(Transactions!$G630&lt;&gt;"",Transactions!$H630&amp;" "&amp;Transactions!$G630,)</f>
        <v/>
      </c>
    </row>
    <row r="631">
      <c r="A631" s="55" t="str">
        <f>IF(Transactions!$B631&lt;&gt;"",DATE(LEFT(Transactions!$B631,4),MID(Transactions!$B631,6,2),MID(Transactions!$B631,9,2)),)</f>
        <v/>
      </c>
      <c r="B631" s="56" t="str">
        <f>Transactions!$C631</f>
        <v/>
      </c>
      <c r="C631" s="51" t="str">
        <f t="array" ref="C631">IFERROR(INDEX(Portfolio!$B:$B, MATCH($B631, Portfolio!$A:$A, 0)),Transactions!$B631)</f>
        <v/>
      </c>
      <c r="D631" s="51" t="str">
        <f>IF($B631&lt;&gt;"",Transactions!$E631*1,)</f>
        <v/>
      </c>
      <c r="E631" s="51" t="str">
        <f>IF($B631&lt;&gt;"",Transactions!$F631*1,)</f>
        <v/>
      </c>
      <c r="F631" s="42" t="str">
        <f>IF(Transactions!$G631&lt;&gt;"",Transactions!$H631&amp;" "&amp;Transactions!$G631,)</f>
        <v/>
      </c>
    </row>
    <row r="632">
      <c r="A632" s="55" t="str">
        <f>IF(Transactions!$B632&lt;&gt;"",DATE(LEFT(Transactions!$B632,4),MID(Transactions!$B632,6,2),MID(Transactions!$B632,9,2)),)</f>
        <v/>
      </c>
      <c r="B632" s="56" t="str">
        <f>Transactions!$C632</f>
        <v/>
      </c>
      <c r="C632" s="51" t="str">
        <f t="array" ref="C632">IFERROR(INDEX(Portfolio!$B:$B, MATCH($B632, Portfolio!$A:$A, 0)),Transactions!$B632)</f>
        <v/>
      </c>
      <c r="D632" s="51" t="str">
        <f>IF($B632&lt;&gt;"",Transactions!$E632*1,)</f>
        <v/>
      </c>
      <c r="E632" s="51" t="str">
        <f>IF($B632&lt;&gt;"",Transactions!$F632*1,)</f>
        <v/>
      </c>
      <c r="F632" s="42" t="str">
        <f>IF(Transactions!$G632&lt;&gt;"",Transactions!$H632&amp;" "&amp;Transactions!$G632,)</f>
        <v/>
      </c>
    </row>
    <row r="633">
      <c r="A633" s="55" t="str">
        <f>IF(Transactions!$B633&lt;&gt;"",DATE(LEFT(Transactions!$B633,4),MID(Transactions!$B633,6,2),MID(Transactions!$B633,9,2)),)</f>
        <v/>
      </c>
      <c r="B633" s="56" t="str">
        <f>Transactions!$C633</f>
        <v/>
      </c>
      <c r="C633" s="51" t="str">
        <f t="array" ref="C633">IFERROR(INDEX(Portfolio!$B:$B, MATCH($B633, Portfolio!$A:$A, 0)),Transactions!$B633)</f>
        <v/>
      </c>
      <c r="D633" s="51" t="str">
        <f>IF($B633&lt;&gt;"",Transactions!$E633*1,)</f>
        <v/>
      </c>
      <c r="E633" s="51" t="str">
        <f>IF($B633&lt;&gt;"",Transactions!$F633*1,)</f>
        <v/>
      </c>
      <c r="F633" s="42" t="str">
        <f>IF(Transactions!$G633&lt;&gt;"",Transactions!$H633&amp;" "&amp;Transactions!$G633,)</f>
        <v/>
      </c>
    </row>
    <row r="634">
      <c r="A634" s="55" t="str">
        <f>IF(Transactions!$B634&lt;&gt;"",DATE(LEFT(Transactions!$B634,4),MID(Transactions!$B634,6,2),MID(Transactions!$B634,9,2)),)</f>
        <v/>
      </c>
      <c r="B634" s="56" t="str">
        <f>Transactions!$C634</f>
        <v/>
      </c>
      <c r="C634" s="51" t="str">
        <f t="array" ref="C634">IFERROR(INDEX(Portfolio!$B:$B, MATCH($B634, Portfolio!$A:$A, 0)),Transactions!$B634)</f>
        <v/>
      </c>
      <c r="D634" s="51" t="str">
        <f>IF($B634&lt;&gt;"",Transactions!$E634*1,)</f>
        <v/>
      </c>
      <c r="E634" s="51" t="str">
        <f>IF($B634&lt;&gt;"",Transactions!$F634*1,)</f>
        <v/>
      </c>
      <c r="F634" s="42" t="str">
        <f>IF(Transactions!$G634&lt;&gt;"",Transactions!$H634&amp;" "&amp;Transactions!$G634,)</f>
        <v/>
      </c>
    </row>
    <row r="635">
      <c r="A635" s="55" t="str">
        <f>IF(Transactions!$B635&lt;&gt;"",DATE(LEFT(Transactions!$B635,4),MID(Transactions!$B635,6,2),MID(Transactions!$B635,9,2)),)</f>
        <v/>
      </c>
      <c r="B635" s="56" t="str">
        <f>Transactions!$C635</f>
        <v/>
      </c>
      <c r="C635" s="51" t="str">
        <f t="array" ref="C635">IFERROR(INDEX(Portfolio!$B:$B, MATCH($B635, Portfolio!$A:$A, 0)),Transactions!$B635)</f>
        <v/>
      </c>
      <c r="D635" s="51" t="str">
        <f>IF($B635&lt;&gt;"",Transactions!$E635*1,)</f>
        <v/>
      </c>
      <c r="E635" s="51" t="str">
        <f>IF($B635&lt;&gt;"",Transactions!$F635*1,)</f>
        <v/>
      </c>
      <c r="F635" s="42" t="str">
        <f>IF(Transactions!$G635&lt;&gt;"",Transactions!$H635&amp;" "&amp;Transactions!$G635,)</f>
        <v/>
      </c>
    </row>
    <row r="636">
      <c r="A636" s="55" t="str">
        <f>IF(Transactions!$B636&lt;&gt;"",DATE(LEFT(Transactions!$B636,4),MID(Transactions!$B636,6,2),MID(Transactions!$B636,9,2)),)</f>
        <v/>
      </c>
      <c r="B636" s="56" t="str">
        <f>Transactions!$C636</f>
        <v/>
      </c>
      <c r="C636" s="51" t="str">
        <f t="array" ref="C636">IFERROR(INDEX(Portfolio!$B:$B, MATCH($B636, Portfolio!$A:$A, 0)),Transactions!$B636)</f>
        <v/>
      </c>
      <c r="D636" s="51" t="str">
        <f>IF($B636&lt;&gt;"",Transactions!$E636*1,)</f>
        <v/>
      </c>
      <c r="E636" s="51" t="str">
        <f>IF($B636&lt;&gt;"",Transactions!$F636*1,)</f>
        <v/>
      </c>
      <c r="F636" s="42" t="str">
        <f>IF(Transactions!$G636&lt;&gt;"",Transactions!$H636&amp;" "&amp;Transactions!$G636,)</f>
        <v/>
      </c>
    </row>
    <row r="637">
      <c r="A637" s="55" t="str">
        <f>IF(Transactions!$B637&lt;&gt;"",DATE(LEFT(Transactions!$B637,4),MID(Transactions!$B637,6,2),MID(Transactions!$B637,9,2)),)</f>
        <v/>
      </c>
      <c r="B637" s="56" t="str">
        <f>Transactions!$C637</f>
        <v/>
      </c>
      <c r="C637" s="51" t="str">
        <f t="array" ref="C637">IFERROR(INDEX(Portfolio!$B:$B, MATCH($B637, Portfolio!$A:$A, 0)),Transactions!$B637)</f>
        <v/>
      </c>
      <c r="D637" s="51" t="str">
        <f>IF($B637&lt;&gt;"",Transactions!$E637*1,)</f>
        <v/>
      </c>
      <c r="E637" s="51" t="str">
        <f>IF($B637&lt;&gt;"",Transactions!$F637*1,)</f>
        <v/>
      </c>
      <c r="F637" s="42" t="str">
        <f>IF(Transactions!$G637&lt;&gt;"",Transactions!$H637&amp;" "&amp;Transactions!$G637,)</f>
        <v/>
      </c>
    </row>
    <row r="638">
      <c r="A638" s="55" t="str">
        <f>IF(Transactions!$B638&lt;&gt;"",DATE(LEFT(Transactions!$B638,4),MID(Transactions!$B638,6,2),MID(Transactions!$B638,9,2)),)</f>
        <v/>
      </c>
      <c r="B638" s="56" t="str">
        <f>Transactions!$C638</f>
        <v/>
      </c>
      <c r="C638" s="51" t="str">
        <f t="array" ref="C638">IFERROR(INDEX(Portfolio!$B:$B, MATCH($B638, Portfolio!$A:$A, 0)),Transactions!$B638)</f>
        <v/>
      </c>
      <c r="D638" s="51" t="str">
        <f>IF($B638&lt;&gt;"",Transactions!$E638*1,)</f>
        <v/>
      </c>
      <c r="E638" s="51" t="str">
        <f>IF($B638&lt;&gt;"",Transactions!$F638*1,)</f>
        <v/>
      </c>
      <c r="F638" s="42" t="str">
        <f>IF(Transactions!$G638&lt;&gt;"",Transactions!$H638&amp;" "&amp;Transactions!$G638,)</f>
        <v/>
      </c>
    </row>
    <row r="639">
      <c r="A639" s="55" t="str">
        <f>IF(Transactions!$B639&lt;&gt;"",DATE(LEFT(Transactions!$B639,4),MID(Transactions!$B639,6,2),MID(Transactions!$B639,9,2)),)</f>
        <v/>
      </c>
      <c r="B639" s="56" t="str">
        <f>Transactions!$C639</f>
        <v/>
      </c>
      <c r="C639" s="51" t="str">
        <f t="array" ref="C639">IFERROR(INDEX(Portfolio!$B:$B, MATCH($B639, Portfolio!$A:$A, 0)),Transactions!$B639)</f>
        <v/>
      </c>
      <c r="D639" s="51" t="str">
        <f>IF($B639&lt;&gt;"",Transactions!$E639*1,)</f>
        <v/>
      </c>
      <c r="E639" s="51" t="str">
        <f>IF($B639&lt;&gt;"",Transactions!$F639*1,)</f>
        <v/>
      </c>
      <c r="F639" s="42" t="str">
        <f>IF(Transactions!$G639&lt;&gt;"",Transactions!$H639&amp;" "&amp;Transactions!$G639,)</f>
        <v/>
      </c>
    </row>
    <row r="640">
      <c r="A640" s="55" t="str">
        <f>IF(Transactions!$B640&lt;&gt;"",DATE(LEFT(Transactions!$B640,4),MID(Transactions!$B640,6,2),MID(Transactions!$B640,9,2)),)</f>
        <v/>
      </c>
      <c r="B640" s="56" t="str">
        <f>Transactions!$C640</f>
        <v/>
      </c>
      <c r="C640" s="51" t="str">
        <f t="array" ref="C640">IFERROR(INDEX(Portfolio!$B:$B, MATCH($B640, Portfolio!$A:$A, 0)),Transactions!$B640)</f>
        <v/>
      </c>
      <c r="D640" s="51" t="str">
        <f>IF($B640&lt;&gt;"",Transactions!$E640*1,)</f>
        <v/>
      </c>
      <c r="E640" s="51" t="str">
        <f>IF($B640&lt;&gt;"",Transactions!$F640*1,)</f>
        <v/>
      </c>
      <c r="F640" s="42" t="str">
        <f>IF(Transactions!$G640&lt;&gt;"",Transactions!$H640&amp;" "&amp;Transactions!$G640,)</f>
        <v/>
      </c>
    </row>
    <row r="641">
      <c r="A641" s="55" t="str">
        <f>IF(Transactions!$B641&lt;&gt;"",DATE(LEFT(Transactions!$B641,4),MID(Transactions!$B641,6,2),MID(Transactions!$B641,9,2)),)</f>
        <v/>
      </c>
      <c r="B641" s="56" t="str">
        <f>Transactions!$C641</f>
        <v/>
      </c>
      <c r="C641" s="51" t="str">
        <f t="array" ref="C641">IFERROR(INDEX(Portfolio!$B:$B, MATCH($B641, Portfolio!$A:$A, 0)),Transactions!$B641)</f>
        <v/>
      </c>
      <c r="D641" s="51" t="str">
        <f>IF($B641&lt;&gt;"",Transactions!$E641*1,)</f>
        <v/>
      </c>
      <c r="E641" s="51" t="str">
        <f>IF($B641&lt;&gt;"",Transactions!$F641*1,)</f>
        <v/>
      </c>
      <c r="F641" s="42" t="str">
        <f>IF(Transactions!$G641&lt;&gt;"",Transactions!$H641&amp;" "&amp;Transactions!$G641,)</f>
        <v/>
      </c>
    </row>
    <row r="642">
      <c r="A642" s="55" t="str">
        <f>IF(Transactions!$B642&lt;&gt;"",DATE(LEFT(Transactions!$B642,4),MID(Transactions!$B642,6,2),MID(Transactions!$B642,9,2)),)</f>
        <v/>
      </c>
      <c r="B642" s="56" t="str">
        <f>Transactions!$C642</f>
        <v/>
      </c>
      <c r="C642" s="51" t="str">
        <f t="array" ref="C642">IFERROR(INDEX(Portfolio!$B:$B, MATCH($B642, Portfolio!$A:$A, 0)),Transactions!$B642)</f>
        <v/>
      </c>
      <c r="D642" s="51" t="str">
        <f>IF($B642&lt;&gt;"",Transactions!$E642*1,)</f>
        <v/>
      </c>
      <c r="E642" s="51" t="str">
        <f>IF($B642&lt;&gt;"",Transactions!$F642*1,)</f>
        <v/>
      </c>
      <c r="F642" s="42" t="str">
        <f>IF(Transactions!$G642&lt;&gt;"",Transactions!$H642&amp;" "&amp;Transactions!$G642,)</f>
        <v/>
      </c>
    </row>
    <row r="643">
      <c r="A643" s="55" t="str">
        <f>IF(Transactions!$B643&lt;&gt;"",DATE(LEFT(Transactions!$B643,4),MID(Transactions!$B643,6,2),MID(Transactions!$B643,9,2)),)</f>
        <v/>
      </c>
      <c r="B643" s="56" t="str">
        <f>Transactions!$C643</f>
        <v/>
      </c>
      <c r="C643" s="51" t="str">
        <f t="array" ref="C643">IFERROR(INDEX(Portfolio!$B:$B, MATCH($B643, Portfolio!$A:$A, 0)),Transactions!$B643)</f>
        <v/>
      </c>
      <c r="D643" s="51" t="str">
        <f>IF($B643&lt;&gt;"",Transactions!$E643*1,)</f>
        <v/>
      </c>
      <c r="E643" s="51" t="str">
        <f>IF($B643&lt;&gt;"",Transactions!$F643*1,)</f>
        <v/>
      </c>
      <c r="F643" s="42" t="str">
        <f>IF(Transactions!$G643&lt;&gt;"",Transactions!$H643&amp;" "&amp;Transactions!$G643,)</f>
        <v/>
      </c>
    </row>
    <row r="644">
      <c r="A644" s="55" t="str">
        <f>IF(Transactions!$B644&lt;&gt;"",DATE(LEFT(Transactions!$B644,4),MID(Transactions!$B644,6,2),MID(Transactions!$B644,9,2)),)</f>
        <v/>
      </c>
      <c r="B644" s="56" t="str">
        <f>Transactions!$C644</f>
        <v/>
      </c>
      <c r="C644" s="51" t="str">
        <f t="array" ref="C644">IFERROR(INDEX(Portfolio!$B:$B, MATCH($B644, Portfolio!$A:$A, 0)),Transactions!$B644)</f>
        <v/>
      </c>
      <c r="D644" s="51" t="str">
        <f>IF($B644&lt;&gt;"",Transactions!$E644*1,)</f>
        <v/>
      </c>
      <c r="E644" s="51" t="str">
        <f>IF($B644&lt;&gt;"",Transactions!$F644*1,)</f>
        <v/>
      </c>
      <c r="F644" s="42" t="str">
        <f>IF(Transactions!$G644&lt;&gt;"",Transactions!$H644&amp;" "&amp;Transactions!$G644,)</f>
        <v/>
      </c>
    </row>
    <row r="645">
      <c r="A645" s="55" t="str">
        <f>IF(Transactions!$B645&lt;&gt;"",DATE(LEFT(Transactions!$B645,4),MID(Transactions!$B645,6,2),MID(Transactions!$B645,9,2)),)</f>
        <v/>
      </c>
      <c r="B645" s="56" t="str">
        <f>Transactions!$C645</f>
        <v/>
      </c>
      <c r="C645" s="51" t="str">
        <f t="array" ref="C645">IFERROR(INDEX(Portfolio!$B:$B, MATCH($B645, Portfolio!$A:$A, 0)),Transactions!$B645)</f>
        <v/>
      </c>
      <c r="D645" s="51" t="str">
        <f>IF($B645&lt;&gt;"",Transactions!$E645*1,)</f>
        <v/>
      </c>
      <c r="E645" s="51" t="str">
        <f>IF($B645&lt;&gt;"",Transactions!$F645*1,)</f>
        <v/>
      </c>
      <c r="F645" s="42" t="str">
        <f>IF(Transactions!$G645&lt;&gt;"",Transactions!$H645&amp;" "&amp;Transactions!$G645,)</f>
        <v/>
      </c>
    </row>
    <row r="646">
      <c r="A646" s="55" t="str">
        <f>IF(Transactions!$B646&lt;&gt;"",DATE(LEFT(Transactions!$B646,4),MID(Transactions!$B646,6,2),MID(Transactions!$B646,9,2)),)</f>
        <v/>
      </c>
      <c r="B646" s="56" t="str">
        <f>Transactions!$C646</f>
        <v/>
      </c>
      <c r="C646" s="51" t="str">
        <f t="array" ref="C646">IFERROR(INDEX(Portfolio!$B:$B, MATCH($B646, Portfolio!$A:$A, 0)),Transactions!$B646)</f>
        <v/>
      </c>
      <c r="D646" s="51" t="str">
        <f>IF($B646&lt;&gt;"",Transactions!$E646*1,)</f>
        <v/>
      </c>
      <c r="E646" s="51" t="str">
        <f>IF($B646&lt;&gt;"",Transactions!$F646*1,)</f>
        <v/>
      </c>
      <c r="F646" s="42" t="str">
        <f>IF(Transactions!$G646&lt;&gt;"",Transactions!$H646&amp;" "&amp;Transactions!$G646,)</f>
        <v/>
      </c>
    </row>
    <row r="647">
      <c r="A647" s="55" t="str">
        <f>IF(Transactions!$B647&lt;&gt;"",DATE(LEFT(Transactions!$B647,4),MID(Transactions!$B647,6,2),MID(Transactions!$B647,9,2)),)</f>
        <v/>
      </c>
      <c r="B647" s="56" t="str">
        <f>Transactions!$C647</f>
        <v/>
      </c>
      <c r="C647" s="51" t="str">
        <f t="array" ref="C647">IFERROR(INDEX(Portfolio!$B:$B, MATCH($B647, Portfolio!$A:$A, 0)),Transactions!$B647)</f>
        <v/>
      </c>
      <c r="D647" s="51" t="str">
        <f>IF($B647&lt;&gt;"",Transactions!$E647*1,)</f>
        <v/>
      </c>
      <c r="E647" s="51" t="str">
        <f>IF($B647&lt;&gt;"",Transactions!$F647*1,)</f>
        <v/>
      </c>
      <c r="F647" s="42" t="str">
        <f>IF(Transactions!$G647&lt;&gt;"",Transactions!$H647&amp;" "&amp;Transactions!$G647,)</f>
        <v/>
      </c>
    </row>
    <row r="648">
      <c r="A648" s="55" t="str">
        <f>IF(Transactions!$B648&lt;&gt;"",DATE(LEFT(Transactions!$B648,4),MID(Transactions!$B648,6,2),MID(Transactions!$B648,9,2)),)</f>
        <v/>
      </c>
      <c r="B648" s="56" t="str">
        <f>Transactions!$C648</f>
        <v/>
      </c>
      <c r="C648" s="51" t="str">
        <f t="array" ref="C648">IFERROR(INDEX(Portfolio!$B:$B, MATCH($B648, Portfolio!$A:$A, 0)),Transactions!$B648)</f>
        <v/>
      </c>
      <c r="D648" s="51" t="str">
        <f>IF($B648&lt;&gt;"",Transactions!$E648*1,)</f>
        <v/>
      </c>
      <c r="E648" s="51" t="str">
        <f>IF($B648&lt;&gt;"",Transactions!$F648*1,)</f>
        <v/>
      </c>
      <c r="F648" s="42" t="str">
        <f>IF(Transactions!$G648&lt;&gt;"",Transactions!$H648&amp;" "&amp;Transactions!$G648,)</f>
        <v/>
      </c>
    </row>
    <row r="649">
      <c r="A649" s="55" t="str">
        <f>IF(Transactions!$B649&lt;&gt;"",DATE(LEFT(Transactions!$B649,4),MID(Transactions!$B649,6,2),MID(Transactions!$B649,9,2)),)</f>
        <v/>
      </c>
      <c r="B649" s="56" t="str">
        <f>Transactions!$C649</f>
        <v/>
      </c>
      <c r="C649" s="51" t="str">
        <f t="array" ref="C649">IFERROR(INDEX(Portfolio!$B:$B, MATCH($B649, Portfolio!$A:$A, 0)),Transactions!$B649)</f>
        <v/>
      </c>
      <c r="D649" s="51" t="str">
        <f>IF($B649&lt;&gt;"",Transactions!$E649*1,)</f>
        <v/>
      </c>
      <c r="E649" s="51" t="str">
        <f>IF($B649&lt;&gt;"",Transactions!$F649*1,)</f>
        <v/>
      </c>
      <c r="F649" s="42" t="str">
        <f>IF(Transactions!$G649&lt;&gt;"",Transactions!$H649&amp;" "&amp;Transactions!$G649,)</f>
        <v/>
      </c>
    </row>
    <row r="650">
      <c r="A650" s="55" t="str">
        <f>IF(Transactions!$B650&lt;&gt;"",DATE(LEFT(Transactions!$B650,4),MID(Transactions!$B650,6,2),MID(Transactions!$B650,9,2)),)</f>
        <v/>
      </c>
      <c r="B650" s="56" t="str">
        <f>Transactions!$C650</f>
        <v/>
      </c>
      <c r="C650" s="51" t="str">
        <f t="array" ref="C650">IFERROR(INDEX(Portfolio!$B:$B, MATCH($B650, Portfolio!$A:$A, 0)),Transactions!$B650)</f>
        <v/>
      </c>
      <c r="D650" s="51" t="str">
        <f>IF($B650&lt;&gt;"",Transactions!$E650*1,)</f>
        <v/>
      </c>
      <c r="E650" s="51" t="str">
        <f>IF($B650&lt;&gt;"",Transactions!$F650*1,)</f>
        <v/>
      </c>
      <c r="F650" s="42" t="str">
        <f>IF(Transactions!$G650&lt;&gt;"",Transactions!$H650&amp;" "&amp;Transactions!$G650,)</f>
        <v/>
      </c>
    </row>
    <row r="651">
      <c r="A651" s="55" t="str">
        <f>IF(Transactions!$B651&lt;&gt;"",DATE(LEFT(Transactions!$B651,4),MID(Transactions!$B651,6,2),MID(Transactions!$B651,9,2)),)</f>
        <v/>
      </c>
      <c r="B651" s="56" t="str">
        <f>Transactions!$C651</f>
        <v/>
      </c>
      <c r="C651" s="51" t="str">
        <f t="array" ref="C651">IFERROR(INDEX(Portfolio!$B:$B, MATCH($B651, Portfolio!$A:$A, 0)),Transactions!$B651)</f>
        <v/>
      </c>
      <c r="D651" s="51" t="str">
        <f>IF($B651&lt;&gt;"",Transactions!$E651*1,)</f>
        <v/>
      </c>
      <c r="E651" s="51" t="str">
        <f>IF($B651&lt;&gt;"",Transactions!$F651*1,)</f>
        <v/>
      </c>
      <c r="F651" s="42" t="str">
        <f>IF(Transactions!$G651&lt;&gt;"",Transactions!$H651&amp;" "&amp;Transactions!$G651,)</f>
        <v/>
      </c>
    </row>
    <row r="652">
      <c r="A652" s="55" t="str">
        <f>IF(Transactions!$B652&lt;&gt;"",DATE(LEFT(Transactions!$B652,4),MID(Transactions!$B652,6,2),MID(Transactions!$B652,9,2)),)</f>
        <v/>
      </c>
      <c r="B652" s="56" t="str">
        <f>Transactions!$C652</f>
        <v/>
      </c>
      <c r="C652" s="51" t="str">
        <f t="array" ref="C652">IFERROR(INDEX(Portfolio!$B:$B, MATCH($B652, Portfolio!$A:$A, 0)),Transactions!$B652)</f>
        <v/>
      </c>
      <c r="D652" s="51" t="str">
        <f>IF($B652&lt;&gt;"",Transactions!$E652*1,)</f>
        <v/>
      </c>
      <c r="E652" s="51" t="str">
        <f>IF($B652&lt;&gt;"",Transactions!$F652*1,)</f>
        <v/>
      </c>
      <c r="F652" s="42" t="str">
        <f>IF(Transactions!$G652&lt;&gt;"",Transactions!$H652&amp;" "&amp;Transactions!$G652,)</f>
        <v/>
      </c>
    </row>
    <row r="653">
      <c r="A653" s="55" t="str">
        <f>IF(Transactions!$B653&lt;&gt;"",DATE(LEFT(Transactions!$B653,4),MID(Transactions!$B653,6,2),MID(Transactions!$B653,9,2)),)</f>
        <v/>
      </c>
      <c r="B653" s="56" t="str">
        <f>Transactions!$C653</f>
        <v/>
      </c>
      <c r="C653" s="51" t="str">
        <f t="array" ref="C653">IFERROR(INDEX(Portfolio!$B:$B, MATCH($B653, Portfolio!$A:$A, 0)),Transactions!$B653)</f>
        <v/>
      </c>
      <c r="D653" s="51" t="str">
        <f>IF($B653&lt;&gt;"",Transactions!$E653*1,)</f>
        <v/>
      </c>
      <c r="E653" s="51" t="str">
        <f>IF($B653&lt;&gt;"",Transactions!$F653*1,)</f>
        <v/>
      </c>
      <c r="F653" s="42" t="str">
        <f>IF(Transactions!$G653&lt;&gt;"",Transactions!$H653&amp;" "&amp;Transactions!$G653,)</f>
        <v/>
      </c>
    </row>
    <row r="654">
      <c r="A654" s="55" t="str">
        <f>IF(Transactions!$B654&lt;&gt;"",DATE(LEFT(Transactions!$B654,4),MID(Transactions!$B654,6,2),MID(Transactions!$B654,9,2)),)</f>
        <v/>
      </c>
      <c r="B654" s="56" t="str">
        <f>Transactions!$C654</f>
        <v/>
      </c>
      <c r="C654" s="51" t="str">
        <f t="array" ref="C654">IFERROR(INDEX(Portfolio!$B:$B, MATCH($B654, Portfolio!$A:$A, 0)),Transactions!$B654)</f>
        <v/>
      </c>
      <c r="D654" s="51" t="str">
        <f>IF($B654&lt;&gt;"",Transactions!$E654*1,)</f>
        <v/>
      </c>
      <c r="E654" s="51" t="str">
        <f>IF($B654&lt;&gt;"",Transactions!$F654*1,)</f>
        <v/>
      </c>
      <c r="F654" s="42" t="str">
        <f>IF(Transactions!$G654&lt;&gt;"",Transactions!$H654&amp;" "&amp;Transactions!$G654,)</f>
        <v/>
      </c>
    </row>
    <row r="655">
      <c r="A655" s="55" t="str">
        <f>IF(Transactions!$B655&lt;&gt;"",DATE(LEFT(Transactions!$B655,4),MID(Transactions!$B655,6,2),MID(Transactions!$B655,9,2)),)</f>
        <v/>
      </c>
      <c r="B655" s="56" t="str">
        <f>Transactions!$C655</f>
        <v/>
      </c>
      <c r="C655" s="51" t="str">
        <f t="array" ref="C655">IFERROR(INDEX(Portfolio!$B:$B, MATCH($B655, Portfolio!$A:$A, 0)),Transactions!$B655)</f>
        <v/>
      </c>
      <c r="D655" s="51" t="str">
        <f>IF($B655&lt;&gt;"",Transactions!$E655*1,)</f>
        <v/>
      </c>
      <c r="E655" s="51" t="str">
        <f>IF($B655&lt;&gt;"",Transactions!$F655*1,)</f>
        <v/>
      </c>
      <c r="F655" s="42" t="str">
        <f>IF(Transactions!$G655&lt;&gt;"",Transactions!$H655&amp;" "&amp;Transactions!$G655,)</f>
        <v/>
      </c>
    </row>
    <row r="656">
      <c r="A656" s="55" t="str">
        <f>IF(Transactions!$B656&lt;&gt;"",DATE(LEFT(Transactions!$B656,4),MID(Transactions!$B656,6,2),MID(Transactions!$B656,9,2)),)</f>
        <v/>
      </c>
      <c r="B656" s="56" t="str">
        <f>Transactions!$C656</f>
        <v/>
      </c>
      <c r="C656" s="51" t="str">
        <f t="array" ref="C656">IFERROR(INDEX(Portfolio!$B:$B, MATCH($B656, Portfolio!$A:$A, 0)),Transactions!$B656)</f>
        <v/>
      </c>
      <c r="D656" s="51" t="str">
        <f>IF($B656&lt;&gt;"",Transactions!$E656*1,)</f>
        <v/>
      </c>
      <c r="E656" s="51" t="str">
        <f>IF($B656&lt;&gt;"",Transactions!$F656*1,)</f>
        <v/>
      </c>
      <c r="F656" s="42" t="str">
        <f>IF(Transactions!$G656&lt;&gt;"",Transactions!$H656&amp;" "&amp;Transactions!$G656,)</f>
        <v/>
      </c>
    </row>
    <row r="657">
      <c r="A657" s="55" t="str">
        <f>IF(Transactions!$B657&lt;&gt;"",DATE(LEFT(Transactions!$B657,4),MID(Transactions!$B657,6,2),MID(Transactions!$B657,9,2)),)</f>
        <v/>
      </c>
      <c r="B657" s="56" t="str">
        <f>Transactions!$C657</f>
        <v/>
      </c>
      <c r="C657" s="51" t="str">
        <f t="array" ref="C657">IFERROR(INDEX(Portfolio!$B:$B, MATCH($B657, Portfolio!$A:$A, 0)),Transactions!$B657)</f>
        <v/>
      </c>
      <c r="D657" s="51" t="str">
        <f>IF($B657&lt;&gt;"",Transactions!$E657*1,)</f>
        <v/>
      </c>
      <c r="E657" s="51" t="str">
        <f>IF($B657&lt;&gt;"",Transactions!$F657*1,)</f>
        <v/>
      </c>
      <c r="F657" s="42" t="str">
        <f>IF(Transactions!$G657&lt;&gt;"",Transactions!$H657&amp;" "&amp;Transactions!$G657,)</f>
        <v/>
      </c>
    </row>
    <row r="658">
      <c r="A658" s="55" t="str">
        <f>IF(Transactions!$B658&lt;&gt;"",DATE(LEFT(Transactions!$B658,4),MID(Transactions!$B658,6,2),MID(Transactions!$B658,9,2)),)</f>
        <v/>
      </c>
      <c r="B658" s="56" t="str">
        <f>Transactions!$C658</f>
        <v/>
      </c>
      <c r="C658" s="51" t="str">
        <f t="array" ref="C658">IFERROR(INDEX(Portfolio!$B:$B, MATCH($B658, Portfolio!$A:$A, 0)),Transactions!$B658)</f>
        <v/>
      </c>
      <c r="D658" s="51" t="str">
        <f>IF($B658&lt;&gt;"",Transactions!$E658*1,)</f>
        <v/>
      </c>
      <c r="E658" s="51" t="str">
        <f>IF($B658&lt;&gt;"",Transactions!$F658*1,)</f>
        <v/>
      </c>
      <c r="F658" s="42" t="str">
        <f>IF(Transactions!$G658&lt;&gt;"",Transactions!$H658&amp;" "&amp;Transactions!$G658,)</f>
        <v/>
      </c>
    </row>
    <row r="659">
      <c r="A659" s="55" t="str">
        <f>IF(Transactions!$B659&lt;&gt;"",DATE(LEFT(Transactions!$B659,4),MID(Transactions!$B659,6,2),MID(Transactions!$B659,9,2)),)</f>
        <v/>
      </c>
      <c r="B659" s="56" t="str">
        <f>Transactions!$C659</f>
        <v/>
      </c>
      <c r="C659" s="51" t="str">
        <f t="array" ref="C659">IFERROR(INDEX(Portfolio!$B:$B, MATCH($B659, Portfolio!$A:$A, 0)),Transactions!$B659)</f>
        <v/>
      </c>
      <c r="D659" s="51" t="str">
        <f>IF($B659&lt;&gt;"",Transactions!$E659*1,)</f>
        <v/>
      </c>
      <c r="E659" s="51" t="str">
        <f>IF($B659&lt;&gt;"",Transactions!$F659*1,)</f>
        <v/>
      </c>
      <c r="F659" s="42" t="str">
        <f>IF(Transactions!$G659&lt;&gt;"",Transactions!$H659&amp;" "&amp;Transactions!$G659,)</f>
        <v/>
      </c>
    </row>
    <row r="660">
      <c r="A660" s="55" t="str">
        <f>IF(Transactions!$B660&lt;&gt;"",DATE(LEFT(Transactions!$B660,4),MID(Transactions!$B660,6,2),MID(Transactions!$B660,9,2)),)</f>
        <v/>
      </c>
      <c r="B660" s="56" t="str">
        <f>Transactions!$C660</f>
        <v/>
      </c>
      <c r="C660" s="51" t="str">
        <f t="array" ref="C660">IFERROR(INDEX(Portfolio!$B:$B, MATCH($B660, Portfolio!$A:$A, 0)),Transactions!$B660)</f>
        <v/>
      </c>
      <c r="D660" s="51" t="str">
        <f>IF($B660&lt;&gt;"",Transactions!$E660*1,)</f>
        <v/>
      </c>
      <c r="E660" s="51" t="str">
        <f>IF($B660&lt;&gt;"",Transactions!$F660*1,)</f>
        <v/>
      </c>
      <c r="F660" s="42" t="str">
        <f>IF(Transactions!$G660&lt;&gt;"",Transactions!$H660&amp;" "&amp;Transactions!$G660,)</f>
        <v/>
      </c>
    </row>
    <row r="661">
      <c r="A661" s="55" t="str">
        <f>IF(Transactions!$B661&lt;&gt;"",DATE(LEFT(Transactions!$B661,4),MID(Transactions!$B661,6,2),MID(Transactions!$B661,9,2)),)</f>
        <v/>
      </c>
      <c r="B661" s="56" t="str">
        <f>Transactions!$C661</f>
        <v/>
      </c>
      <c r="C661" s="51" t="str">
        <f t="array" ref="C661">IFERROR(INDEX(Portfolio!$B:$B, MATCH($B661, Portfolio!$A:$A, 0)),Transactions!$B661)</f>
        <v/>
      </c>
      <c r="D661" s="51" t="str">
        <f>IF($B661&lt;&gt;"",Transactions!$E661*1,)</f>
        <v/>
      </c>
      <c r="E661" s="51" t="str">
        <f>IF($B661&lt;&gt;"",Transactions!$F661*1,)</f>
        <v/>
      </c>
      <c r="F661" s="42" t="str">
        <f>IF(Transactions!$G661&lt;&gt;"",Transactions!$H661&amp;" "&amp;Transactions!$G661,)</f>
        <v/>
      </c>
    </row>
    <row r="662">
      <c r="A662" s="55" t="str">
        <f>IF(Transactions!$B662&lt;&gt;"",DATE(LEFT(Transactions!$B662,4),MID(Transactions!$B662,6,2),MID(Transactions!$B662,9,2)),)</f>
        <v/>
      </c>
      <c r="B662" s="56" t="str">
        <f>Transactions!$C662</f>
        <v/>
      </c>
      <c r="C662" s="51" t="str">
        <f t="array" ref="C662">IFERROR(INDEX(Portfolio!$B:$B, MATCH($B662, Portfolio!$A:$A, 0)),Transactions!$B662)</f>
        <v/>
      </c>
      <c r="D662" s="51" t="str">
        <f>IF($B662&lt;&gt;"",Transactions!$E662*1,)</f>
        <v/>
      </c>
      <c r="E662" s="51" t="str">
        <f>IF($B662&lt;&gt;"",Transactions!$F662*1,)</f>
        <v/>
      </c>
      <c r="F662" s="42" t="str">
        <f>IF(Transactions!$G662&lt;&gt;"",Transactions!$H662&amp;" "&amp;Transactions!$G662,)</f>
        <v/>
      </c>
    </row>
    <row r="663">
      <c r="A663" s="55" t="str">
        <f>IF(Transactions!$B663&lt;&gt;"",DATE(LEFT(Transactions!$B663,4),MID(Transactions!$B663,6,2),MID(Transactions!$B663,9,2)),)</f>
        <v/>
      </c>
      <c r="B663" s="56" t="str">
        <f>Transactions!$C663</f>
        <v/>
      </c>
      <c r="C663" s="51" t="str">
        <f t="array" ref="C663">IFERROR(INDEX(Portfolio!$B:$B, MATCH($B663, Portfolio!$A:$A, 0)),Transactions!$B663)</f>
        <v/>
      </c>
      <c r="D663" s="51" t="str">
        <f>IF($B663&lt;&gt;"",Transactions!$E663*1,)</f>
        <v/>
      </c>
      <c r="E663" s="51" t="str">
        <f>IF($B663&lt;&gt;"",Transactions!$F663*1,)</f>
        <v/>
      </c>
      <c r="F663" s="42" t="str">
        <f>IF(Transactions!$G663&lt;&gt;"",Transactions!$H663&amp;" "&amp;Transactions!$G663,)</f>
        <v/>
      </c>
    </row>
    <row r="664">
      <c r="A664" s="55" t="str">
        <f>IF(Transactions!$B664&lt;&gt;"",DATE(LEFT(Transactions!$B664,4),MID(Transactions!$B664,6,2),MID(Transactions!$B664,9,2)),)</f>
        <v/>
      </c>
      <c r="B664" s="56" t="str">
        <f>Transactions!$C664</f>
        <v/>
      </c>
      <c r="C664" s="51" t="str">
        <f t="array" ref="C664">IFERROR(INDEX(Portfolio!$B:$B, MATCH($B664, Portfolio!$A:$A, 0)),Transactions!$B664)</f>
        <v/>
      </c>
      <c r="D664" s="51" t="str">
        <f>IF($B664&lt;&gt;"",Transactions!$E664*1,)</f>
        <v/>
      </c>
      <c r="E664" s="51" t="str">
        <f>IF($B664&lt;&gt;"",Transactions!$F664*1,)</f>
        <v/>
      </c>
      <c r="F664" s="42" t="str">
        <f>IF(Transactions!$G664&lt;&gt;"",Transactions!$H664&amp;" "&amp;Transactions!$G664,)</f>
        <v/>
      </c>
    </row>
    <row r="665">
      <c r="A665" s="55" t="str">
        <f>IF(Transactions!$B665&lt;&gt;"",DATE(LEFT(Transactions!$B665,4),MID(Transactions!$B665,6,2),MID(Transactions!$B665,9,2)),)</f>
        <v/>
      </c>
      <c r="B665" s="56" t="str">
        <f>Transactions!$C665</f>
        <v/>
      </c>
      <c r="C665" s="51" t="str">
        <f t="array" ref="C665">IFERROR(INDEX(Portfolio!$B:$B, MATCH($B665, Portfolio!$A:$A, 0)),Transactions!$B665)</f>
        <v/>
      </c>
      <c r="D665" s="51" t="str">
        <f>IF($B665&lt;&gt;"",Transactions!$E665*1,)</f>
        <v/>
      </c>
      <c r="E665" s="51" t="str">
        <f>IF($B665&lt;&gt;"",Transactions!$F665*1,)</f>
        <v/>
      </c>
      <c r="F665" s="42" t="str">
        <f>IF(Transactions!$G665&lt;&gt;"",Transactions!$H665&amp;" "&amp;Transactions!$G665,)</f>
        <v/>
      </c>
    </row>
    <row r="666">
      <c r="A666" s="55" t="str">
        <f>IF(Transactions!$B666&lt;&gt;"",DATE(LEFT(Transactions!$B666,4),MID(Transactions!$B666,6,2),MID(Transactions!$B666,9,2)),)</f>
        <v/>
      </c>
      <c r="B666" s="56" t="str">
        <f>Transactions!$C666</f>
        <v/>
      </c>
      <c r="C666" s="51" t="str">
        <f t="array" ref="C666">IFERROR(INDEX(Portfolio!$B:$B, MATCH($B666, Portfolio!$A:$A, 0)),Transactions!$B666)</f>
        <v/>
      </c>
      <c r="D666" s="51" t="str">
        <f>IF($B666&lt;&gt;"",Transactions!$E666*1,)</f>
        <v/>
      </c>
      <c r="E666" s="51" t="str">
        <f>IF($B666&lt;&gt;"",Transactions!$F666*1,)</f>
        <v/>
      </c>
      <c r="F666" s="42" t="str">
        <f>IF(Transactions!$G666&lt;&gt;"",Transactions!$H666&amp;" "&amp;Transactions!$G666,)</f>
        <v/>
      </c>
    </row>
    <row r="667">
      <c r="A667" s="55" t="str">
        <f>IF(Transactions!$B667&lt;&gt;"",DATE(LEFT(Transactions!$B667,4),MID(Transactions!$B667,6,2),MID(Transactions!$B667,9,2)),)</f>
        <v/>
      </c>
      <c r="B667" s="56" t="str">
        <f>Transactions!$C667</f>
        <v/>
      </c>
      <c r="C667" s="51" t="str">
        <f t="array" ref="C667">IFERROR(INDEX(Portfolio!$B:$B, MATCH($B667, Portfolio!$A:$A, 0)),Transactions!$B667)</f>
        <v/>
      </c>
      <c r="D667" s="51" t="str">
        <f>IF($B667&lt;&gt;"",Transactions!$E667*1,)</f>
        <v/>
      </c>
      <c r="E667" s="51" t="str">
        <f>IF($B667&lt;&gt;"",Transactions!$F667*1,)</f>
        <v/>
      </c>
      <c r="F667" s="42" t="str">
        <f>IF(Transactions!$G667&lt;&gt;"",Transactions!$H667&amp;" "&amp;Transactions!$G667,)</f>
        <v/>
      </c>
    </row>
    <row r="668">
      <c r="A668" s="55" t="str">
        <f>IF(Transactions!$B668&lt;&gt;"",DATE(LEFT(Transactions!$B668,4),MID(Transactions!$B668,6,2),MID(Transactions!$B668,9,2)),)</f>
        <v/>
      </c>
      <c r="B668" s="56" t="str">
        <f>Transactions!$C668</f>
        <v/>
      </c>
      <c r="C668" s="51" t="str">
        <f t="array" ref="C668">IFERROR(INDEX(Portfolio!$B:$B, MATCH($B668, Portfolio!$A:$A, 0)),Transactions!$B668)</f>
        <v/>
      </c>
      <c r="D668" s="51" t="str">
        <f>IF($B668&lt;&gt;"",Transactions!$E668*1,)</f>
        <v/>
      </c>
      <c r="E668" s="51" t="str">
        <f>IF($B668&lt;&gt;"",Transactions!$F668*1,)</f>
        <v/>
      </c>
      <c r="F668" s="42" t="str">
        <f>IF(Transactions!$G668&lt;&gt;"",Transactions!$H668&amp;" "&amp;Transactions!$G668,)</f>
        <v/>
      </c>
    </row>
    <row r="669">
      <c r="A669" s="55" t="str">
        <f>IF(Transactions!$B669&lt;&gt;"",DATE(LEFT(Transactions!$B669,4),MID(Transactions!$B669,6,2),MID(Transactions!$B669,9,2)),)</f>
        <v/>
      </c>
      <c r="B669" s="56" t="str">
        <f>Transactions!$C669</f>
        <v/>
      </c>
      <c r="C669" s="51" t="str">
        <f t="array" ref="C669">IFERROR(INDEX(Portfolio!$B:$B, MATCH($B669, Portfolio!$A:$A, 0)),Transactions!$B669)</f>
        <v/>
      </c>
      <c r="D669" s="51" t="str">
        <f>IF($B669&lt;&gt;"",Transactions!$E669*1,)</f>
        <v/>
      </c>
      <c r="E669" s="51" t="str">
        <f>IF($B669&lt;&gt;"",Transactions!$F669*1,)</f>
        <v/>
      </c>
      <c r="F669" s="42" t="str">
        <f>IF(Transactions!$G669&lt;&gt;"",Transactions!$H669&amp;" "&amp;Transactions!$G669,)</f>
        <v/>
      </c>
    </row>
    <row r="670">
      <c r="A670" s="55" t="str">
        <f>IF(Transactions!$B670&lt;&gt;"",DATE(LEFT(Transactions!$B670,4),MID(Transactions!$B670,6,2),MID(Transactions!$B670,9,2)),)</f>
        <v/>
      </c>
      <c r="B670" s="56" t="str">
        <f>Transactions!$C670</f>
        <v/>
      </c>
      <c r="C670" s="51" t="str">
        <f t="array" ref="C670">IFERROR(INDEX(Portfolio!$B:$B, MATCH($B670, Portfolio!$A:$A, 0)),Transactions!$B670)</f>
        <v/>
      </c>
      <c r="D670" s="51" t="str">
        <f>IF($B670&lt;&gt;"",Transactions!$E670*1,)</f>
        <v/>
      </c>
      <c r="E670" s="51" t="str">
        <f>IF($B670&lt;&gt;"",Transactions!$F670*1,)</f>
        <v/>
      </c>
      <c r="F670" s="42" t="str">
        <f>IF(Transactions!$G670&lt;&gt;"",Transactions!$H670&amp;" "&amp;Transactions!$G670,)</f>
        <v/>
      </c>
    </row>
    <row r="671">
      <c r="A671" s="55" t="str">
        <f>IF(Transactions!$B671&lt;&gt;"",DATE(LEFT(Transactions!$B671,4),MID(Transactions!$B671,6,2),MID(Transactions!$B671,9,2)),)</f>
        <v/>
      </c>
      <c r="B671" s="56" t="str">
        <f>Transactions!$C671</f>
        <v/>
      </c>
      <c r="C671" s="51" t="str">
        <f t="array" ref="C671">IFERROR(INDEX(Portfolio!$B:$B, MATCH($B671, Portfolio!$A:$A, 0)),Transactions!$B671)</f>
        <v/>
      </c>
      <c r="D671" s="51" t="str">
        <f>IF($B671&lt;&gt;"",Transactions!$E671*1,)</f>
        <v/>
      </c>
      <c r="E671" s="51" t="str">
        <f>IF($B671&lt;&gt;"",Transactions!$F671*1,)</f>
        <v/>
      </c>
      <c r="F671" s="42" t="str">
        <f>IF(Transactions!$G671&lt;&gt;"",Transactions!$H671&amp;" "&amp;Transactions!$G671,)</f>
        <v/>
      </c>
    </row>
    <row r="672">
      <c r="A672" s="55" t="str">
        <f>IF(Transactions!$B672&lt;&gt;"",DATE(LEFT(Transactions!$B672,4),MID(Transactions!$B672,6,2),MID(Transactions!$B672,9,2)),)</f>
        <v/>
      </c>
      <c r="B672" s="56" t="str">
        <f>Transactions!$C672</f>
        <v/>
      </c>
      <c r="C672" s="51" t="str">
        <f t="array" ref="C672">IFERROR(INDEX(Portfolio!$B:$B, MATCH($B672, Portfolio!$A:$A, 0)),Transactions!$B672)</f>
        <v/>
      </c>
      <c r="D672" s="51" t="str">
        <f>IF($B672&lt;&gt;"",Transactions!$E672*1,)</f>
        <v/>
      </c>
      <c r="E672" s="51" t="str">
        <f>IF($B672&lt;&gt;"",Transactions!$F672*1,)</f>
        <v/>
      </c>
      <c r="F672" s="42" t="str">
        <f>IF(Transactions!$G672&lt;&gt;"",Transactions!$H672&amp;" "&amp;Transactions!$G672,)</f>
        <v/>
      </c>
    </row>
    <row r="673">
      <c r="A673" s="55" t="str">
        <f>IF(Transactions!$B673&lt;&gt;"",DATE(LEFT(Transactions!$B673,4),MID(Transactions!$B673,6,2),MID(Transactions!$B673,9,2)),)</f>
        <v/>
      </c>
      <c r="B673" s="56" t="str">
        <f>Transactions!$C673</f>
        <v/>
      </c>
      <c r="C673" s="51" t="str">
        <f t="array" ref="C673">IFERROR(INDEX(Portfolio!$B:$B, MATCH($B673, Portfolio!$A:$A, 0)),Transactions!$B673)</f>
        <v/>
      </c>
      <c r="D673" s="51" t="str">
        <f>IF($B673&lt;&gt;"",Transactions!$E673*1,)</f>
        <v/>
      </c>
      <c r="E673" s="51" t="str">
        <f>IF($B673&lt;&gt;"",Transactions!$F673*1,)</f>
        <v/>
      </c>
      <c r="F673" s="42" t="str">
        <f>IF(Transactions!$G673&lt;&gt;"",Transactions!$H673&amp;" "&amp;Transactions!$G673,)</f>
        <v/>
      </c>
    </row>
    <row r="674">
      <c r="A674" s="55" t="str">
        <f>IF(Transactions!$B674&lt;&gt;"",DATE(LEFT(Transactions!$B674,4),MID(Transactions!$B674,6,2),MID(Transactions!$B674,9,2)),)</f>
        <v/>
      </c>
      <c r="B674" s="56" t="str">
        <f>Transactions!$C674</f>
        <v/>
      </c>
      <c r="C674" s="51" t="str">
        <f t="array" ref="C674">IFERROR(INDEX(Portfolio!$B:$B, MATCH($B674, Portfolio!$A:$A, 0)),Transactions!$B674)</f>
        <v/>
      </c>
      <c r="D674" s="51" t="str">
        <f>IF($B674&lt;&gt;"",Transactions!$E674*1,)</f>
        <v/>
      </c>
      <c r="E674" s="51" t="str">
        <f>IF($B674&lt;&gt;"",Transactions!$F674*1,)</f>
        <v/>
      </c>
      <c r="F674" s="42" t="str">
        <f>IF(Transactions!$G674&lt;&gt;"",Transactions!$H674&amp;" "&amp;Transactions!$G674,)</f>
        <v/>
      </c>
    </row>
    <row r="675">
      <c r="A675" s="55" t="str">
        <f>IF(Transactions!$B675&lt;&gt;"",DATE(LEFT(Transactions!$B675,4),MID(Transactions!$B675,6,2),MID(Transactions!$B675,9,2)),)</f>
        <v/>
      </c>
      <c r="B675" s="56" t="str">
        <f>Transactions!$C675</f>
        <v/>
      </c>
      <c r="C675" s="51" t="str">
        <f t="array" ref="C675">IFERROR(INDEX(Portfolio!$B:$B, MATCH($B675, Portfolio!$A:$A, 0)),Transactions!$B675)</f>
        <v/>
      </c>
      <c r="D675" s="51" t="str">
        <f>IF($B675&lt;&gt;"",Transactions!$E675*1,)</f>
        <v/>
      </c>
      <c r="E675" s="51" t="str">
        <f>IF($B675&lt;&gt;"",Transactions!$F675*1,)</f>
        <v/>
      </c>
      <c r="F675" s="42" t="str">
        <f>IF(Transactions!$G675&lt;&gt;"",Transactions!$H675&amp;" "&amp;Transactions!$G675,)</f>
        <v/>
      </c>
    </row>
    <row r="676">
      <c r="A676" s="55" t="str">
        <f>IF(Transactions!$B676&lt;&gt;"",DATE(LEFT(Transactions!$B676,4),MID(Transactions!$B676,6,2),MID(Transactions!$B676,9,2)),)</f>
        <v/>
      </c>
      <c r="B676" s="56" t="str">
        <f>Transactions!$C676</f>
        <v/>
      </c>
      <c r="C676" s="51" t="str">
        <f t="array" ref="C676">IFERROR(INDEX(Portfolio!$B:$B, MATCH($B676, Portfolio!$A:$A, 0)),Transactions!$B676)</f>
        <v/>
      </c>
      <c r="D676" s="51" t="str">
        <f>IF($B676&lt;&gt;"",Transactions!$E676*1,)</f>
        <v/>
      </c>
      <c r="E676" s="51" t="str">
        <f>IF($B676&lt;&gt;"",Transactions!$F676*1,)</f>
        <v/>
      </c>
      <c r="F676" s="42" t="str">
        <f>IF(Transactions!$G676&lt;&gt;"",Transactions!$H676&amp;" "&amp;Transactions!$G676,)</f>
        <v/>
      </c>
    </row>
    <row r="677">
      <c r="A677" s="55" t="str">
        <f>IF(Transactions!$B677&lt;&gt;"",DATE(LEFT(Transactions!$B677,4),MID(Transactions!$B677,6,2),MID(Transactions!$B677,9,2)),)</f>
        <v/>
      </c>
      <c r="B677" s="56" t="str">
        <f>Transactions!$C677</f>
        <v/>
      </c>
      <c r="C677" s="51" t="str">
        <f t="array" ref="C677">IFERROR(INDEX(Portfolio!$B:$B, MATCH($B677, Portfolio!$A:$A, 0)),Transactions!$B677)</f>
        <v/>
      </c>
      <c r="D677" s="51" t="str">
        <f>IF($B677&lt;&gt;"",Transactions!$E677*1,)</f>
        <v/>
      </c>
      <c r="E677" s="51" t="str">
        <f>IF($B677&lt;&gt;"",Transactions!$F677*1,)</f>
        <v/>
      </c>
      <c r="F677" s="42" t="str">
        <f>IF(Transactions!$G677&lt;&gt;"",Transactions!$H677&amp;" "&amp;Transactions!$G677,)</f>
        <v/>
      </c>
    </row>
    <row r="678">
      <c r="A678" s="55" t="str">
        <f>IF(Transactions!$B678&lt;&gt;"",DATE(LEFT(Transactions!$B678,4),MID(Transactions!$B678,6,2),MID(Transactions!$B678,9,2)),)</f>
        <v/>
      </c>
      <c r="B678" s="56" t="str">
        <f>Transactions!$C678</f>
        <v/>
      </c>
      <c r="C678" s="51" t="str">
        <f t="array" ref="C678">IFERROR(INDEX(Portfolio!$B:$B, MATCH($B678, Portfolio!$A:$A, 0)),Transactions!$B678)</f>
        <v/>
      </c>
      <c r="D678" s="51" t="str">
        <f>IF($B678&lt;&gt;"",Transactions!$E678*1,)</f>
        <v/>
      </c>
      <c r="E678" s="51" t="str">
        <f>IF($B678&lt;&gt;"",Transactions!$F678*1,)</f>
        <v/>
      </c>
      <c r="F678" s="42" t="str">
        <f>IF(Transactions!$G678&lt;&gt;"",Transactions!$H678&amp;" "&amp;Transactions!$G678,)</f>
        <v/>
      </c>
    </row>
    <row r="679">
      <c r="A679" s="55" t="str">
        <f>IF(Transactions!$B679&lt;&gt;"",DATE(LEFT(Transactions!$B679,4),MID(Transactions!$B679,6,2),MID(Transactions!$B679,9,2)),)</f>
        <v/>
      </c>
      <c r="B679" s="56" t="str">
        <f>Transactions!$C679</f>
        <v/>
      </c>
      <c r="C679" s="51" t="str">
        <f t="array" ref="C679">IFERROR(INDEX(Portfolio!$B:$B, MATCH($B679, Portfolio!$A:$A, 0)),Transactions!$B679)</f>
        <v/>
      </c>
      <c r="D679" s="51" t="str">
        <f>IF($B679&lt;&gt;"",Transactions!$E679*1,)</f>
        <v/>
      </c>
      <c r="E679" s="51" t="str">
        <f>IF($B679&lt;&gt;"",Transactions!$F679*1,)</f>
        <v/>
      </c>
      <c r="F679" s="42" t="str">
        <f>IF(Transactions!$G679&lt;&gt;"",Transactions!$H679&amp;" "&amp;Transactions!$G679,)</f>
        <v/>
      </c>
    </row>
    <row r="680">
      <c r="A680" s="55" t="str">
        <f>IF(Transactions!$B680&lt;&gt;"",DATE(LEFT(Transactions!$B680,4),MID(Transactions!$B680,6,2),MID(Transactions!$B680,9,2)),)</f>
        <v/>
      </c>
      <c r="B680" s="56" t="str">
        <f>Transactions!$C680</f>
        <v/>
      </c>
      <c r="C680" s="51" t="str">
        <f t="array" ref="C680">IFERROR(INDEX(Portfolio!$B:$B, MATCH($B680, Portfolio!$A:$A, 0)),Transactions!$B680)</f>
        <v/>
      </c>
      <c r="D680" s="51" t="str">
        <f>IF($B680&lt;&gt;"",Transactions!$E680*1,)</f>
        <v/>
      </c>
      <c r="E680" s="51" t="str">
        <f>IF($B680&lt;&gt;"",Transactions!$F680*1,)</f>
        <v/>
      </c>
      <c r="F680" s="42" t="str">
        <f>IF(Transactions!$G680&lt;&gt;"",Transactions!$H680&amp;" "&amp;Transactions!$G680,)</f>
        <v/>
      </c>
    </row>
    <row r="681">
      <c r="A681" s="55" t="str">
        <f>IF(Transactions!$B681&lt;&gt;"",DATE(LEFT(Transactions!$B681,4),MID(Transactions!$B681,6,2),MID(Transactions!$B681,9,2)),)</f>
        <v/>
      </c>
      <c r="B681" s="56" t="str">
        <f>Transactions!$C681</f>
        <v/>
      </c>
      <c r="C681" s="51" t="str">
        <f t="array" ref="C681">IFERROR(INDEX(Portfolio!$B:$B, MATCH($B681, Portfolio!$A:$A, 0)),Transactions!$B681)</f>
        <v/>
      </c>
      <c r="D681" s="51" t="str">
        <f>IF($B681&lt;&gt;"",Transactions!$E681*1,)</f>
        <v/>
      </c>
      <c r="E681" s="51" t="str">
        <f>IF($B681&lt;&gt;"",Transactions!$F681*1,)</f>
        <v/>
      </c>
      <c r="F681" s="42" t="str">
        <f>IF(Transactions!$G681&lt;&gt;"",Transactions!$H681&amp;" "&amp;Transactions!$G681,)</f>
        <v/>
      </c>
    </row>
    <row r="682">
      <c r="A682" s="55" t="str">
        <f>IF(Transactions!$B682&lt;&gt;"",DATE(LEFT(Transactions!$B682,4),MID(Transactions!$B682,6,2),MID(Transactions!$B682,9,2)),)</f>
        <v/>
      </c>
      <c r="B682" s="56" t="str">
        <f>Transactions!$C682</f>
        <v/>
      </c>
      <c r="C682" s="51" t="str">
        <f t="array" ref="C682">IFERROR(INDEX(Portfolio!$B:$B, MATCH($B682, Portfolio!$A:$A, 0)),Transactions!$B682)</f>
        <v/>
      </c>
      <c r="D682" s="51" t="str">
        <f>IF($B682&lt;&gt;"",Transactions!$E682*1,)</f>
        <v/>
      </c>
      <c r="E682" s="51" t="str">
        <f>IF($B682&lt;&gt;"",Transactions!$F682*1,)</f>
        <v/>
      </c>
      <c r="F682" s="42" t="str">
        <f>IF(Transactions!$G682&lt;&gt;"",Transactions!$H682&amp;" "&amp;Transactions!$G682,)</f>
        <v/>
      </c>
    </row>
    <row r="683">
      <c r="A683" s="55" t="str">
        <f>IF(Transactions!$B683&lt;&gt;"",DATE(LEFT(Transactions!$B683,4),MID(Transactions!$B683,6,2),MID(Transactions!$B683,9,2)),)</f>
        <v/>
      </c>
      <c r="B683" s="56" t="str">
        <f>Transactions!$C683</f>
        <v/>
      </c>
      <c r="C683" s="51" t="str">
        <f t="array" ref="C683">IFERROR(INDEX(Portfolio!$B:$B, MATCH($B683, Portfolio!$A:$A, 0)),Transactions!$B683)</f>
        <v/>
      </c>
      <c r="D683" s="51" t="str">
        <f>IF($B683&lt;&gt;"",Transactions!$E683*1,)</f>
        <v/>
      </c>
      <c r="E683" s="51" t="str">
        <f>IF($B683&lt;&gt;"",Transactions!$F683*1,)</f>
        <v/>
      </c>
      <c r="F683" s="42" t="str">
        <f>IF(Transactions!$G683&lt;&gt;"",Transactions!$H683&amp;" "&amp;Transactions!$G683,)</f>
        <v/>
      </c>
    </row>
    <row r="684">
      <c r="A684" s="55" t="str">
        <f>IF(Transactions!$B684&lt;&gt;"",DATE(LEFT(Transactions!$B684,4),MID(Transactions!$B684,6,2),MID(Transactions!$B684,9,2)),)</f>
        <v/>
      </c>
      <c r="B684" s="56" t="str">
        <f>Transactions!$C684</f>
        <v/>
      </c>
      <c r="C684" s="51" t="str">
        <f t="array" ref="C684">IFERROR(INDEX(Portfolio!$B:$B, MATCH($B684, Portfolio!$A:$A, 0)),Transactions!$B684)</f>
        <v/>
      </c>
      <c r="D684" s="51" t="str">
        <f>IF($B684&lt;&gt;"",Transactions!$E684*1,)</f>
        <v/>
      </c>
      <c r="E684" s="51" t="str">
        <f>IF($B684&lt;&gt;"",Transactions!$F684*1,)</f>
        <v/>
      </c>
      <c r="F684" s="42" t="str">
        <f>IF(Transactions!$G684&lt;&gt;"",Transactions!$H684&amp;" "&amp;Transactions!$G684,)</f>
        <v/>
      </c>
    </row>
    <row r="685">
      <c r="A685" s="55" t="str">
        <f>IF(Transactions!$B685&lt;&gt;"",DATE(LEFT(Transactions!$B685,4),MID(Transactions!$B685,6,2),MID(Transactions!$B685,9,2)),)</f>
        <v/>
      </c>
      <c r="B685" s="56" t="str">
        <f>Transactions!$C685</f>
        <v/>
      </c>
      <c r="C685" s="51" t="str">
        <f t="array" ref="C685">IFERROR(INDEX(Portfolio!$B:$B, MATCH($B685, Portfolio!$A:$A, 0)),Transactions!$B685)</f>
        <v/>
      </c>
      <c r="D685" s="51" t="str">
        <f>IF($B685&lt;&gt;"",Transactions!$E685*1,)</f>
        <v/>
      </c>
      <c r="E685" s="51" t="str">
        <f>IF($B685&lt;&gt;"",Transactions!$F685*1,)</f>
        <v/>
      </c>
      <c r="F685" s="42" t="str">
        <f>IF(Transactions!$G685&lt;&gt;"",Transactions!$H685&amp;" "&amp;Transactions!$G685,)</f>
        <v/>
      </c>
    </row>
    <row r="686">
      <c r="A686" s="55" t="str">
        <f>IF(Transactions!$B686&lt;&gt;"",DATE(LEFT(Transactions!$B686,4),MID(Transactions!$B686,6,2),MID(Transactions!$B686,9,2)),)</f>
        <v/>
      </c>
      <c r="B686" s="56" t="str">
        <f>Transactions!$C686</f>
        <v/>
      </c>
      <c r="C686" s="51" t="str">
        <f t="array" ref="C686">IFERROR(INDEX(Portfolio!$B:$B, MATCH($B686, Portfolio!$A:$A, 0)),Transactions!$B686)</f>
        <v/>
      </c>
      <c r="D686" s="51" t="str">
        <f>IF($B686&lt;&gt;"",Transactions!$E686*1,)</f>
        <v/>
      </c>
      <c r="E686" s="51" t="str">
        <f>IF($B686&lt;&gt;"",Transactions!$F686*1,)</f>
        <v/>
      </c>
      <c r="F686" s="42" t="str">
        <f>IF(Transactions!$G686&lt;&gt;"",Transactions!$H686&amp;" "&amp;Transactions!$G686,)</f>
        <v/>
      </c>
    </row>
    <row r="687">
      <c r="A687" s="55" t="str">
        <f>IF(Transactions!$B687&lt;&gt;"",DATE(LEFT(Transactions!$B687,4),MID(Transactions!$B687,6,2),MID(Transactions!$B687,9,2)),)</f>
        <v/>
      </c>
      <c r="B687" s="56" t="str">
        <f>Transactions!$C687</f>
        <v/>
      </c>
      <c r="C687" s="51" t="str">
        <f t="array" ref="C687">IFERROR(INDEX(Portfolio!$B:$B, MATCH($B687, Portfolio!$A:$A, 0)),Transactions!$B687)</f>
        <v/>
      </c>
      <c r="D687" s="51" t="str">
        <f>IF($B687&lt;&gt;"",Transactions!$E687*1,)</f>
        <v/>
      </c>
      <c r="E687" s="51" t="str">
        <f>IF($B687&lt;&gt;"",Transactions!$F687*1,)</f>
        <v/>
      </c>
      <c r="F687" s="42" t="str">
        <f>IF(Transactions!$G687&lt;&gt;"",Transactions!$H687&amp;" "&amp;Transactions!$G687,)</f>
        <v/>
      </c>
    </row>
    <row r="688">
      <c r="A688" s="55" t="str">
        <f>IF(Transactions!$B688&lt;&gt;"",DATE(LEFT(Transactions!$B688,4),MID(Transactions!$B688,6,2),MID(Transactions!$B688,9,2)),)</f>
        <v/>
      </c>
      <c r="B688" s="56" t="str">
        <f>Transactions!$C688</f>
        <v/>
      </c>
      <c r="C688" s="51" t="str">
        <f t="array" ref="C688">IFERROR(INDEX(Portfolio!$B:$B, MATCH($B688, Portfolio!$A:$A, 0)),Transactions!$B688)</f>
        <v/>
      </c>
      <c r="D688" s="51" t="str">
        <f>IF($B688&lt;&gt;"",Transactions!$E688*1,)</f>
        <v/>
      </c>
      <c r="E688" s="51" t="str">
        <f>IF($B688&lt;&gt;"",Transactions!$F688*1,)</f>
        <v/>
      </c>
      <c r="F688" s="42" t="str">
        <f>IF(Transactions!$G688&lt;&gt;"",Transactions!$H688&amp;" "&amp;Transactions!$G688,)</f>
        <v/>
      </c>
    </row>
    <row r="689">
      <c r="A689" s="55" t="str">
        <f>IF(Transactions!$B689&lt;&gt;"",DATE(LEFT(Transactions!$B689,4),MID(Transactions!$B689,6,2),MID(Transactions!$B689,9,2)),)</f>
        <v/>
      </c>
      <c r="B689" s="56" t="str">
        <f>Transactions!$C689</f>
        <v/>
      </c>
      <c r="C689" s="51" t="str">
        <f t="array" ref="C689">IFERROR(INDEX(Portfolio!$B:$B, MATCH($B689, Portfolio!$A:$A, 0)),Transactions!$B689)</f>
        <v/>
      </c>
      <c r="D689" s="51" t="str">
        <f>IF($B689&lt;&gt;"",Transactions!$E689*1,)</f>
        <v/>
      </c>
      <c r="E689" s="51" t="str">
        <f>IF($B689&lt;&gt;"",Transactions!$F689*1,)</f>
        <v/>
      </c>
      <c r="F689" s="42" t="str">
        <f>IF(Transactions!$G689&lt;&gt;"",Transactions!$H689&amp;" "&amp;Transactions!$G689,)</f>
        <v/>
      </c>
    </row>
    <row r="690">
      <c r="A690" s="55" t="str">
        <f>IF(Transactions!$B690&lt;&gt;"",DATE(LEFT(Transactions!$B690,4),MID(Transactions!$B690,6,2),MID(Transactions!$B690,9,2)),)</f>
        <v/>
      </c>
      <c r="B690" s="56" t="str">
        <f>Transactions!$C690</f>
        <v/>
      </c>
      <c r="C690" s="51" t="str">
        <f t="array" ref="C690">IFERROR(INDEX(Portfolio!$B:$B, MATCH($B690, Portfolio!$A:$A, 0)),Transactions!$B690)</f>
        <v/>
      </c>
      <c r="D690" s="51" t="str">
        <f>IF($B690&lt;&gt;"",Transactions!$E690*1,)</f>
        <v/>
      </c>
      <c r="E690" s="51" t="str">
        <f>IF($B690&lt;&gt;"",Transactions!$F690*1,)</f>
        <v/>
      </c>
      <c r="F690" s="42" t="str">
        <f>IF(Transactions!$G690&lt;&gt;"",Transactions!$H690&amp;" "&amp;Transactions!$G690,)</f>
        <v/>
      </c>
    </row>
    <row r="691">
      <c r="A691" s="55" t="str">
        <f>IF(Transactions!$B691&lt;&gt;"",DATE(LEFT(Transactions!$B691,4),MID(Transactions!$B691,6,2),MID(Transactions!$B691,9,2)),)</f>
        <v/>
      </c>
      <c r="B691" s="56" t="str">
        <f>Transactions!$C691</f>
        <v/>
      </c>
      <c r="C691" s="51" t="str">
        <f t="array" ref="C691">IFERROR(INDEX(Portfolio!$B:$B, MATCH($B691, Portfolio!$A:$A, 0)),Transactions!$B691)</f>
        <v/>
      </c>
      <c r="D691" s="51" t="str">
        <f>IF($B691&lt;&gt;"",Transactions!$E691*1,)</f>
        <v/>
      </c>
      <c r="E691" s="51" t="str">
        <f>IF($B691&lt;&gt;"",Transactions!$F691*1,)</f>
        <v/>
      </c>
      <c r="F691" s="42" t="str">
        <f>IF(Transactions!$G691&lt;&gt;"",Transactions!$H691&amp;" "&amp;Transactions!$G691,)</f>
        <v/>
      </c>
    </row>
    <row r="692">
      <c r="A692" s="55" t="str">
        <f>IF(Transactions!$B692&lt;&gt;"",DATE(LEFT(Transactions!$B692,4),MID(Transactions!$B692,6,2),MID(Transactions!$B692,9,2)),)</f>
        <v/>
      </c>
      <c r="B692" s="56" t="str">
        <f>Transactions!$C692</f>
        <v/>
      </c>
      <c r="C692" s="51" t="str">
        <f t="array" ref="C692">IFERROR(INDEX(Portfolio!$B:$B, MATCH($B692, Portfolio!$A:$A, 0)),Transactions!$B692)</f>
        <v/>
      </c>
      <c r="D692" s="51" t="str">
        <f>IF($B692&lt;&gt;"",Transactions!$E692*1,)</f>
        <v/>
      </c>
      <c r="E692" s="51" t="str">
        <f>IF($B692&lt;&gt;"",Transactions!$F692*1,)</f>
        <v/>
      </c>
      <c r="F692" s="42" t="str">
        <f>IF(Transactions!$G692&lt;&gt;"",Transactions!$H692&amp;" "&amp;Transactions!$G692,)</f>
        <v/>
      </c>
    </row>
    <row r="693">
      <c r="A693" s="55" t="str">
        <f>IF(Transactions!$B693&lt;&gt;"",DATE(LEFT(Transactions!$B693,4),MID(Transactions!$B693,6,2),MID(Transactions!$B693,9,2)),)</f>
        <v/>
      </c>
      <c r="B693" s="56" t="str">
        <f>Transactions!$C693</f>
        <v/>
      </c>
      <c r="C693" s="51" t="str">
        <f t="array" ref="C693">IFERROR(INDEX(Portfolio!$B:$B, MATCH($B693, Portfolio!$A:$A, 0)),Transactions!$B693)</f>
        <v/>
      </c>
      <c r="D693" s="51" t="str">
        <f>IF($B693&lt;&gt;"",Transactions!$E693*1,)</f>
        <v/>
      </c>
      <c r="E693" s="51" t="str">
        <f>IF($B693&lt;&gt;"",Transactions!$F693*1,)</f>
        <v/>
      </c>
      <c r="F693" s="42" t="str">
        <f>IF(Transactions!$G693&lt;&gt;"",Transactions!$H693&amp;" "&amp;Transactions!$G693,)</f>
        <v/>
      </c>
    </row>
    <row r="694">
      <c r="A694" s="55" t="str">
        <f>IF(Transactions!$B694&lt;&gt;"",DATE(LEFT(Transactions!$B694,4),MID(Transactions!$B694,6,2),MID(Transactions!$B694,9,2)),)</f>
        <v/>
      </c>
      <c r="B694" s="56" t="str">
        <f>Transactions!$C694</f>
        <v/>
      </c>
      <c r="C694" s="51" t="str">
        <f t="array" ref="C694">IFERROR(INDEX(Portfolio!$B:$B, MATCH($B694, Portfolio!$A:$A, 0)),Transactions!$B694)</f>
        <v/>
      </c>
      <c r="D694" s="51" t="str">
        <f>IF($B694&lt;&gt;"",Transactions!$E694*1,)</f>
        <v/>
      </c>
      <c r="E694" s="51" t="str">
        <f>IF($B694&lt;&gt;"",Transactions!$F694*1,)</f>
        <v/>
      </c>
      <c r="F694" s="42" t="str">
        <f>IF(Transactions!$G694&lt;&gt;"",Transactions!$H694&amp;" "&amp;Transactions!$G694,)</f>
        <v/>
      </c>
    </row>
    <row r="695">
      <c r="A695" s="55" t="str">
        <f>IF(Transactions!$B695&lt;&gt;"",DATE(LEFT(Transactions!$B695,4),MID(Transactions!$B695,6,2),MID(Transactions!$B695,9,2)),)</f>
        <v/>
      </c>
      <c r="B695" s="56" t="str">
        <f>Transactions!$C695</f>
        <v/>
      </c>
      <c r="C695" s="51" t="str">
        <f t="array" ref="C695">IFERROR(INDEX(Portfolio!$B:$B, MATCH($B695, Portfolio!$A:$A, 0)),Transactions!$B695)</f>
        <v/>
      </c>
      <c r="D695" s="51" t="str">
        <f>IF($B695&lt;&gt;"",Transactions!$E695*1,)</f>
        <v/>
      </c>
      <c r="E695" s="51" t="str">
        <f>IF($B695&lt;&gt;"",Transactions!$F695*1,)</f>
        <v/>
      </c>
      <c r="F695" s="42" t="str">
        <f>IF(Transactions!$G695&lt;&gt;"",Transactions!$H695&amp;" "&amp;Transactions!$G695,)</f>
        <v/>
      </c>
    </row>
    <row r="696">
      <c r="A696" s="55" t="str">
        <f>IF(Transactions!$B696&lt;&gt;"",DATE(LEFT(Transactions!$B696,4),MID(Transactions!$B696,6,2),MID(Transactions!$B696,9,2)),)</f>
        <v/>
      </c>
      <c r="B696" s="56" t="str">
        <f>Transactions!$C696</f>
        <v/>
      </c>
      <c r="C696" s="51" t="str">
        <f t="array" ref="C696">IFERROR(INDEX(Portfolio!$B:$B, MATCH($B696, Portfolio!$A:$A, 0)),Transactions!$B696)</f>
        <v/>
      </c>
      <c r="D696" s="51" t="str">
        <f>IF($B696&lt;&gt;"",Transactions!$E696*1,)</f>
        <v/>
      </c>
      <c r="E696" s="51" t="str">
        <f>IF($B696&lt;&gt;"",Transactions!$F696*1,)</f>
        <v/>
      </c>
      <c r="F696" s="42" t="str">
        <f>IF(Transactions!$G696&lt;&gt;"",Transactions!$H696&amp;" "&amp;Transactions!$G696,)</f>
        <v/>
      </c>
    </row>
    <row r="697">
      <c r="A697" s="55" t="str">
        <f>IF(Transactions!$B697&lt;&gt;"",DATE(LEFT(Transactions!$B697,4),MID(Transactions!$B697,6,2),MID(Transactions!$B697,9,2)),)</f>
        <v/>
      </c>
      <c r="B697" s="56" t="str">
        <f>Transactions!$C697</f>
        <v/>
      </c>
      <c r="C697" s="51" t="str">
        <f t="array" ref="C697">IFERROR(INDEX(Portfolio!$B:$B, MATCH($B697, Portfolio!$A:$A, 0)),Transactions!$B697)</f>
        <v/>
      </c>
      <c r="D697" s="51" t="str">
        <f>IF($B697&lt;&gt;"",Transactions!$E697*1,)</f>
        <v/>
      </c>
      <c r="E697" s="51" t="str">
        <f>IF($B697&lt;&gt;"",Transactions!$F697*1,)</f>
        <v/>
      </c>
      <c r="F697" s="42" t="str">
        <f>IF(Transactions!$G697&lt;&gt;"",Transactions!$H697&amp;" "&amp;Transactions!$G697,)</f>
        <v/>
      </c>
    </row>
    <row r="698">
      <c r="A698" s="55" t="str">
        <f>IF(Transactions!$B698&lt;&gt;"",DATE(LEFT(Transactions!$B698,4),MID(Transactions!$B698,6,2),MID(Transactions!$B698,9,2)),)</f>
        <v/>
      </c>
      <c r="B698" s="56" t="str">
        <f>Transactions!$C698</f>
        <v/>
      </c>
      <c r="C698" s="51" t="str">
        <f t="array" ref="C698">IFERROR(INDEX(Portfolio!$B:$B, MATCH($B698, Portfolio!$A:$A, 0)),Transactions!$B698)</f>
        <v/>
      </c>
      <c r="D698" s="51" t="str">
        <f>IF($B698&lt;&gt;"",Transactions!$E698*1,)</f>
        <v/>
      </c>
      <c r="E698" s="51" t="str">
        <f>IF($B698&lt;&gt;"",Transactions!$F698*1,)</f>
        <v/>
      </c>
      <c r="F698" s="42" t="str">
        <f>IF(Transactions!$G698&lt;&gt;"",Transactions!$H698&amp;" "&amp;Transactions!$G698,)</f>
        <v/>
      </c>
    </row>
    <row r="699">
      <c r="A699" s="55" t="str">
        <f>IF(Transactions!$B699&lt;&gt;"",DATE(LEFT(Transactions!$B699,4),MID(Transactions!$B699,6,2),MID(Transactions!$B699,9,2)),)</f>
        <v/>
      </c>
      <c r="B699" s="56" t="str">
        <f>Transactions!$C699</f>
        <v/>
      </c>
      <c r="C699" s="51" t="str">
        <f t="array" ref="C699">IFERROR(INDEX(Portfolio!$B:$B, MATCH($B699, Portfolio!$A:$A, 0)),Transactions!$B699)</f>
        <v/>
      </c>
      <c r="D699" s="51" t="str">
        <f>IF($B699&lt;&gt;"",Transactions!$E699*1,)</f>
        <v/>
      </c>
      <c r="E699" s="51" t="str">
        <f>IF($B699&lt;&gt;"",Transactions!$F699*1,)</f>
        <v/>
      </c>
      <c r="F699" s="42" t="str">
        <f>IF(Transactions!$G699&lt;&gt;"",Transactions!$H699&amp;" "&amp;Transactions!$G699,)</f>
        <v/>
      </c>
    </row>
    <row r="700">
      <c r="A700" s="55" t="str">
        <f>IF(Transactions!$B700&lt;&gt;"",DATE(LEFT(Transactions!$B700,4),MID(Transactions!$B700,6,2),MID(Transactions!$B700,9,2)),)</f>
        <v/>
      </c>
      <c r="B700" s="56" t="str">
        <f>Transactions!$C700</f>
        <v/>
      </c>
      <c r="C700" s="51" t="str">
        <f t="array" ref="C700">IFERROR(INDEX(Portfolio!$B:$B, MATCH($B700, Portfolio!$A:$A, 0)),Transactions!$B700)</f>
        <v/>
      </c>
      <c r="D700" s="51" t="str">
        <f>IF($B700&lt;&gt;"",Transactions!$E700*1,)</f>
        <v/>
      </c>
      <c r="E700" s="51" t="str">
        <f>IF($B700&lt;&gt;"",Transactions!$F700*1,)</f>
        <v/>
      </c>
      <c r="F700" s="42" t="str">
        <f>IF(Transactions!$G700&lt;&gt;"",Transactions!$H700&amp;" "&amp;Transactions!$G700,)</f>
        <v/>
      </c>
    </row>
    <row r="701">
      <c r="A701" s="55" t="str">
        <f>IF(Transactions!$B701&lt;&gt;"",DATE(LEFT(Transactions!$B701,4),MID(Transactions!$B701,6,2),MID(Transactions!$B701,9,2)),)</f>
        <v/>
      </c>
      <c r="B701" s="56" t="str">
        <f>Transactions!$C701</f>
        <v/>
      </c>
      <c r="C701" s="51" t="str">
        <f t="array" ref="C701">IFERROR(INDEX(Portfolio!$B:$B, MATCH($B701, Portfolio!$A:$A, 0)),Transactions!$B701)</f>
        <v/>
      </c>
      <c r="D701" s="51" t="str">
        <f>IF($B701&lt;&gt;"",Transactions!$E701*1,)</f>
        <v/>
      </c>
      <c r="E701" s="51" t="str">
        <f>IF($B701&lt;&gt;"",Transactions!$F701*1,)</f>
        <v/>
      </c>
      <c r="F701" s="42" t="str">
        <f>IF(Transactions!$G701&lt;&gt;"",Transactions!$H701&amp;" "&amp;Transactions!$G701,)</f>
        <v/>
      </c>
    </row>
    <row r="702">
      <c r="A702" s="55" t="str">
        <f>IF(Transactions!$B702&lt;&gt;"",DATE(LEFT(Transactions!$B702,4),MID(Transactions!$B702,6,2),MID(Transactions!$B702,9,2)),)</f>
        <v/>
      </c>
      <c r="B702" s="56" t="str">
        <f>Transactions!$C702</f>
        <v/>
      </c>
      <c r="C702" s="51" t="str">
        <f t="array" ref="C702">IFERROR(INDEX(Portfolio!$B:$B, MATCH($B702, Portfolio!$A:$A, 0)),Transactions!$B702)</f>
        <v/>
      </c>
      <c r="D702" s="51" t="str">
        <f>IF($B702&lt;&gt;"",Transactions!$E702*1,)</f>
        <v/>
      </c>
      <c r="E702" s="51" t="str">
        <f>IF($B702&lt;&gt;"",Transactions!$F702*1,)</f>
        <v/>
      </c>
      <c r="F702" s="42" t="str">
        <f>IF(Transactions!$G702&lt;&gt;"",Transactions!$H702&amp;" "&amp;Transactions!$G702,)</f>
        <v/>
      </c>
    </row>
    <row r="703">
      <c r="A703" s="55" t="str">
        <f>IF(Transactions!$B703&lt;&gt;"",DATE(LEFT(Transactions!$B703,4),MID(Transactions!$B703,6,2),MID(Transactions!$B703,9,2)),)</f>
        <v/>
      </c>
      <c r="B703" s="56" t="str">
        <f>Transactions!$C703</f>
        <v/>
      </c>
      <c r="C703" s="51" t="str">
        <f t="array" ref="C703">IFERROR(INDEX(Portfolio!$B:$B, MATCH($B703, Portfolio!$A:$A, 0)),Transactions!$B703)</f>
        <v/>
      </c>
      <c r="D703" s="51" t="str">
        <f>IF($B703&lt;&gt;"",Transactions!$E703*1,)</f>
        <v/>
      </c>
      <c r="E703" s="51" t="str">
        <f>IF($B703&lt;&gt;"",Transactions!$F703*1,)</f>
        <v/>
      </c>
      <c r="F703" s="42" t="str">
        <f>IF(Transactions!$G703&lt;&gt;"",Transactions!$H703&amp;" "&amp;Transactions!$G703,)</f>
        <v/>
      </c>
    </row>
    <row r="704">
      <c r="A704" s="55" t="str">
        <f>IF(Transactions!$B704&lt;&gt;"",DATE(LEFT(Transactions!$B704,4),MID(Transactions!$B704,6,2),MID(Transactions!$B704,9,2)),)</f>
        <v/>
      </c>
      <c r="B704" s="56" t="str">
        <f>Transactions!$C704</f>
        <v/>
      </c>
      <c r="C704" s="51" t="str">
        <f t="array" ref="C704">IFERROR(INDEX(Portfolio!$B:$B, MATCH($B704, Portfolio!$A:$A, 0)),Transactions!$B704)</f>
        <v/>
      </c>
      <c r="D704" s="51" t="str">
        <f>IF($B704&lt;&gt;"",Transactions!$E704*1,)</f>
        <v/>
      </c>
      <c r="E704" s="51" t="str">
        <f>IF($B704&lt;&gt;"",Transactions!$F704*1,)</f>
        <v/>
      </c>
      <c r="F704" s="42" t="str">
        <f>IF(Transactions!$G704&lt;&gt;"",Transactions!$H704&amp;" "&amp;Transactions!$G704,)</f>
        <v/>
      </c>
    </row>
    <row r="705">
      <c r="A705" s="55" t="str">
        <f>IF(Transactions!$B705&lt;&gt;"",DATE(LEFT(Transactions!$B705,4),MID(Transactions!$B705,6,2),MID(Transactions!$B705,9,2)),)</f>
        <v/>
      </c>
      <c r="B705" s="56" t="str">
        <f>Transactions!$C705</f>
        <v/>
      </c>
      <c r="C705" s="51" t="str">
        <f t="array" ref="C705">IFERROR(INDEX(Portfolio!$B:$B, MATCH($B705, Portfolio!$A:$A, 0)),Transactions!$B705)</f>
        <v/>
      </c>
      <c r="D705" s="51" t="str">
        <f>IF($B705&lt;&gt;"",Transactions!$E705*1,)</f>
        <v/>
      </c>
      <c r="E705" s="51" t="str">
        <f>IF($B705&lt;&gt;"",Transactions!$F705*1,)</f>
        <v/>
      </c>
      <c r="F705" s="42" t="str">
        <f>IF(Transactions!$G705&lt;&gt;"",Transactions!$H705&amp;" "&amp;Transactions!$G705,)</f>
        <v/>
      </c>
    </row>
    <row r="706">
      <c r="A706" s="55" t="str">
        <f>IF(Transactions!$B706&lt;&gt;"",DATE(LEFT(Transactions!$B706,4),MID(Transactions!$B706,6,2),MID(Transactions!$B706,9,2)),)</f>
        <v/>
      </c>
      <c r="B706" s="56" t="str">
        <f>Transactions!$C706</f>
        <v/>
      </c>
      <c r="C706" s="51" t="str">
        <f t="array" ref="C706">IFERROR(INDEX(Portfolio!$B:$B, MATCH($B706, Portfolio!$A:$A, 0)),Transactions!$B706)</f>
        <v/>
      </c>
      <c r="D706" s="51" t="str">
        <f>IF($B706&lt;&gt;"",Transactions!$E706*1,)</f>
        <v/>
      </c>
      <c r="E706" s="51" t="str">
        <f>IF($B706&lt;&gt;"",Transactions!$F706*1,)</f>
        <v/>
      </c>
      <c r="F706" s="42" t="str">
        <f>IF(Transactions!$G706&lt;&gt;"",Transactions!$H706&amp;" "&amp;Transactions!$G706,)</f>
        <v/>
      </c>
    </row>
    <row r="707">
      <c r="A707" s="55" t="str">
        <f>IF(Transactions!$B707&lt;&gt;"",DATE(LEFT(Transactions!$B707,4),MID(Transactions!$B707,6,2),MID(Transactions!$B707,9,2)),)</f>
        <v/>
      </c>
      <c r="B707" s="56" t="str">
        <f>Transactions!$C707</f>
        <v/>
      </c>
      <c r="C707" s="51" t="str">
        <f t="array" ref="C707">IFERROR(INDEX(Portfolio!$B:$B, MATCH($B707, Portfolio!$A:$A, 0)),Transactions!$B707)</f>
        <v/>
      </c>
      <c r="D707" s="51" t="str">
        <f>IF($B707&lt;&gt;"",Transactions!$E707*1,)</f>
        <v/>
      </c>
      <c r="E707" s="51" t="str">
        <f>IF($B707&lt;&gt;"",Transactions!$F707*1,)</f>
        <v/>
      </c>
      <c r="F707" s="42" t="str">
        <f>IF(Transactions!$G707&lt;&gt;"",Transactions!$H707&amp;" "&amp;Transactions!$G707,)</f>
        <v/>
      </c>
    </row>
    <row r="708">
      <c r="A708" s="55" t="str">
        <f>IF(Transactions!$B708&lt;&gt;"",DATE(LEFT(Transactions!$B708,4),MID(Transactions!$B708,6,2),MID(Transactions!$B708,9,2)),)</f>
        <v/>
      </c>
      <c r="B708" s="56" t="str">
        <f>Transactions!$C708</f>
        <v/>
      </c>
      <c r="C708" s="51" t="str">
        <f t="array" ref="C708">IFERROR(INDEX(Portfolio!$B:$B, MATCH($B708, Portfolio!$A:$A, 0)),Transactions!$B708)</f>
        <v/>
      </c>
      <c r="D708" s="51" t="str">
        <f>IF($B708&lt;&gt;"",Transactions!$E708*1,)</f>
        <v/>
      </c>
      <c r="E708" s="51" t="str">
        <f>IF($B708&lt;&gt;"",Transactions!$F708*1,)</f>
        <v/>
      </c>
      <c r="F708" s="42" t="str">
        <f>IF(Transactions!$G708&lt;&gt;"",Transactions!$H708&amp;" "&amp;Transactions!$G708,)</f>
        <v/>
      </c>
    </row>
    <row r="709">
      <c r="A709" s="55" t="str">
        <f>IF(Transactions!$B709&lt;&gt;"",DATE(LEFT(Transactions!$B709,4),MID(Transactions!$B709,6,2),MID(Transactions!$B709,9,2)),)</f>
        <v/>
      </c>
      <c r="B709" s="56" t="str">
        <f>Transactions!$C709</f>
        <v/>
      </c>
      <c r="C709" s="51" t="str">
        <f t="array" ref="C709">IFERROR(INDEX(Portfolio!$B:$B, MATCH($B709, Portfolio!$A:$A, 0)),Transactions!$B709)</f>
        <v/>
      </c>
      <c r="D709" s="51" t="str">
        <f>IF($B709&lt;&gt;"",Transactions!$E709*1,)</f>
        <v/>
      </c>
      <c r="E709" s="51" t="str">
        <f>IF($B709&lt;&gt;"",Transactions!$F709*1,)</f>
        <v/>
      </c>
      <c r="F709" s="42" t="str">
        <f>IF(Transactions!$G709&lt;&gt;"",Transactions!$H709&amp;" "&amp;Transactions!$G709,)</f>
        <v/>
      </c>
    </row>
    <row r="710">
      <c r="A710" s="55" t="str">
        <f>IF(Transactions!$B710&lt;&gt;"",DATE(LEFT(Transactions!$B710,4),MID(Transactions!$B710,6,2),MID(Transactions!$B710,9,2)),)</f>
        <v/>
      </c>
      <c r="B710" s="56" t="str">
        <f>Transactions!$C710</f>
        <v/>
      </c>
      <c r="C710" s="51" t="str">
        <f t="array" ref="C710">IFERROR(INDEX(Portfolio!$B:$B, MATCH($B710, Portfolio!$A:$A, 0)),Transactions!$B710)</f>
        <v/>
      </c>
      <c r="D710" s="51" t="str">
        <f>IF($B710&lt;&gt;"",Transactions!$E710*1,)</f>
        <v/>
      </c>
      <c r="E710" s="51" t="str">
        <f>IF($B710&lt;&gt;"",Transactions!$F710*1,)</f>
        <v/>
      </c>
      <c r="F710" s="42" t="str">
        <f>IF(Transactions!$G710&lt;&gt;"",Transactions!$H710&amp;" "&amp;Transactions!$G710,)</f>
        <v/>
      </c>
    </row>
    <row r="711">
      <c r="A711" s="55" t="str">
        <f>IF(Transactions!$B711&lt;&gt;"",DATE(LEFT(Transactions!$B711,4),MID(Transactions!$B711,6,2),MID(Transactions!$B711,9,2)),)</f>
        <v/>
      </c>
      <c r="B711" s="56" t="str">
        <f>Transactions!$C711</f>
        <v/>
      </c>
      <c r="C711" s="51" t="str">
        <f t="array" ref="C711">IFERROR(INDEX(Portfolio!$B:$B, MATCH($B711, Portfolio!$A:$A, 0)),Transactions!$B711)</f>
        <v/>
      </c>
      <c r="D711" s="51" t="str">
        <f>IF($B711&lt;&gt;"",Transactions!$E711*1,)</f>
        <v/>
      </c>
      <c r="E711" s="51" t="str">
        <f>IF($B711&lt;&gt;"",Transactions!$F711*1,)</f>
        <v/>
      </c>
      <c r="F711" s="42" t="str">
        <f>IF(Transactions!$G711&lt;&gt;"",Transactions!$H711&amp;" "&amp;Transactions!$G711,)</f>
        <v/>
      </c>
    </row>
    <row r="712">
      <c r="A712" s="55" t="str">
        <f>IF(Transactions!$B712&lt;&gt;"",DATE(LEFT(Transactions!$B712,4),MID(Transactions!$B712,6,2),MID(Transactions!$B712,9,2)),)</f>
        <v/>
      </c>
      <c r="B712" s="56" t="str">
        <f>Transactions!$C712</f>
        <v/>
      </c>
      <c r="C712" s="51" t="str">
        <f t="array" ref="C712">IFERROR(INDEX(Portfolio!$B:$B, MATCH($B712, Portfolio!$A:$A, 0)),Transactions!$B712)</f>
        <v/>
      </c>
      <c r="D712" s="51" t="str">
        <f>IF($B712&lt;&gt;"",Transactions!$E712*1,)</f>
        <v/>
      </c>
      <c r="E712" s="51" t="str">
        <f>IF($B712&lt;&gt;"",Transactions!$F712*1,)</f>
        <v/>
      </c>
      <c r="F712" s="42" t="str">
        <f>IF(Transactions!$G712&lt;&gt;"",Transactions!$H712&amp;" "&amp;Transactions!$G712,)</f>
        <v/>
      </c>
    </row>
    <row r="713">
      <c r="A713" s="55" t="str">
        <f>IF(Transactions!$B713&lt;&gt;"",DATE(LEFT(Transactions!$B713,4),MID(Transactions!$B713,6,2),MID(Transactions!$B713,9,2)),)</f>
        <v/>
      </c>
      <c r="B713" s="56" t="str">
        <f>Transactions!$C713</f>
        <v/>
      </c>
      <c r="C713" s="51" t="str">
        <f t="array" ref="C713">IFERROR(INDEX(Portfolio!$B:$B, MATCH($B713, Portfolio!$A:$A, 0)),Transactions!$B713)</f>
        <v/>
      </c>
      <c r="D713" s="51" t="str">
        <f>IF($B713&lt;&gt;"",Transactions!$E713*1,)</f>
        <v/>
      </c>
      <c r="E713" s="51" t="str">
        <f>IF($B713&lt;&gt;"",Transactions!$F713*1,)</f>
        <v/>
      </c>
      <c r="F713" s="42" t="str">
        <f>IF(Transactions!$G713&lt;&gt;"",Transactions!$H713&amp;" "&amp;Transactions!$G713,)</f>
        <v/>
      </c>
    </row>
    <row r="714">
      <c r="A714" s="55" t="str">
        <f>IF(Transactions!$B714&lt;&gt;"",DATE(LEFT(Transactions!$B714,4),MID(Transactions!$B714,6,2),MID(Transactions!$B714,9,2)),)</f>
        <v/>
      </c>
      <c r="B714" s="56" t="str">
        <f>Transactions!$C714</f>
        <v/>
      </c>
      <c r="C714" s="51" t="str">
        <f t="array" ref="C714">IFERROR(INDEX(Portfolio!$B:$B, MATCH($B714, Portfolio!$A:$A, 0)),Transactions!$B714)</f>
        <v/>
      </c>
      <c r="D714" s="51" t="str">
        <f>IF($B714&lt;&gt;"",Transactions!$E714*1,)</f>
        <v/>
      </c>
      <c r="E714" s="51" t="str">
        <f>IF($B714&lt;&gt;"",Transactions!$F714*1,)</f>
        <v/>
      </c>
      <c r="F714" s="42" t="str">
        <f>IF(Transactions!$G714&lt;&gt;"",Transactions!$H714&amp;" "&amp;Transactions!$G714,)</f>
        <v/>
      </c>
    </row>
    <row r="715">
      <c r="A715" s="55" t="str">
        <f>IF(Transactions!$B715&lt;&gt;"",DATE(LEFT(Transactions!$B715,4),MID(Transactions!$B715,6,2),MID(Transactions!$B715,9,2)),)</f>
        <v/>
      </c>
      <c r="B715" s="56" t="str">
        <f>Transactions!$C715</f>
        <v/>
      </c>
      <c r="C715" s="51" t="str">
        <f t="array" ref="C715">IFERROR(INDEX(Portfolio!$B:$B, MATCH($B715, Portfolio!$A:$A, 0)),Transactions!$B715)</f>
        <v/>
      </c>
      <c r="D715" s="51" t="str">
        <f>IF($B715&lt;&gt;"",Transactions!$E715*1,)</f>
        <v/>
      </c>
      <c r="E715" s="51" t="str">
        <f>IF($B715&lt;&gt;"",Transactions!$F715*1,)</f>
        <v/>
      </c>
      <c r="F715" s="42" t="str">
        <f>IF(Transactions!$G715&lt;&gt;"",Transactions!$H715&amp;" "&amp;Transactions!$G715,)</f>
        <v/>
      </c>
    </row>
    <row r="716">
      <c r="A716" s="55" t="str">
        <f>IF(Transactions!$B716&lt;&gt;"",DATE(LEFT(Transactions!$B716,4),MID(Transactions!$B716,6,2),MID(Transactions!$B716,9,2)),)</f>
        <v/>
      </c>
      <c r="B716" s="56" t="str">
        <f>Transactions!$C716</f>
        <v/>
      </c>
      <c r="C716" s="51" t="str">
        <f t="array" ref="C716">IFERROR(INDEX(Portfolio!$B:$B, MATCH($B716, Portfolio!$A:$A, 0)),Transactions!$B716)</f>
        <v/>
      </c>
      <c r="D716" s="51" t="str">
        <f>IF($B716&lt;&gt;"",Transactions!$E716*1,)</f>
        <v/>
      </c>
      <c r="E716" s="51" t="str">
        <f>IF($B716&lt;&gt;"",Transactions!$F716*1,)</f>
        <v/>
      </c>
      <c r="F716" s="42" t="str">
        <f>IF(Transactions!$G716&lt;&gt;"",Transactions!$H716&amp;" "&amp;Transactions!$G716,)</f>
        <v/>
      </c>
    </row>
    <row r="717">
      <c r="A717" s="55" t="str">
        <f>IF(Transactions!$B717&lt;&gt;"",DATE(LEFT(Transactions!$B717,4),MID(Transactions!$B717,6,2),MID(Transactions!$B717,9,2)),)</f>
        <v/>
      </c>
      <c r="B717" s="56" t="str">
        <f>Transactions!$C717</f>
        <v/>
      </c>
      <c r="C717" s="51" t="str">
        <f t="array" ref="C717">IFERROR(INDEX(Portfolio!$B:$B, MATCH($B717, Portfolio!$A:$A, 0)),Transactions!$B717)</f>
        <v/>
      </c>
      <c r="D717" s="51" t="str">
        <f>IF($B717&lt;&gt;"",Transactions!$E717*1,)</f>
        <v/>
      </c>
      <c r="E717" s="51" t="str">
        <f>IF($B717&lt;&gt;"",Transactions!$F717*1,)</f>
        <v/>
      </c>
      <c r="F717" s="42" t="str">
        <f>IF(Transactions!$G717&lt;&gt;"",Transactions!$H717&amp;" "&amp;Transactions!$G717,)</f>
        <v/>
      </c>
    </row>
    <row r="718">
      <c r="A718" s="55" t="str">
        <f>IF(Transactions!$B718&lt;&gt;"",DATE(LEFT(Transactions!$B718,4),MID(Transactions!$B718,6,2),MID(Transactions!$B718,9,2)),)</f>
        <v/>
      </c>
      <c r="B718" s="56" t="str">
        <f>Transactions!$C718</f>
        <v/>
      </c>
      <c r="C718" s="51" t="str">
        <f t="array" ref="C718">IFERROR(INDEX(Portfolio!$B:$B, MATCH($B718, Portfolio!$A:$A, 0)),Transactions!$B718)</f>
        <v/>
      </c>
      <c r="D718" s="51" t="str">
        <f>IF($B718&lt;&gt;"",Transactions!$E718*1,)</f>
        <v/>
      </c>
      <c r="E718" s="51" t="str">
        <f>IF($B718&lt;&gt;"",Transactions!$F718*1,)</f>
        <v/>
      </c>
      <c r="F718" s="42" t="str">
        <f>IF(Transactions!$G718&lt;&gt;"",Transactions!$H718&amp;" "&amp;Transactions!$G718,)</f>
        <v/>
      </c>
    </row>
    <row r="719">
      <c r="A719" s="55" t="str">
        <f>IF(Transactions!$B719&lt;&gt;"",DATE(LEFT(Transactions!$B719,4),MID(Transactions!$B719,6,2),MID(Transactions!$B719,9,2)),)</f>
        <v/>
      </c>
      <c r="B719" s="56" t="str">
        <f>Transactions!$C719</f>
        <v/>
      </c>
      <c r="C719" s="51" t="str">
        <f t="array" ref="C719">IFERROR(INDEX(Portfolio!$B:$B, MATCH($B719, Portfolio!$A:$A, 0)),Transactions!$B719)</f>
        <v/>
      </c>
      <c r="D719" s="51" t="str">
        <f>IF($B719&lt;&gt;"",Transactions!$E719*1,)</f>
        <v/>
      </c>
      <c r="E719" s="51" t="str">
        <f>IF($B719&lt;&gt;"",Transactions!$F719*1,)</f>
        <v/>
      </c>
      <c r="F719" s="42" t="str">
        <f>IF(Transactions!$G719&lt;&gt;"",Transactions!$H719&amp;" "&amp;Transactions!$G719,)</f>
        <v/>
      </c>
    </row>
    <row r="720">
      <c r="A720" s="55" t="str">
        <f>IF(Transactions!$B720&lt;&gt;"",DATE(LEFT(Transactions!$B720,4),MID(Transactions!$B720,6,2),MID(Transactions!$B720,9,2)),)</f>
        <v/>
      </c>
      <c r="B720" s="56" t="str">
        <f>Transactions!$C720</f>
        <v/>
      </c>
      <c r="C720" s="51" t="str">
        <f t="array" ref="C720">IFERROR(INDEX(Portfolio!$B:$B, MATCH($B720, Portfolio!$A:$A, 0)),Transactions!$B720)</f>
        <v/>
      </c>
      <c r="D720" s="51" t="str">
        <f>IF($B720&lt;&gt;"",Transactions!$E720*1,)</f>
        <v/>
      </c>
      <c r="E720" s="51" t="str">
        <f>IF($B720&lt;&gt;"",Transactions!$F720*1,)</f>
        <v/>
      </c>
      <c r="F720" s="42" t="str">
        <f>IF(Transactions!$G720&lt;&gt;"",Transactions!$H720&amp;" "&amp;Transactions!$G720,)</f>
        <v/>
      </c>
    </row>
    <row r="721">
      <c r="A721" s="55" t="str">
        <f>IF(Transactions!$B721&lt;&gt;"",DATE(LEFT(Transactions!$B721,4),MID(Transactions!$B721,6,2),MID(Transactions!$B721,9,2)),)</f>
        <v/>
      </c>
      <c r="B721" s="56" t="str">
        <f>Transactions!$C721</f>
        <v/>
      </c>
      <c r="C721" s="51" t="str">
        <f t="array" ref="C721">IFERROR(INDEX(Portfolio!$B:$B, MATCH($B721, Portfolio!$A:$A, 0)),Transactions!$B721)</f>
        <v/>
      </c>
      <c r="D721" s="51" t="str">
        <f>IF($B721&lt;&gt;"",Transactions!$E721*1,)</f>
        <v/>
      </c>
      <c r="E721" s="51" t="str">
        <f>IF($B721&lt;&gt;"",Transactions!$F721*1,)</f>
        <v/>
      </c>
      <c r="F721" s="42" t="str">
        <f>IF(Transactions!$G721&lt;&gt;"",Transactions!$H721&amp;" "&amp;Transactions!$G721,)</f>
        <v/>
      </c>
    </row>
    <row r="722">
      <c r="A722" s="55" t="str">
        <f>IF(Transactions!$B722&lt;&gt;"",DATE(LEFT(Transactions!$B722,4),MID(Transactions!$B722,6,2),MID(Transactions!$B722,9,2)),)</f>
        <v/>
      </c>
      <c r="B722" s="56" t="str">
        <f>Transactions!$C722</f>
        <v/>
      </c>
      <c r="C722" s="51" t="str">
        <f t="array" ref="C722">IFERROR(INDEX(Portfolio!$B:$B, MATCH($B722, Portfolio!$A:$A, 0)),Transactions!$B722)</f>
        <v/>
      </c>
      <c r="D722" s="51" t="str">
        <f>IF($B722&lt;&gt;"",Transactions!$E722*1,)</f>
        <v/>
      </c>
      <c r="E722" s="51" t="str">
        <f>IF($B722&lt;&gt;"",Transactions!$F722*1,)</f>
        <v/>
      </c>
      <c r="F722" s="42" t="str">
        <f>IF(Transactions!$G722&lt;&gt;"",Transactions!$H722&amp;" "&amp;Transactions!$G722,)</f>
        <v/>
      </c>
    </row>
    <row r="723">
      <c r="A723" s="55" t="str">
        <f>IF(Transactions!$B723&lt;&gt;"",DATE(LEFT(Transactions!$B723,4),MID(Transactions!$B723,6,2),MID(Transactions!$B723,9,2)),)</f>
        <v/>
      </c>
      <c r="B723" s="56" t="str">
        <f>Transactions!$C723</f>
        <v/>
      </c>
      <c r="C723" s="51" t="str">
        <f t="array" ref="C723">IFERROR(INDEX(Portfolio!$B:$B, MATCH($B723, Portfolio!$A:$A, 0)),Transactions!$B723)</f>
        <v/>
      </c>
      <c r="D723" s="51" t="str">
        <f>IF($B723&lt;&gt;"",Transactions!$E723*1,)</f>
        <v/>
      </c>
      <c r="E723" s="51" t="str">
        <f>IF($B723&lt;&gt;"",Transactions!$F723*1,)</f>
        <v/>
      </c>
      <c r="F723" s="42" t="str">
        <f>IF(Transactions!$G723&lt;&gt;"",Transactions!$H723&amp;" "&amp;Transactions!$G723,)</f>
        <v/>
      </c>
    </row>
    <row r="724">
      <c r="A724" s="55" t="str">
        <f>IF(Transactions!$B724&lt;&gt;"",DATE(LEFT(Transactions!$B724,4),MID(Transactions!$B724,6,2),MID(Transactions!$B724,9,2)),)</f>
        <v/>
      </c>
      <c r="B724" s="56" t="str">
        <f>Transactions!$C724</f>
        <v/>
      </c>
      <c r="C724" s="51" t="str">
        <f t="array" ref="C724">IFERROR(INDEX(Portfolio!$B:$B, MATCH($B724, Portfolio!$A:$A, 0)),Transactions!$B724)</f>
        <v/>
      </c>
      <c r="D724" s="51" t="str">
        <f>IF($B724&lt;&gt;"",Transactions!$E724*1,)</f>
        <v/>
      </c>
      <c r="E724" s="51" t="str">
        <f>IF($B724&lt;&gt;"",Transactions!$F724*1,)</f>
        <v/>
      </c>
      <c r="F724" s="42" t="str">
        <f>IF(Transactions!$G724&lt;&gt;"",Transactions!$H724&amp;" "&amp;Transactions!$G724,)</f>
        <v/>
      </c>
    </row>
    <row r="725">
      <c r="A725" s="55" t="str">
        <f>IF(Transactions!$B725&lt;&gt;"",DATE(LEFT(Transactions!$B725,4),MID(Transactions!$B725,6,2),MID(Transactions!$B725,9,2)),)</f>
        <v/>
      </c>
      <c r="B725" s="56" t="str">
        <f>Transactions!$C725</f>
        <v/>
      </c>
      <c r="C725" s="51" t="str">
        <f t="array" ref="C725">IFERROR(INDEX(Portfolio!$B:$B, MATCH($B725, Portfolio!$A:$A, 0)),Transactions!$B725)</f>
        <v/>
      </c>
      <c r="D725" s="51" t="str">
        <f>IF($B725&lt;&gt;"",Transactions!$E725*1,)</f>
        <v/>
      </c>
      <c r="E725" s="51" t="str">
        <f>IF($B725&lt;&gt;"",Transactions!$F725*1,)</f>
        <v/>
      </c>
      <c r="F725" s="42" t="str">
        <f>IF(Transactions!$G725&lt;&gt;"",Transactions!$H725&amp;" "&amp;Transactions!$G725,)</f>
        <v/>
      </c>
    </row>
    <row r="726">
      <c r="A726" s="55" t="str">
        <f>IF(Transactions!$B726&lt;&gt;"",DATE(LEFT(Transactions!$B726,4),MID(Transactions!$B726,6,2),MID(Transactions!$B726,9,2)),)</f>
        <v/>
      </c>
      <c r="B726" s="56" t="str">
        <f>Transactions!$C726</f>
        <v/>
      </c>
      <c r="C726" s="51" t="str">
        <f t="array" ref="C726">IFERROR(INDEX(Portfolio!$B:$B, MATCH($B726, Portfolio!$A:$A, 0)),Transactions!$B726)</f>
        <v/>
      </c>
      <c r="D726" s="51" t="str">
        <f>IF($B726&lt;&gt;"",Transactions!$E726*1,)</f>
        <v/>
      </c>
      <c r="E726" s="51" t="str">
        <f>IF($B726&lt;&gt;"",Transactions!$F726*1,)</f>
        <v/>
      </c>
      <c r="F726" s="42" t="str">
        <f>IF(Transactions!$G726&lt;&gt;"",Transactions!$H726&amp;" "&amp;Transactions!$G726,)</f>
        <v/>
      </c>
    </row>
    <row r="727">
      <c r="A727" s="55" t="str">
        <f>IF(Transactions!$B727&lt;&gt;"",DATE(LEFT(Transactions!$B727,4),MID(Transactions!$B727,6,2),MID(Transactions!$B727,9,2)),)</f>
        <v/>
      </c>
      <c r="B727" s="56" t="str">
        <f>Transactions!$C727</f>
        <v/>
      </c>
      <c r="C727" s="51" t="str">
        <f t="array" ref="C727">IFERROR(INDEX(Portfolio!$B:$B, MATCH($B727, Portfolio!$A:$A, 0)),Transactions!$B727)</f>
        <v/>
      </c>
      <c r="D727" s="51" t="str">
        <f>IF($B727&lt;&gt;"",Transactions!$E727*1,)</f>
        <v/>
      </c>
      <c r="E727" s="51" t="str">
        <f>IF($B727&lt;&gt;"",Transactions!$F727*1,)</f>
        <v/>
      </c>
      <c r="F727" s="42" t="str">
        <f>IF(Transactions!$G727&lt;&gt;"",Transactions!$H727&amp;" "&amp;Transactions!$G727,)</f>
        <v/>
      </c>
    </row>
    <row r="728">
      <c r="A728" s="55" t="str">
        <f>IF(Transactions!$B728&lt;&gt;"",DATE(LEFT(Transactions!$B728,4),MID(Transactions!$B728,6,2),MID(Transactions!$B728,9,2)),)</f>
        <v/>
      </c>
      <c r="B728" s="56" t="str">
        <f>Transactions!$C728</f>
        <v/>
      </c>
      <c r="C728" s="51" t="str">
        <f t="array" ref="C728">IFERROR(INDEX(Portfolio!$B:$B, MATCH($B728, Portfolio!$A:$A, 0)),Transactions!$B728)</f>
        <v/>
      </c>
      <c r="D728" s="51" t="str">
        <f>IF($B728&lt;&gt;"",Transactions!$E728*1,)</f>
        <v/>
      </c>
      <c r="E728" s="51" t="str">
        <f>IF($B728&lt;&gt;"",Transactions!$F728*1,)</f>
        <v/>
      </c>
      <c r="F728" s="42" t="str">
        <f>IF(Transactions!$G728&lt;&gt;"",Transactions!$H728&amp;" "&amp;Transactions!$G728,)</f>
        <v/>
      </c>
    </row>
    <row r="729">
      <c r="A729" s="55" t="str">
        <f>IF(Transactions!$B729&lt;&gt;"",DATE(LEFT(Transactions!$B729,4),MID(Transactions!$B729,6,2),MID(Transactions!$B729,9,2)),)</f>
        <v/>
      </c>
      <c r="B729" s="56" t="str">
        <f>Transactions!$C729</f>
        <v/>
      </c>
      <c r="C729" s="51" t="str">
        <f t="array" ref="C729">IFERROR(INDEX(Portfolio!$B:$B, MATCH($B729, Portfolio!$A:$A, 0)),Transactions!$B729)</f>
        <v/>
      </c>
      <c r="D729" s="51" t="str">
        <f>IF($B729&lt;&gt;"",Transactions!$E729*1,)</f>
        <v/>
      </c>
      <c r="E729" s="51" t="str">
        <f>IF($B729&lt;&gt;"",Transactions!$F729*1,)</f>
        <v/>
      </c>
      <c r="F729" s="42" t="str">
        <f>IF(Transactions!$G729&lt;&gt;"",Transactions!$H729&amp;" "&amp;Transactions!$G729,)</f>
        <v/>
      </c>
    </row>
    <row r="730">
      <c r="A730" s="55" t="str">
        <f>IF(Transactions!$B730&lt;&gt;"",DATE(LEFT(Transactions!$B730,4),MID(Transactions!$B730,6,2),MID(Transactions!$B730,9,2)),)</f>
        <v/>
      </c>
      <c r="B730" s="56" t="str">
        <f>Transactions!$C730</f>
        <v/>
      </c>
      <c r="C730" s="51" t="str">
        <f t="array" ref="C730">IFERROR(INDEX(Portfolio!$B:$B, MATCH($B730, Portfolio!$A:$A, 0)),Transactions!$B730)</f>
        <v/>
      </c>
      <c r="D730" s="51" t="str">
        <f>IF($B730&lt;&gt;"",Transactions!$E730*1,)</f>
        <v/>
      </c>
      <c r="E730" s="51" t="str">
        <f>IF($B730&lt;&gt;"",Transactions!$F730*1,)</f>
        <v/>
      </c>
      <c r="F730" s="42" t="str">
        <f>IF(Transactions!$G730&lt;&gt;"",Transactions!$H730&amp;" "&amp;Transactions!$G730,)</f>
        <v/>
      </c>
    </row>
    <row r="731">
      <c r="A731" s="55" t="str">
        <f>IF(Transactions!$B731&lt;&gt;"",DATE(LEFT(Transactions!$B731,4),MID(Transactions!$B731,6,2),MID(Transactions!$B731,9,2)),)</f>
        <v/>
      </c>
      <c r="B731" s="56" t="str">
        <f>Transactions!$C731</f>
        <v/>
      </c>
      <c r="C731" s="51" t="str">
        <f t="array" ref="C731">IFERROR(INDEX(Portfolio!$B:$B, MATCH($B731, Portfolio!$A:$A, 0)),Transactions!$B731)</f>
        <v/>
      </c>
      <c r="D731" s="51" t="str">
        <f>IF($B731&lt;&gt;"",Transactions!$E731*1,)</f>
        <v/>
      </c>
      <c r="E731" s="51" t="str">
        <f>IF($B731&lt;&gt;"",Transactions!$F731*1,)</f>
        <v/>
      </c>
      <c r="F731" s="42" t="str">
        <f>IF(Transactions!$G731&lt;&gt;"",Transactions!$H731&amp;" "&amp;Transactions!$G731,)</f>
        <v/>
      </c>
    </row>
    <row r="732">
      <c r="A732" s="55" t="str">
        <f>IF(Transactions!$B732&lt;&gt;"",DATE(LEFT(Transactions!$B732,4),MID(Transactions!$B732,6,2),MID(Transactions!$B732,9,2)),)</f>
        <v/>
      </c>
      <c r="B732" s="56" t="str">
        <f>Transactions!$C732</f>
        <v/>
      </c>
      <c r="C732" s="51" t="str">
        <f t="array" ref="C732">IFERROR(INDEX(Portfolio!$B:$B, MATCH($B732, Portfolio!$A:$A, 0)),Transactions!$B732)</f>
        <v/>
      </c>
      <c r="D732" s="51" t="str">
        <f>IF($B732&lt;&gt;"",Transactions!$E732*1,)</f>
        <v/>
      </c>
      <c r="E732" s="51" t="str">
        <f>IF($B732&lt;&gt;"",Transactions!$F732*1,)</f>
        <v/>
      </c>
      <c r="F732" s="42" t="str">
        <f>IF(Transactions!$G732&lt;&gt;"",Transactions!$H732&amp;" "&amp;Transactions!$G732,)</f>
        <v/>
      </c>
    </row>
    <row r="733">
      <c r="A733" s="55" t="str">
        <f>IF(Transactions!$B733&lt;&gt;"",DATE(LEFT(Transactions!$B733,4),MID(Transactions!$B733,6,2),MID(Transactions!$B733,9,2)),)</f>
        <v/>
      </c>
      <c r="B733" s="56" t="str">
        <f>Transactions!$C733</f>
        <v/>
      </c>
      <c r="C733" s="51" t="str">
        <f t="array" ref="C733">IFERROR(INDEX(Portfolio!$B:$B, MATCH($B733, Portfolio!$A:$A, 0)),Transactions!$B733)</f>
        <v/>
      </c>
      <c r="D733" s="51" t="str">
        <f>IF($B733&lt;&gt;"",Transactions!$E733*1,)</f>
        <v/>
      </c>
      <c r="E733" s="51" t="str">
        <f>IF($B733&lt;&gt;"",Transactions!$F733*1,)</f>
        <v/>
      </c>
      <c r="F733" s="42" t="str">
        <f>IF(Transactions!$G733&lt;&gt;"",Transactions!$H733&amp;" "&amp;Transactions!$G733,)</f>
        <v/>
      </c>
    </row>
    <row r="734">
      <c r="A734" s="55" t="str">
        <f>IF(Transactions!$B734&lt;&gt;"",DATE(LEFT(Transactions!$B734,4),MID(Transactions!$B734,6,2),MID(Transactions!$B734,9,2)),)</f>
        <v/>
      </c>
      <c r="B734" s="56" t="str">
        <f>Transactions!$C734</f>
        <v/>
      </c>
      <c r="C734" s="51" t="str">
        <f t="array" ref="C734">IFERROR(INDEX(Portfolio!$B:$B, MATCH($B734, Portfolio!$A:$A, 0)),Transactions!$B734)</f>
        <v/>
      </c>
      <c r="D734" s="51" t="str">
        <f>IF($B734&lt;&gt;"",Transactions!$E734*1,)</f>
        <v/>
      </c>
      <c r="E734" s="51" t="str">
        <f>IF($B734&lt;&gt;"",Transactions!$F734*1,)</f>
        <v/>
      </c>
      <c r="F734" s="42" t="str">
        <f>IF(Transactions!$G734&lt;&gt;"",Transactions!$H734&amp;" "&amp;Transactions!$G734,)</f>
        <v/>
      </c>
    </row>
    <row r="735">
      <c r="A735" s="55" t="str">
        <f>IF(Transactions!$B735&lt;&gt;"",DATE(LEFT(Transactions!$B735,4),MID(Transactions!$B735,6,2),MID(Transactions!$B735,9,2)),)</f>
        <v/>
      </c>
      <c r="B735" s="56" t="str">
        <f>Transactions!$C735</f>
        <v/>
      </c>
      <c r="C735" s="51" t="str">
        <f t="array" ref="C735">IFERROR(INDEX(Portfolio!$B:$B, MATCH($B735, Portfolio!$A:$A, 0)),Transactions!$B735)</f>
        <v/>
      </c>
      <c r="D735" s="51" t="str">
        <f>IF($B735&lt;&gt;"",Transactions!$E735*1,)</f>
        <v/>
      </c>
      <c r="E735" s="51" t="str">
        <f>IF($B735&lt;&gt;"",Transactions!$F735*1,)</f>
        <v/>
      </c>
      <c r="F735" s="42" t="str">
        <f>IF(Transactions!$G735&lt;&gt;"",Transactions!$H735&amp;" "&amp;Transactions!$G735,)</f>
        <v/>
      </c>
    </row>
    <row r="736">
      <c r="A736" s="55" t="str">
        <f>IF(Transactions!$B736&lt;&gt;"",DATE(LEFT(Transactions!$B736,4),MID(Transactions!$B736,6,2),MID(Transactions!$B736,9,2)),)</f>
        <v/>
      </c>
      <c r="B736" s="56" t="str">
        <f>Transactions!$C736</f>
        <v/>
      </c>
      <c r="C736" s="51" t="str">
        <f t="array" ref="C736">IFERROR(INDEX(Portfolio!$B:$B, MATCH($B736, Portfolio!$A:$A, 0)),Transactions!$B736)</f>
        <v/>
      </c>
      <c r="D736" s="51" t="str">
        <f>IF($B736&lt;&gt;"",Transactions!$E736*1,)</f>
        <v/>
      </c>
      <c r="E736" s="51" t="str">
        <f>IF($B736&lt;&gt;"",Transactions!$F736*1,)</f>
        <v/>
      </c>
      <c r="F736" s="42" t="str">
        <f>IF(Transactions!$G736&lt;&gt;"",Transactions!$H736&amp;" "&amp;Transactions!$G736,)</f>
        <v/>
      </c>
    </row>
    <row r="737">
      <c r="A737" s="55" t="str">
        <f>IF(Transactions!$B737&lt;&gt;"",DATE(LEFT(Transactions!$B737,4),MID(Transactions!$B737,6,2),MID(Transactions!$B737,9,2)),)</f>
        <v/>
      </c>
      <c r="B737" s="56" t="str">
        <f>Transactions!$C737</f>
        <v/>
      </c>
      <c r="C737" s="51" t="str">
        <f t="array" ref="C737">IFERROR(INDEX(Portfolio!$B:$B, MATCH($B737, Portfolio!$A:$A, 0)),Transactions!$B737)</f>
        <v/>
      </c>
      <c r="D737" s="51" t="str">
        <f>IF($B737&lt;&gt;"",Transactions!$E737*1,)</f>
        <v/>
      </c>
      <c r="E737" s="51" t="str">
        <f>IF($B737&lt;&gt;"",Transactions!$F737*1,)</f>
        <v/>
      </c>
      <c r="F737" s="42" t="str">
        <f>IF(Transactions!$G737&lt;&gt;"",Transactions!$H737&amp;" "&amp;Transactions!$G737,)</f>
        <v/>
      </c>
    </row>
    <row r="738">
      <c r="A738" s="55" t="str">
        <f>IF(Transactions!$B738&lt;&gt;"",DATE(LEFT(Transactions!$B738,4),MID(Transactions!$B738,6,2),MID(Transactions!$B738,9,2)),)</f>
        <v/>
      </c>
      <c r="B738" s="56" t="str">
        <f>Transactions!$C738</f>
        <v/>
      </c>
      <c r="C738" s="51" t="str">
        <f t="array" ref="C738">IFERROR(INDEX(Portfolio!$B:$B, MATCH($B738, Portfolio!$A:$A, 0)),Transactions!$B738)</f>
        <v/>
      </c>
      <c r="D738" s="51" t="str">
        <f>IF($B738&lt;&gt;"",Transactions!$E738*1,)</f>
        <v/>
      </c>
      <c r="E738" s="51" t="str">
        <f>IF($B738&lt;&gt;"",Transactions!$F738*1,)</f>
        <v/>
      </c>
      <c r="F738" s="42" t="str">
        <f>IF(Transactions!$G738&lt;&gt;"",Transactions!$H738&amp;" "&amp;Transactions!$G738,)</f>
        <v/>
      </c>
    </row>
    <row r="739">
      <c r="A739" s="55" t="str">
        <f>IF(Transactions!$B739&lt;&gt;"",DATE(LEFT(Transactions!$B739,4),MID(Transactions!$B739,6,2),MID(Transactions!$B739,9,2)),)</f>
        <v/>
      </c>
      <c r="B739" s="56" t="str">
        <f>Transactions!$C739</f>
        <v/>
      </c>
      <c r="C739" s="51" t="str">
        <f t="array" ref="C739">IFERROR(INDEX(Portfolio!$B:$B, MATCH($B739, Portfolio!$A:$A, 0)),Transactions!$B739)</f>
        <v/>
      </c>
      <c r="D739" s="51" t="str">
        <f>IF($B739&lt;&gt;"",Transactions!$E739*1,)</f>
        <v/>
      </c>
      <c r="E739" s="51" t="str">
        <f>IF($B739&lt;&gt;"",Transactions!$F739*1,)</f>
        <v/>
      </c>
      <c r="F739" s="42" t="str">
        <f>IF(Transactions!$G739&lt;&gt;"",Transactions!$H739&amp;" "&amp;Transactions!$G739,)</f>
        <v/>
      </c>
    </row>
    <row r="740">
      <c r="A740" s="55" t="str">
        <f>IF(Transactions!$B740&lt;&gt;"",DATE(LEFT(Transactions!$B740,4),MID(Transactions!$B740,6,2),MID(Transactions!$B740,9,2)),)</f>
        <v/>
      </c>
      <c r="B740" s="56" t="str">
        <f>Transactions!$C740</f>
        <v/>
      </c>
      <c r="C740" s="51" t="str">
        <f t="array" ref="C740">IFERROR(INDEX(Portfolio!$B:$B, MATCH($B740, Portfolio!$A:$A, 0)),Transactions!$B740)</f>
        <v/>
      </c>
      <c r="D740" s="51" t="str">
        <f>IF($B740&lt;&gt;"",Transactions!$E740*1,)</f>
        <v/>
      </c>
      <c r="E740" s="51" t="str">
        <f>IF($B740&lt;&gt;"",Transactions!$F740*1,)</f>
        <v/>
      </c>
      <c r="F740" s="42" t="str">
        <f>IF(Transactions!$G740&lt;&gt;"",Transactions!$H740&amp;" "&amp;Transactions!$G740,)</f>
        <v/>
      </c>
    </row>
    <row r="741">
      <c r="A741" s="55" t="str">
        <f>IF(Transactions!$B741&lt;&gt;"",DATE(LEFT(Transactions!$B741,4),MID(Transactions!$B741,6,2),MID(Transactions!$B741,9,2)),)</f>
        <v/>
      </c>
      <c r="B741" s="56" t="str">
        <f>Transactions!$C741</f>
        <v/>
      </c>
      <c r="C741" s="51" t="str">
        <f t="array" ref="C741">IFERROR(INDEX(Portfolio!$B:$B, MATCH($B741, Portfolio!$A:$A, 0)),Transactions!$B741)</f>
        <v/>
      </c>
      <c r="D741" s="51" t="str">
        <f>IF($B741&lt;&gt;"",Transactions!$E741*1,)</f>
        <v/>
      </c>
      <c r="E741" s="51" t="str">
        <f>IF($B741&lt;&gt;"",Transactions!$F741*1,)</f>
        <v/>
      </c>
      <c r="F741" s="42" t="str">
        <f>IF(Transactions!$G741&lt;&gt;"",Transactions!$H741&amp;" "&amp;Transactions!$G741,)</f>
        <v/>
      </c>
    </row>
    <row r="742">
      <c r="A742" s="55" t="str">
        <f>IF(Transactions!$B742&lt;&gt;"",DATE(LEFT(Transactions!$B742,4),MID(Transactions!$B742,6,2),MID(Transactions!$B742,9,2)),)</f>
        <v/>
      </c>
      <c r="B742" s="56" t="str">
        <f>Transactions!$C742</f>
        <v/>
      </c>
      <c r="C742" s="51" t="str">
        <f t="array" ref="C742">IFERROR(INDEX(Portfolio!$B:$B, MATCH($B742, Portfolio!$A:$A, 0)),Transactions!$B742)</f>
        <v/>
      </c>
      <c r="D742" s="51" t="str">
        <f>IF($B742&lt;&gt;"",Transactions!$E742*1,)</f>
        <v/>
      </c>
      <c r="E742" s="51" t="str">
        <f>IF($B742&lt;&gt;"",Transactions!$F742*1,)</f>
        <v/>
      </c>
      <c r="F742" s="42" t="str">
        <f>IF(Transactions!$G742&lt;&gt;"",Transactions!$H742&amp;" "&amp;Transactions!$G742,)</f>
        <v/>
      </c>
    </row>
    <row r="743">
      <c r="A743" s="55" t="str">
        <f>IF(Transactions!$B743&lt;&gt;"",DATE(LEFT(Transactions!$B743,4),MID(Transactions!$B743,6,2),MID(Transactions!$B743,9,2)),)</f>
        <v/>
      </c>
      <c r="B743" s="56" t="str">
        <f>Transactions!$C743</f>
        <v/>
      </c>
      <c r="C743" s="51" t="str">
        <f t="array" ref="C743">IFERROR(INDEX(Portfolio!$B:$B, MATCH($B743, Portfolio!$A:$A, 0)),Transactions!$B743)</f>
        <v/>
      </c>
      <c r="D743" s="51" t="str">
        <f>IF($B743&lt;&gt;"",Transactions!$E743*1,)</f>
        <v/>
      </c>
      <c r="E743" s="51" t="str">
        <f>IF($B743&lt;&gt;"",Transactions!$F743*1,)</f>
        <v/>
      </c>
      <c r="F743" s="42" t="str">
        <f>IF(Transactions!$G743&lt;&gt;"",Transactions!$H743&amp;" "&amp;Transactions!$G743,)</f>
        <v/>
      </c>
    </row>
    <row r="744">
      <c r="A744" s="55" t="str">
        <f>IF(Transactions!$B744&lt;&gt;"",DATE(LEFT(Transactions!$B744,4),MID(Transactions!$B744,6,2),MID(Transactions!$B744,9,2)),)</f>
        <v/>
      </c>
      <c r="B744" s="56" t="str">
        <f>Transactions!$C744</f>
        <v/>
      </c>
      <c r="C744" s="51" t="str">
        <f t="array" ref="C744">IFERROR(INDEX(Portfolio!$B:$B, MATCH($B744, Portfolio!$A:$A, 0)),Transactions!$B744)</f>
        <v/>
      </c>
      <c r="D744" s="51" t="str">
        <f>IF($B744&lt;&gt;"",Transactions!$E744*1,)</f>
        <v/>
      </c>
      <c r="E744" s="51" t="str">
        <f>IF($B744&lt;&gt;"",Transactions!$F744*1,)</f>
        <v/>
      </c>
      <c r="F744" s="42" t="str">
        <f>IF(Transactions!$G744&lt;&gt;"",Transactions!$H744&amp;" "&amp;Transactions!$G744,)</f>
        <v/>
      </c>
    </row>
    <row r="745">
      <c r="A745" s="55" t="str">
        <f>IF(Transactions!$B745&lt;&gt;"",DATE(LEFT(Transactions!$B745,4),MID(Transactions!$B745,6,2),MID(Transactions!$B745,9,2)),)</f>
        <v/>
      </c>
      <c r="B745" s="56" t="str">
        <f>Transactions!$C745</f>
        <v/>
      </c>
      <c r="C745" s="51" t="str">
        <f t="array" ref="C745">IFERROR(INDEX(Portfolio!$B:$B, MATCH($B745, Portfolio!$A:$A, 0)),Transactions!$B745)</f>
        <v/>
      </c>
      <c r="D745" s="51" t="str">
        <f>IF($B745&lt;&gt;"",Transactions!$E745*1,)</f>
        <v/>
      </c>
      <c r="E745" s="51" t="str">
        <f>IF($B745&lt;&gt;"",Transactions!$F745*1,)</f>
        <v/>
      </c>
      <c r="F745" s="42" t="str">
        <f>IF(Transactions!$G745&lt;&gt;"",Transactions!$H745&amp;" "&amp;Transactions!$G745,)</f>
        <v/>
      </c>
    </row>
    <row r="746">
      <c r="A746" s="55" t="str">
        <f>IF(Transactions!$B746&lt;&gt;"",DATE(LEFT(Transactions!$B746,4),MID(Transactions!$B746,6,2),MID(Transactions!$B746,9,2)),)</f>
        <v/>
      </c>
      <c r="B746" s="56" t="str">
        <f>Transactions!$C746</f>
        <v/>
      </c>
      <c r="C746" s="51" t="str">
        <f t="array" ref="C746">IFERROR(INDEX(Portfolio!$B:$B, MATCH($B746, Portfolio!$A:$A, 0)),Transactions!$B746)</f>
        <v/>
      </c>
      <c r="D746" s="51" t="str">
        <f>IF($B746&lt;&gt;"",Transactions!$E746*1,)</f>
        <v/>
      </c>
      <c r="E746" s="51" t="str">
        <f>IF($B746&lt;&gt;"",Transactions!$F746*1,)</f>
        <v/>
      </c>
      <c r="F746" s="42" t="str">
        <f>IF(Transactions!$G746&lt;&gt;"",Transactions!$H746&amp;" "&amp;Transactions!$G746,)</f>
        <v/>
      </c>
    </row>
    <row r="747">
      <c r="A747" s="55" t="str">
        <f>IF(Transactions!$B747&lt;&gt;"",DATE(LEFT(Transactions!$B747,4),MID(Transactions!$B747,6,2),MID(Transactions!$B747,9,2)),)</f>
        <v/>
      </c>
      <c r="B747" s="56" t="str">
        <f>Transactions!$C747</f>
        <v/>
      </c>
      <c r="C747" s="51" t="str">
        <f t="array" ref="C747">IFERROR(INDEX(Portfolio!$B:$B, MATCH($B747, Portfolio!$A:$A, 0)),Transactions!$B747)</f>
        <v/>
      </c>
      <c r="D747" s="51" t="str">
        <f>IF($B747&lt;&gt;"",Transactions!$E747*1,)</f>
        <v/>
      </c>
      <c r="E747" s="51" t="str">
        <f>IF($B747&lt;&gt;"",Transactions!$F747*1,)</f>
        <v/>
      </c>
      <c r="F747" s="42" t="str">
        <f>IF(Transactions!$G747&lt;&gt;"",Transactions!$H747&amp;" "&amp;Transactions!$G747,)</f>
        <v/>
      </c>
    </row>
    <row r="748">
      <c r="A748" s="55" t="str">
        <f>IF(Transactions!$B748&lt;&gt;"",DATE(LEFT(Transactions!$B748,4),MID(Transactions!$B748,6,2),MID(Transactions!$B748,9,2)),)</f>
        <v/>
      </c>
      <c r="B748" s="56" t="str">
        <f>Transactions!$C748</f>
        <v/>
      </c>
      <c r="C748" s="51" t="str">
        <f t="array" ref="C748">IFERROR(INDEX(Portfolio!$B:$B, MATCH($B748, Portfolio!$A:$A, 0)),Transactions!$B748)</f>
        <v/>
      </c>
      <c r="D748" s="51" t="str">
        <f>IF($B748&lt;&gt;"",Transactions!$E748*1,)</f>
        <v/>
      </c>
      <c r="E748" s="51" t="str">
        <f>IF($B748&lt;&gt;"",Transactions!$F748*1,)</f>
        <v/>
      </c>
      <c r="F748" s="42" t="str">
        <f>IF(Transactions!$G748&lt;&gt;"",Transactions!$H748&amp;" "&amp;Transactions!$G748,)</f>
        <v/>
      </c>
    </row>
    <row r="749">
      <c r="A749" s="55" t="str">
        <f>IF(Transactions!$B749&lt;&gt;"",DATE(LEFT(Transactions!$B749,4),MID(Transactions!$B749,6,2),MID(Transactions!$B749,9,2)),)</f>
        <v/>
      </c>
      <c r="B749" s="56" t="str">
        <f>Transactions!$C749</f>
        <v/>
      </c>
      <c r="C749" s="51" t="str">
        <f t="array" ref="C749">IFERROR(INDEX(Portfolio!$B:$B, MATCH($B749, Portfolio!$A:$A, 0)),Transactions!$B749)</f>
        <v/>
      </c>
      <c r="D749" s="51" t="str">
        <f>IF($B749&lt;&gt;"",Transactions!$E749*1,)</f>
        <v/>
      </c>
      <c r="E749" s="51" t="str">
        <f>IF($B749&lt;&gt;"",Transactions!$F749*1,)</f>
        <v/>
      </c>
      <c r="F749" s="42" t="str">
        <f>IF(Transactions!$G749&lt;&gt;"",Transactions!$H749&amp;" "&amp;Transactions!$G749,)</f>
        <v/>
      </c>
    </row>
    <row r="750">
      <c r="A750" s="55" t="str">
        <f>IF(Transactions!$B750&lt;&gt;"",DATE(LEFT(Transactions!$B750,4),MID(Transactions!$B750,6,2),MID(Transactions!$B750,9,2)),)</f>
        <v/>
      </c>
      <c r="B750" s="56" t="str">
        <f>Transactions!$C750</f>
        <v/>
      </c>
      <c r="C750" s="51" t="str">
        <f t="array" ref="C750">IFERROR(INDEX(Portfolio!$B:$B, MATCH($B750, Portfolio!$A:$A, 0)),Transactions!$B750)</f>
        <v/>
      </c>
      <c r="D750" s="51" t="str">
        <f>IF($B750&lt;&gt;"",Transactions!$E750*1,)</f>
        <v/>
      </c>
      <c r="E750" s="51" t="str">
        <f>IF($B750&lt;&gt;"",Transactions!$F750*1,)</f>
        <v/>
      </c>
      <c r="F750" s="42" t="str">
        <f>IF(Transactions!$G750&lt;&gt;"",Transactions!$H750&amp;" "&amp;Transactions!$G750,)</f>
        <v/>
      </c>
    </row>
    <row r="751">
      <c r="A751" s="55" t="str">
        <f>IF(Transactions!$B751&lt;&gt;"",DATE(LEFT(Transactions!$B751,4),MID(Transactions!$B751,6,2),MID(Transactions!$B751,9,2)),)</f>
        <v/>
      </c>
      <c r="B751" s="56" t="str">
        <f>Transactions!$C751</f>
        <v/>
      </c>
      <c r="C751" s="51" t="str">
        <f t="array" ref="C751">IFERROR(INDEX(Portfolio!$B:$B, MATCH($B751, Portfolio!$A:$A, 0)),Transactions!$B751)</f>
        <v/>
      </c>
      <c r="D751" s="51" t="str">
        <f>IF($B751&lt;&gt;"",Transactions!$E751*1,)</f>
        <v/>
      </c>
      <c r="E751" s="51" t="str">
        <f>IF($B751&lt;&gt;"",Transactions!$F751*1,)</f>
        <v/>
      </c>
      <c r="F751" s="42" t="str">
        <f>IF(Transactions!$G751&lt;&gt;"",Transactions!$H751&amp;" "&amp;Transactions!$G751,)</f>
        <v/>
      </c>
    </row>
    <row r="752">
      <c r="A752" s="55" t="str">
        <f>IF(Transactions!$B752&lt;&gt;"",DATE(LEFT(Transactions!$B752,4),MID(Transactions!$B752,6,2),MID(Transactions!$B752,9,2)),)</f>
        <v/>
      </c>
      <c r="B752" s="56" t="str">
        <f>Transactions!$C752</f>
        <v/>
      </c>
      <c r="C752" s="51" t="str">
        <f t="array" ref="C752">IFERROR(INDEX(Portfolio!$B:$B, MATCH($B752, Portfolio!$A:$A, 0)),Transactions!$B752)</f>
        <v/>
      </c>
      <c r="D752" s="51" t="str">
        <f>IF($B752&lt;&gt;"",Transactions!$E752*1,)</f>
        <v/>
      </c>
      <c r="E752" s="51" t="str">
        <f>IF($B752&lt;&gt;"",Transactions!$F752*1,)</f>
        <v/>
      </c>
      <c r="F752" s="42" t="str">
        <f>IF(Transactions!$G752&lt;&gt;"",Transactions!$H752&amp;" "&amp;Transactions!$G752,)</f>
        <v/>
      </c>
    </row>
    <row r="753">
      <c r="A753" s="55" t="str">
        <f>IF(Transactions!$B753&lt;&gt;"",DATE(LEFT(Transactions!$B753,4),MID(Transactions!$B753,6,2),MID(Transactions!$B753,9,2)),)</f>
        <v/>
      </c>
      <c r="B753" s="56" t="str">
        <f>Transactions!$C753</f>
        <v/>
      </c>
      <c r="C753" s="51" t="str">
        <f t="array" ref="C753">IFERROR(INDEX(Portfolio!$B:$B, MATCH($B753, Portfolio!$A:$A, 0)),Transactions!$B753)</f>
        <v/>
      </c>
      <c r="D753" s="51" t="str">
        <f>IF($B753&lt;&gt;"",Transactions!$E753*1,)</f>
        <v/>
      </c>
      <c r="E753" s="51" t="str">
        <f>IF($B753&lt;&gt;"",Transactions!$F753*1,)</f>
        <v/>
      </c>
      <c r="F753" s="42" t="str">
        <f>IF(Transactions!$G753&lt;&gt;"",Transactions!$H753&amp;" "&amp;Transactions!$G753,)</f>
        <v/>
      </c>
    </row>
    <row r="754">
      <c r="A754" s="55" t="str">
        <f>IF(Transactions!$B754&lt;&gt;"",DATE(LEFT(Transactions!$B754,4),MID(Transactions!$B754,6,2),MID(Transactions!$B754,9,2)),)</f>
        <v/>
      </c>
      <c r="B754" s="56" t="str">
        <f>Transactions!$C754</f>
        <v/>
      </c>
      <c r="C754" s="51" t="str">
        <f t="array" ref="C754">IFERROR(INDEX(Portfolio!$B:$B, MATCH($B754, Portfolio!$A:$A, 0)),Transactions!$B754)</f>
        <v/>
      </c>
      <c r="D754" s="51" t="str">
        <f>IF($B754&lt;&gt;"",Transactions!$E754*1,)</f>
        <v/>
      </c>
      <c r="E754" s="51" t="str">
        <f>IF($B754&lt;&gt;"",Transactions!$F754*1,)</f>
        <v/>
      </c>
      <c r="F754" s="42" t="str">
        <f>IF(Transactions!$G754&lt;&gt;"",Transactions!$H754&amp;" "&amp;Transactions!$G754,)</f>
        <v/>
      </c>
    </row>
    <row r="755">
      <c r="A755" s="55" t="str">
        <f>IF(Transactions!$B755&lt;&gt;"",DATE(LEFT(Transactions!$B755,4),MID(Transactions!$B755,6,2),MID(Transactions!$B755,9,2)),)</f>
        <v/>
      </c>
      <c r="B755" s="56" t="str">
        <f>Transactions!$C755</f>
        <v/>
      </c>
      <c r="C755" s="51" t="str">
        <f t="array" ref="C755">IFERROR(INDEX(Portfolio!$B:$B, MATCH($B755, Portfolio!$A:$A, 0)),Transactions!$B755)</f>
        <v/>
      </c>
      <c r="D755" s="51" t="str">
        <f>IF($B755&lt;&gt;"",Transactions!$E755*1,)</f>
        <v/>
      </c>
      <c r="E755" s="51" t="str">
        <f>IF($B755&lt;&gt;"",Transactions!$F755*1,)</f>
        <v/>
      </c>
      <c r="F755" s="42" t="str">
        <f>IF(Transactions!$G755&lt;&gt;"",Transactions!$H755&amp;" "&amp;Transactions!$G755,)</f>
        <v/>
      </c>
    </row>
    <row r="756">
      <c r="A756" s="55" t="str">
        <f>IF(Transactions!$B756&lt;&gt;"",DATE(LEFT(Transactions!$B756,4),MID(Transactions!$B756,6,2),MID(Transactions!$B756,9,2)),)</f>
        <v/>
      </c>
      <c r="B756" s="56" t="str">
        <f>Transactions!$C756</f>
        <v/>
      </c>
      <c r="C756" s="51" t="str">
        <f t="array" ref="C756">IFERROR(INDEX(Portfolio!$B:$B, MATCH($B756, Portfolio!$A:$A, 0)),Transactions!$B756)</f>
        <v/>
      </c>
      <c r="D756" s="51" t="str">
        <f>IF($B756&lt;&gt;"",Transactions!$E756*1,)</f>
        <v/>
      </c>
      <c r="E756" s="51" t="str">
        <f>IF($B756&lt;&gt;"",Transactions!$F756*1,)</f>
        <v/>
      </c>
      <c r="F756" s="42" t="str">
        <f>IF(Transactions!$G756&lt;&gt;"",Transactions!$H756&amp;" "&amp;Transactions!$G756,)</f>
        <v/>
      </c>
    </row>
    <row r="757">
      <c r="A757" s="55" t="str">
        <f>IF(Transactions!$B757&lt;&gt;"",DATE(LEFT(Transactions!$B757,4),MID(Transactions!$B757,6,2),MID(Transactions!$B757,9,2)),)</f>
        <v/>
      </c>
      <c r="B757" s="56" t="str">
        <f>Transactions!$C757</f>
        <v/>
      </c>
      <c r="C757" s="51" t="str">
        <f t="array" ref="C757">IFERROR(INDEX(Portfolio!$B:$B, MATCH($B757, Portfolio!$A:$A, 0)),Transactions!$B757)</f>
        <v/>
      </c>
      <c r="D757" s="51" t="str">
        <f>IF($B757&lt;&gt;"",Transactions!$E757*1,)</f>
        <v/>
      </c>
      <c r="E757" s="51" t="str">
        <f>IF($B757&lt;&gt;"",Transactions!$F757*1,)</f>
        <v/>
      </c>
      <c r="F757" s="42" t="str">
        <f>IF(Transactions!$G757&lt;&gt;"",Transactions!$H757&amp;" "&amp;Transactions!$G757,)</f>
        <v/>
      </c>
    </row>
    <row r="758">
      <c r="A758" s="55" t="str">
        <f>IF(Transactions!$B758&lt;&gt;"",DATE(LEFT(Transactions!$B758,4),MID(Transactions!$B758,6,2),MID(Transactions!$B758,9,2)),)</f>
        <v/>
      </c>
      <c r="B758" s="56" t="str">
        <f>Transactions!$C758</f>
        <v/>
      </c>
      <c r="C758" s="51" t="str">
        <f t="array" ref="C758">IFERROR(INDEX(Portfolio!$B:$B, MATCH($B758, Portfolio!$A:$A, 0)),Transactions!$B758)</f>
        <v/>
      </c>
      <c r="D758" s="51" t="str">
        <f>IF($B758&lt;&gt;"",Transactions!$E758*1,)</f>
        <v/>
      </c>
      <c r="E758" s="51" t="str">
        <f>IF($B758&lt;&gt;"",Transactions!$F758*1,)</f>
        <v/>
      </c>
      <c r="F758" s="42" t="str">
        <f>IF(Transactions!$G758&lt;&gt;"",Transactions!$H758&amp;" "&amp;Transactions!$G758,)</f>
        <v/>
      </c>
    </row>
    <row r="759">
      <c r="A759" s="55" t="str">
        <f>IF(Transactions!$B759&lt;&gt;"",DATE(LEFT(Transactions!$B759,4),MID(Transactions!$B759,6,2),MID(Transactions!$B759,9,2)),)</f>
        <v/>
      </c>
      <c r="B759" s="56" t="str">
        <f>Transactions!$C759</f>
        <v/>
      </c>
      <c r="C759" s="51" t="str">
        <f t="array" ref="C759">IFERROR(INDEX(Portfolio!$B:$B, MATCH($B759, Portfolio!$A:$A, 0)),Transactions!$B759)</f>
        <v/>
      </c>
      <c r="D759" s="51" t="str">
        <f>IF($B759&lt;&gt;"",Transactions!$E759*1,)</f>
        <v/>
      </c>
      <c r="E759" s="51" t="str">
        <f>IF($B759&lt;&gt;"",Transactions!$F759*1,)</f>
        <v/>
      </c>
      <c r="F759" s="42" t="str">
        <f>IF(Transactions!$G759&lt;&gt;"",Transactions!$H759&amp;" "&amp;Transactions!$G759,)</f>
        <v/>
      </c>
    </row>
    <row r="760">
      <c r="A760" s="55" t="str">
        <f>IF(Transactions!$B760&lt;&gt;"",DATE(LEFT(Transactions!$B760,4),MID(Transactions!$B760,6,2),MID(Transactions!$B760,9,2)),)</f>
        <v/>
      </c>
      <c r="B760" s="56" t="str">
        <f>Transactions!$C760</f>
        <v/>
      </c>
      <c r="C760" s="51" t="str">
        <f t="array" ref="C760">IFERROR(INDEX(Portfolio!$B:$B, MATCH($B760, Portfolio!$A:$A, 0)),Transactions!$B760)</f>
        <v/>
      </c>
      <c r="D760" s="51" t="str">
        <f>IF($B760&lt;&gt;"",Transactions!$E760*1,)</f>
        <v/>
      </c>
      <c r="E760" s="51" t="str">
        <f>IF($B760&lt;&gt;"",Transactions!$F760*1,)</f>
        <v/>
      </c>
      <c r="F760" s="42" t="str">
        <f>IF(Transactions!$G760&lt;&gt;"",Transactions!$H760&amp;" "&amp;Transactions!$G760,)</f>
        <v/>
      </c>
    </row>
    <row r="761">
      <c r="A761" s="55" t="str">
        <f>IF(Transactions!$B761&lt;&gt;"",DATE(LEFT(Transactions!$B761,4),MID(Transactions!$B761,6,2),MID(Transactions!$B761,9,2)),)</f>
        <v/>
      </c>
      <c r="B761" s="56" t="str">
        <f>Transactions!$C761</f>
        <v/>
      </c>
      <c r="C761" s="51" t="str">
        <f t="array" ref="C761">IFERROR(INDEX(Portfolio!$B:$B, MATCH($B761, Portfolio!$A:$A, 0)),Transactions!$B761)</f>
        <v/>
      </c>
      <c r="D761" s="51" t="str">
        <f>IF($B761&lt;&gt;"",Transactions!$E761*1,)</f>
        <v/>
      </c>
      <c r="E761" s="51" t="str">
        <f>IF($B761&lt;&gt;"",Transactions!$F761*1,)</f>
        <v/>
      </c>
      <c r="F761" s="42" t="str">
        <f>IF(Transactions!$G761&lt;&gt;"",Transactions!$H761&amp;" "&amp;Transactions!$G761,)</f>
        <v/>
      </c>
    </row>
    <row r="762">
      <c r="A762" s="55" t="str">
        <f>IF(Transactions!$B762&lt;&gt;"",DATE(LEFT(Transactions!$B762,4),MID(Transactions!$B762,6,2),MID(Transactions!$B762,9,2)),)</f>
        <v/>
      </c>
      <c r="B762" s="56" t="str">
        <f>Transactions!$C762</f>
        <v/>
      </c>
      <c r="C762" s="51" t="str">
        <f t="array" ref="C762">IFERROR(INDEX(Portfolio!$B:$B, MATCH($B762, Portfolio!$A:$A, 0)),Transactions!$B762)</f>
        <v/>
      </c>
      <c r="D762" s="51" t="str">
        <f>IF($B762&lt;&gt;"",Transactions!$E762*1,)</f>
        <v/>
      </c>
      <c r="E762" s="51" t="str">
        <f>IF($B762&lt;&gt;"",Transactions!$F762*1,)</f>
        <v/>
      </c>
      <c r="F762" s="42" t="str">
        <f>IF(Transactions!$G762&lt;&gt;"",Transactions!$H762&amp;" "&amp;Transactions!$G762,)</f>
        <v/>
      </c>
    </row>
    <row r="763">
      <c r="A763" s="55" t="str">
        <f>IF(Transactions!$B763&lt;&gt;"",DATE(LEFT(Transactions!$B763,4),MID(Transactions!$B763,6,2),MID(Transactions!$B763,9,2)),)</f>
        <v/>
      </c>
      <c r="B763" s="56" t="str">
        <f>Transactions!$C763</f>
        <v/>
      </c>
      <c r="C763" s="51" t="str">
        <f t="array" ref="C763">IFERROR(INDEX(Portfolio!$B:$B, MATCH($B763, Portfolio!$A:$A, 0)),Transactions!$B763)</f>
        <v/>
      </c>
      <c r="D763" s="51" t="str">
        <f>IF($B763&lt;&gt;"",Transactions!$E763*1,)</f>
        <v/>
      </c>
      <c r="E763" s="51" t="str">
        <f>IF($B763&lt;&gt;"",Transactions!$F763*1,)</f>
        <v/>
      </c>
      <c r="F763" s="42" t="str">
        <f>IF(Transactions!$G763&lt;&gt;"",Transactions!$H763&amp;" "&amp;Transactions!$G763,)</f>
        <v/>
      </c>
    </row>
    <row r="764">
      <c r="A764" s="55" t="str">
        <f>IF(Transactions!$B764&lt;&gt;"",DATE(LEFT(Transactions!$B764,4),MID(Transactions!$B764,6,2),MID(Transactions!$B764,9,2)),)</f>
        <v/>
      </c>
      <c r="B764" s="56" t="str">
        <f>Transactions!$C764</f>
        <v/>
      </c>
      <c r="C764" s="51" t="str">
        <f t="array" ref="C764">IFERROR(INDEX(Portfolio!$B:$B, MATCH($B764, Portfolio!$A:$A, 0)),Transactions!$B764)</f>
        <v/>
      </c>
      <c r="D764" s="51" t="str">
        <f>IF($B764&lt;&gt;"",Transactions!$E764*1,)</f>
        <v/>
      </c>
      <c r="E764" s="51" t="str">
        <f>IF($B764&lt;&gt;"",Transactions!$F764*1,)</f>
        <v/>
      </c>
      <c r="F764" s="42" t="str">
        <f>IF(Transactions!$G764&lt;&gt;"",Transactions!$H764&amp;" "&amp;Transactions!$G764,)</f>
        <v/>
      </c>
    </row>
    <row r="765">
      <c r="A765" s="55" t="str">
        <f>IF(Transactions!$B765&lt;&gt;"",DATE(LEFT(Transactions!$B765,4),MID(Transactions!$B765,6,2),MID(Transactions!$B765,9,2)),)</f>
        <v/>
      </c>
      <c r="B765" s="56" t="str">
        <f>Transactions!$C765</f>
        <v/>
      </c>
      <c r="C765" s="51" t="str">
        <f t="array" ref="C765">IFERROR(INDEX(Portfolio!$B:$B, MATCH($B765, Portfolio!$A:$A, 0)),Transactions!$B765)</f>
        <v/>
      </c>
      <c r="D765" s="51" t="str">
        <f>IF($B765&lt;&gt;"",Transactions!$E765*1,)</f>
        <v/>
      </c>
      <c r="E765" s="51" t="str">
        <f>IF($B765&lt;&gt;"",Transactions!$F765*1,)</f>
        <v/>
      </c>
      <c r="F765" s="42" t="str">
        <f>IF(Transactions!$G765&lt;&gt;"",Transactions!$H765&amp;" "&amp;Transactions!$G765,)</f>
        <v/>
      </c>
    </row>
    <row r="766">
      <c r="A766" s="55" t="str">
        <f>IF(Transactions!$B766&lt;&gt;"",DATE(LEFT(Transactions!$B766,4),MID(Transactions!$B766,6,2),MID(Transactions!$B766,9,2)),)</f>
        <v/>
      </c>
      <c r="B766" s="56" t="str">
        <f>Transactions!$C766</f>
        <v/>
      </c>
      <c r="C766" s="51" t="str">
        <f t="array" ref="C766">IFERROR(INDEX(Portfolio!$B:$B, MATCH($B766, Portfolio!$A:$A, 0)),Transactions!$B766)</f>
        <v/>
      </c>
      <c r="D766" s="51" t="str">
        <f>IF($B766&lt;&gt;"",Transactions!$E766*1,)</f>
        <v/>
      </c>
      <c r="E766" s="51" t="str">
        <f>IF($B766&lt;&gt;"",Transactions!$F766*1,)</f>
        <v/>
      </c>
      <c r="F766" s="42" t="str">
        <f>IF(Transactions!$G766&lt;&gt;"",Transactions!$H766&amp;" "&amp;Transactions!$G766,)</f>
        <v/>
      </c>
    </row>
    <row r="767">
      <c r="A767" s="55" t="str">
        <f>IF(Transactions!$B767&lt;&gt;"",DATE(LEFT(Transactions!$B767,4),MID(Transactions!$B767,6,2),MID(Transactions!$B767,9,2)),)</f>
        <v/>
      </c>
      <c r="B767" s="56" t="str">
        <f>Transactions!$C767</f>
        <v/>
      </c>
      <c r="C767" s="51" t="str">
        <f t="array" ref="C767">IFERROR(INDEX(Portfolio!$B:$B, MATCH($B767, Portfolio!$A:$A, 0)),Transactions!$B767)</f>
        <v/>
      </c>
      <c r="D767" s="51" t="str">
        <f>IF($B767&lt;&gt;"",Transactions!$E767*1,)</f>
        <v/>
      </c>
      <c r="E767" s="51" t="str">
        <f>IF($B767&lt;&gt;"",Transactions!$F767*1,)</f>
        <v/>
      </c>
      <c r="F767" s="42" t="str">
        <f>IF(Transactions!$G767&lt;&gt;"",Transactions!$H767&amp;" "&amp;Transactions!$G767,)</f>
        <v/>
      </c>
    </row>
    <row r="768">
      <c r="A768" s="55" t="str">
        <f>IF(Transactions!$B768&lt;&gt;"",DATE(LEFT(Transactions!$B768,4),MID(Transactions!$B768,6,2),MID(Transactions!$B768,9,2)),)</f>
        <v/>
      </c>
      <c r="B768" s="56" t="str">
        <f>Transactions!$C768</f>
        <v/>
      </c>
      <c r="C768" s="51" t="str">
        <f t="array" ref="C768">IFERROR(INDEX(Portfolio!$B:$B, MATCH($B768, Portfolio!$A:$A, 0)),Transactions!$B768)</f>
        <v/>
      </c>
      <c r="D768" s="51" t="str">
        <f>IF($B768&lt;&gt;"",Transactions!$E768*1,)</f>
        <v/>
      </c>
      <c r="E768" s="51" t="str">
        <f>IF($B768&lt;&gt;"",Transactions!$F768*1,)</f>
        <v/>
      </c>
      <c r="F768" s="42" t="str">
        <f>IF(Transactions!$G768&lt;&gt;"",Transactions!$H768&amp;" "&amp;Transactions!$G768,)</f>
        <v/>
      </c>
    </row>
    <row r="769">
      <c r="A769" s="55" t="str">
        <f>IF(Transactions!$B769&lt;&gt;"",DATE(LEFT(Transactions!$B769,4),MID(Transactions!$B769,6,2),MID(Transactions!$B769,9,2)),)</f>
        <v/>
      </c>
      <c r="B769" s="56" t="str">
        <f>Transactions!$C769</f>
        <v/>
      </c>
      <c r="C769" s="51" t="str">
        <f t="array" ref="C769">IFERROR(INDEX(Portfolio!$B:$B, MATCH($B769, Portfolio!$A:$A, 0)),Transactions!$B769)</f>
        <v/>
      </c>
      <c r="D769" s="51" t="str">
        <f>IF($B769&lt;&gt;"",Transactions!$E769*1,)</f>
        <v/>
      </c>
      <c r="E769" s="51" t="str">
        <f>IF($B769&lt;&gt;"",Transactions!$F769*1,)</f>
        <v/>
      </c>
      <c r="F769" s="42" t="str">
        <f>IF(Transactions!$G769&lt;&gt;"",Transactions!$H769&amp;" "&amp;Transactions!$G769,)</f>
        <v/>
      </c>
    </row>
    <row r="770">
      <c r="A770" s="55" t="str">
        <f>IF(Transactions!$B770&lt;&gt;"",DATE(LEFT(Transactions!$B770,4),MID(Transactions!$B770,6,2),MID(Transactions!$B770,9,2)),)</f>
        <v/>
      </c>
      <c r="B770" s="56" t="str">
        <f>Transactions!$C770</f>
        <v/>
      </c>
      <c r="C770" s="51" t="str">
        <f t="array" ref="C770">IFERROR(INDEX(Portfolio!$B:$B, MATCH($B770, Portfolio!$A:$A, 0)),Transactions!$B770)</f>
        <v/>
      </c>
      <c r="D770" s="51" t="str">
        <f>IF($B770&lt;&gt;"",Transactions!$E770*1,)</f>
        <v/>
      </c>
      <c r="E770" s="51" t="str">
        <f>IF($B770&lt;&gt;"",Transactions!$F770*1,)</f>
        <v/>
      </c>
      <c r="F770" s="42" t="str">
        <f>IF(Transactions!$G770&lt;&gt;"",Transactions!$H770&amp;" "&amp;Transactions!$G770,)</f>
        <v/>
      </c>
    </row>
    <row r="771">
      <c r="A771" s="55" t="str">
        <f>IF(Transactions!$B771&lt;&gt;"",DATE(LEFT(Transactions!$B771,4),MID(Transactions!$B771,6,2),MID(Transactions!$B771,9,2)),)</f>
        <v/>
      </c>
      <c r="B771" s="56" t="str">
        <f>Transactions!$C771</f>
        <v/>
      </c>
      <c r="C771" s="51" t="str">
        <f t="array" ref="C771">IFERROR(INDEX(Portfolio!$B:$B, MATCH($B771, Portfolio!$A:$A, 0)),Transactions!$B771)</f>
        <v/>
      </c>
      <c r="D771" s="51" t="str">
        <f>IF($B771&lt;&gt;"",Transactions!$E771*1,)</f>
        <v/>
      </c>
      <c r="E771" s="51" t="str">
        <f>IF($B771&lt;&gt;"",Transactions!$F771*1,)</f>
        <v/>
      </c>
      <c r="F771" s="42" t="str">
        <f>IF(Transactions!$G771&lt;&gt;"",Transactions!$H771&amp;" "&amp;Transactions!$G771,)</f>
        <v/>
      </c>
    </row>
    <row r="772">
      <c r="A772" s="55" t="str">
        <f>IF(Transactions!$B772&lt;&gt;"",DATE(LEFT(Transactions!$B772,4),MID(Transactions!$B772,6,2),MID(Transactions!$B772,9,2)),)</f>
        <v/>
      </c>
      <c r="B772" s="56" t="str">
        <f>Transactions!$C772</f>
        <v/>
      </c>
      <c r="C772" s="51" t="str">
        <f t="array" ref="C772">IFERROR(INDEX(Portfolio!$B:$B, MATCH($B772, Portfolio!$A:$A, 0)),Transactions!$B772)</f>
        <v/>
      </c>
      <c r="D772" s="51" t="str">
        <f>IF($B772&lt;&gt;"",Transactions!$E772*1,)</f>
        <v/>
      </c>
      <c r="E772" s="51" t="str">
        <f>IF($B772&lt;&gt;"",Transactions!$F772*1,)</f>
        <v/>
      </c>
      <c r="F772" s="42" t="str">
        <f>IF(Transactions!$G772&lt;&gt;"",Transactions!$H772&amp;" "&amp;Transactions!$G772,)</f>
        <v/>
      </c>
    </row>
    <row r="773">
      <c r="A773" s="55" t="str">
        <f>IF(Transactions!$B773&lt;&gt;"",DATE(LEFT(Transactions!$B773,4),MID(Transactions!$B773,6,2),MID(Transactions!$B773,9,2)),)</f>
        <v/>
      </c>
      <c r="B773" s="56" t="str">
        <f>Transactions!$C773</f>
        <v/>
      </c>
      <c r="C773" s="51" t="str">
        <f t="array" ref="C773">IFERROR(INDEX(Portfolio!$B:$B, MATCH($B773, Portfolio!$A:$A, 0)),Transactions!$B773)</f>
        <v/>
      </c>
      <c r="D773" s="51" t="str">
        <f>IF($B773&lt;&gt;"",Transactions!$E773*1,)</f>
        <v/>
      </c>
      <c r="E773" s="51" t="str">
        <f>IF($B773&lt;&gt;"",Transactions!$F773*1,)</f>
        <v/>
      </c>
      <c r="F773" s="42" t="str">
        <f>IF(Transactions!$G773&lt;&gt;"",Transactions!$H773&amp;" "&amp;Transactions!$G773,)</f>
        <v/>
      </c>
    </row>
    <row r="774">
      <c r="A774" s="55" t="str">
        <f>IF(Transactions!$B774&lt;&gt;"",DATE(LEFT(Transactions!$B774,4),MID(Transactions!$B774,6,2),MID(Transactions!$B774,9,2)),)</f>
        <v/>
      </c>
      <c r="B774" s="56" t="str">
        <f>Transactions!$C774</f>
        <v/>
      </c>
      <c r="C774" s="51" t="str">
        <f t="array" ref="C774">IFERROR(INDEX(Portfolio!$B:$B, MATCH($B774, Portfolio!$A:$A, 0)),Transactions!$B774)</f>
        <v/>
      </c>
      <c r="D774" s="51" t="str">
        <f>IF($B774&lt;&gt;"",Transactions!$E774*1,)</f>
        <v/>
      </c>
      <c r="E774" s="51" t="str">
        <f>IF($B774&lt;&gt;"",Transactions!$F774*1,)</f>
        <v/>
      </c>
      <c r="F774" s="42" t="str">
        <f>IF(Transactions!$G774&lt;&gt;"",Transactions!$H774&amp;" "&amp;Transactions!$G774,)</f>
        <v/>
      </c>
    </row>
    <row r="775">
      <c r="A775" s="55" t="str">
        <f>IF(Transactions!$B775&lt;&gt;"",DATE(LEFT(Transactions!$B775,4),MID(Transactions!$B775,6,2),MID(Transactions!$B775,9,2)),)</f>
        <v/>
      </c>
      <c r="B775" s="56" t="str">
        <f>Transactions!$C775</f>
        <v/>
      </c>
      <c r="C775" s="51" t="str">
        <f t="array" ref="C775">IFERROR(INDEX(Portfolio!$B:$B, MATCH($B775, Portfolio!$A:$A, 0)),Transactions!$B775)</f>
        <v/>
      </c>
      <c r="D775" s="51" t="str">
        <f>IF($B775&lt;&gt;"",Transactions!$E775*1,)</f>
        <v/>
      </c>
      <c r="E775" s="51" t="str">
        <f>IF($B775&lt;&gt;"",Transactions!$F775*1,)</f>
        <v/>
      </c>
      <c r="F775" s="42" t="str">
        <f>IF(Transactions!$G775&lt;&gt;"",Transactions!$H775&amp;" "&amp;Transactions!$G775,)</f>
        <v/>
      </c>
    </row>
    <row r="776">
      <c r="A776" s="55" t="str">
        <f>IF(Transactions!$B776&lt;&gt;"",DATE(LEFT(Transactions!$B776,4),MID(Transactions!$B776,6,2),MID(Transactions!$B776,9,2)),)</f>
        <v/>
      </c>
      <c r="B776" s="56" t="str">
        <f>Transactions!$C776</f>
        <v/>
      </c>
      <c r="C776" s="51" t="str">
        <f t="array" ref="C776">IFERROR(INDEX(Portfolio!$B:$B, MATCH($B776, Portfolio!$A:$A, 0)),Transactions!$B776)</f>
        <v/>
      </c>
      <c r="D776" s="51" t="str">
        <f>IF($B776&lt;&gt;"",Transactions!$E776*1,)</f>
        <v/>
      </c>
      <c r="E776" s="51" t="str">
        <f>IF($B776&lt;&gt;"",Transactions!$F776*1,)</f>
        <v/>
      </c>
      <c r="F776" s="42" t="str">
        <f>IF(Transactions!$G776&lt;&gt;"",Transactions!$H776&amp;" "&amp;Transactions!$G776,)</f>
        <v/>
      </c>
    </row>
    <row r="777">
      <c r="A777" s="55" t="str">
        <f>IF(Transactions!$B777&lt;&gt;"",DATE(LEFT(Transactions!$B777,4),MID(Transactions!$B777,6,2),MID(Transactions!$B777,9,2)),)</f>
        <v/>
      </c>
      <c r="B777" s="56" t="str">
        <f>Transactions!$C777</f>
        <v/>
      </c>
      <c r="C777" s="51" t="str">
        <f t="array" ref="C777">IFERROR(INDEX(Portfolio!$B:$B, MATCH($B777, Portfolio!$A:$A, 0)),Transactions!$B777)</f>
        <v/>
      </c>
      <c r="D777" s="51" t="str">
        <f>IF($B777&lt;&gt;"",Transactions!$E777*1,)</f>
        <v/>
      </c>
      <c r="E777" s="51" t="str">
        <f>IF($B777&lt;&gt;"",Transactions!$F777*1,)</f>
        <v/>
      </c>
      <c r="F777" s="42" t="str">
        <f>IF(Transactions!$G777&lt;&gt;"",Transactions!$H777&amp;" "&amp;Transactions!$G777,)</f>
        <v/>
      </c>
    </row>
    <row r="778">
      <c r="A778" s="55" t="str">
        <f>IF(Transactions!$B778&lt;&gt;"",DATE(LEFT(Transactions!$B778,4),MID(Transactions!$B778,6,2),MID(Transactions!$B778,9,2)),)</f>
        <v/>
      </c>
      <c r="B778" s="56" t="str">
        <f>Transactions!$C778</f>
        <v/>
      </c>
      <c r="C778" s="51" t="str">
        <f t="array" ref="C778">IFERROR(INDEX(Portfolio!$B:$B, MATCH($B778, Portfolio!$A:$A, 0)),Transactions!$B778)</f>
        <v/>
      </c>
      <c r="D778" s="51" t="str">
        <f>IF($B778&lt;&gt;"",Transactions!$E778*1,)</f>
        <v/>
      </c>
      <c r="E778" s="51" t="str">
        <f>IF($B778&lt;&gt;"",Transactions!$F778*1,)</f>
        <v/>
      </c>
      <c r="F778" s="42" t="str">
        <f>IF(Transactions!$G778&lt;&gt;"",Transactions!$H778&amp;" "&amp;Transactions!$G778,)</f>
        <v/>
      </c>
    </row>
    <row r="779">
      <c r="A779" s="55" t="str">
        <f>IF(Transactions!$B779&lt;&gt;"",DATE(LEFT(Transactions!$B779,4),MID(Transactions!$B779,6,2),MID(Transactions!$B779,9,2)),)</f>
        <v/>
      </c>
      <c r="B779" s="56" t="str">
        <f>Transactions!$C779</f>
        <v/>
      </c>
      <c r="C779" s="51" t="str">
        <f t="array" ref="C779">IFERROR(INDEX(Portfolio!$B:$B, MATCH($B779, Portfolio!$A:$A, 0)),Transactions!$B779)</f>
        <v/>
      </c>
      <c r="D779" s="51" t="str">
        <f>IF($B779&lt;&gt;"",Transactions!$E779*1,)</f>
        <v/>
      </c>
      <c r="E779" s="51" t="str">
        <f>IF($B779&lt;&gt;"",Transactions!$F779*1,)</f>
        <v/>
      </c>
      <c r="F779" s="42" t="str">
        <f>IF(Transactions!$G779&lt;&gt;"",Transactions!$H779&amp;" "&amp;Transactions!$G779,)</f>
        <v/>
      </c>
    </row>
    <row r="780">
      <c r="A780" s="55" t="str">
        <f>IF(Transactions!$B780&lt;&gt;"",DATE(LEFT(Transactions!$B780,4),MID(Transactions!$B780,6,2),MID(Transactions!$B780,9,2)),)</f>
        <v/>
      </c>
      <c r="B780" s="56" t="str">
        <f>Transactions!$C780</f>
        <v/>
      </c>
      <c r="C780" s="51" t="str">
        <f t="array" ref="C780">IFERROR(INDEX(Portfolio!$B:$B, MATCH($B780, Portfolio!$A:$A, 0)),Transactions!$B780)</f>
        <v/>
      </c>
      <c r="D780" s="51" t="str">
        <f>IF($B780&lt;&gt;"",Transactions!$E780*1,)</f>
        <v/>
      </c>
      <c r="E780" s="51" t="str">
        <f>IF($B780&lt;&gt;"",Transactions!$F780*1,)</f>
        <v/>
      </c>
      <c r="F780" s="42" t="str">
        <f>IF(Transactions!$G780&lt;&gt;"",Transactions!$H780&amp;" "&amp;Transactions!$G780,)</f>
        <v/>
      </c>
    </row>
    <row r="781">
      <c r="A781" s="55" t="str">
        <f>IF(Transactions!$B781&lt;&gt;"",DATE(LEFT(Transactions!$B781,4),MID(Transactions!$B781,6,2),MID(Transactions!$B781,9,2)),)</f>
        <v/>
      </c>
      <c r="B781" s="56" t="str">
        <f>Transactions!$C781</f>
        <v/>
      </c>
      <c r="C781" s="51" t="str">
        <f t="array" ref="C781">IFERROR(INDEX(Portfolio!$B:$B, MATCH($B781, Portfolio!$A:$A, 0)),Transactions!$B781)</f>
        <v/>
      </c>
      <c r="D781" s="51" t="str">
        <f>IF($B781&lt;&gt;"",Transactions!$E781*1,)</f>
        <v/>
      </c>
      <c r="E781" s="51" t="str">
        <f>IF($B781&lt;&gt;"",Transactions!$F781*1,)</f>
        <v/>
      </c>
      <c r="F781" s="42" t="str">
        <f>IF(Transactions!$G781&lt;&gt;"",Transactions!$H781&amp;" "&amp;Transactions!$G781,)</f>
        <v/>
      </c>
    </row>
    <row r="782">
      <c r="A782" s="55" t="str">
        <f>IF(Transactions!$B782&lt;&gt;"",DATE(LEFT(Transactions!$B782,4),MID(Transactions!$B782,6,2),MID(Transactions!$B782,9,2)),)</f>
        <v/>
      </c>
      <c r="B782" s="56" t="str">
        <f>Transactions!$C782</f>
        <v/>
      </c>
      <c r="C782" s="51" t="str">
        <f t="array" ref="C782">IFERROR(INDEX(Portfolio!$B:$B, MATCH($B782, Portfolio!$A:$A, 0)),Transactions!$B782)</f>
        <v/>
      </c>
      <c r="D782" s="51" t="str">
        <f>IF($B782&lt;&gt;"",Transactions!$E782*1,)</f>
        <v/>
      </c>
      <c r="E782" s="51" t="str">
        <f>IF($B782&lt;&gt;"",Transactions!$F782*1,)</f>
        <v/>
      </c>
      <c r="F782" s="42" t="str">
        <f>IF(Transactions!$G782&lt;&gt;"",Transactions!$H782&amp;" "&amp;Transactions!$G782,)</f>
        <v/>
      </c>
    </row>
    <row r="783">
      <c r="A783" s="55" t="str">
        <f>IF(Transactions!$B783&lt;&gt;"",DATE(LEFT(Transactions!$B783,4),MID(Transactions!$B783,6,2),MID(Transactions!$B783,9,2)),)</f>
        <v/>
      </c>
      <c r="B783" s="56" t="str">
        <f>Transactions!$C783</f>
        <v/>
      </c>
      <c r="C783" s="51" t="str">
        <f t="array" ref="C783">IFERROR(INDEX(Portfolio!$B:$B, MATCH($B783, Portfolio!$A:$A, 0)),Transactions!$B783)</f>
        <v/>
      </c>
      <c r="D783" s="51" t="str">
        <f>IF($B783&lt;&gt;"",Transactions!$E783*1,)</f>
        <v/>
      </c>
      <c r="E783" s="51" t="str">
        <f>IF($B783&lt;&gt;"",Transactions!$F783*1,)</f>
        <v/>
      </c>
      <c r="F783" s="42" t="str">
        <f>IF(Transactions!$G783&lt;&gt;"",Transactions!$H783&amp;" "&amp;Transactions!$G783,)</f>
        <v/>
      </c>
    </row>
    <row r="784">
      <c r="A784" s="55" t="str">
        <f>IF(Transactions!$B784&lt;&gt;"",DATE(LEFT(Transactions!$B784,4),MID(Transactions!$B784,6,2),MID(Transactions!$B784,9,2)),)</f>
        <v/>
      </c>
      <c r="B784" s="56" t="str">
        <f>Transactions!$C784</f>
        <v/>
      </c>
      <c r="C784" s="51" t="str">
        <f t="array" ref="C784">IFERROR(INDEX(Portfolio!$B:$B, MATCH($B784, Portfolio!$A:$A, 0)),Transactions!$B784)</f>
        <v/>
      </c>
      <c r="D784" s="51" t="str">
        <f>IF($B784&lt;&gt;"",Transactions!$E784*1,)</f>
        <v/>
      </c>
      <c r="E784" s="51" t="str">
        <f>IF($B784&lt;&gt;"",Transactions!$F784*1,)</f>
        <v/>
      </c>
      <c r="F784" s="42" t="str">
        <f>IF(Transactions!$G784&lt;&gt;"",Transactions!$H784&amp;" "&amp;Transactions!$G784,)</f>
        <v/>
      </c>
    </row>
    <row r="785">
      <c r="A785" s="55" t="str">
        <f>IF(Transactions!$B785&lt;&gt;"",DATE(LEFT(Transactions!$B785,4),MID(Transactions!$B785,6,2),MID(Transactions!$B785,9,2)),)</f>
        <v/>
      </c>
      <c r="B785" s="56" t="str">
        <f>Transactions!$C785</f>
        <v/>
      </c>
      <c r="C785" s="51" t="str">
        <f t="array" ref="C785">IFERROR(INDEX(Portfolio!$B:$B, MATCH($B785, Portfolio!$A:$A, 0)),Transactions!$B785)</f>
        <v/>
      </c>
      <c r="D785" s="51" t="str">
        <f>IF($B785&lt;&gt;"",Transactions!$E785*1,)</f>
        <v/>
      </c>
      <c r="E785" s="51" t="str">
        <f>IF($B785&lt;&gt;"",Transactions!$F785*1,)</f>
        <v/>
      </c>
      <c r="F785" s="42" t="str">
        <f>IF(Transactions!$G785&lt;&gt;"",Transactions!$H785&amp;" "&amp;Transactions!$G785,)</f>
        <v/>
      </c>
    </row>
    <row r="786">
      <c r="A786" s="55" t="str">
        <f>IF(Transactions!$B786&lt;&gt;"",DATE(LEFT(Transactions!$B786,4),MID(Transactions!$B786,6,2),MID(Transactions!$B786,9,2)),)</f>
        <v/>
      </c>
      <c r="B786" s="56" t="str">
        <f>Transactions!$C786</f>
        <v/>
      </c>
      <c r="C786" s="51" t="str">
        <f t="array" ref="C786">IFERROR(INDEX(Portfolio!$B:$B, MATCH($B786, Portfolio!$A:$A, 0)),Transactions!$B786)</f>
        <v/>
      </c>
      <c r="D786" s="51" t="str">
        <f>IF($B786&lt;&gt;"",Transactions!$E786*1,)</f>
        <v/>
      </c>
      <c r="E786" s="51" t="str">
        <f>IF($B786&lt;&gt;"",Transactions!$F786*1,)</f>
        <v/>
      </c>
      <c r="F786" s="42" t="str">
        <f>IF(Transactions!$G786&lt;&gt;"",Transactions!$H786&amp;" "&amp;Transactions!$G786,)</f>
        <v/>
      </c>
    </row>
    <row r="787">
      <c r="A787" s="55" t="str">
        <f>IF(Transactions!$B787&lt;&gt;"",DATE(LEFT(Transactions!$B787,4),MID(Transactions!$B787,6,2),MID(Transactions!$B787,9,2)),)</f>
        <v/>
      </c>
      <c r="B787" s="56" t="str">
        <f>Transactions!$C787</f>
        <v/>
      </c>
      <c r="C787" s="51" t="str">
        <f t="array" ref="C787">IFERROR(INDEX(Portfolio!$B:$B, MATCH($B787, Portfolio!$A:$A, 0)),Transactions!$B787)</f>
        <v/>
      </c>
      <c r="D787" s="51" t="str">
        <f>IF($B787&lt;&gt;"",Transactions!$E787*1,)</f>
        <v/>
      </c>
      <c r="E787" s="51" t="str">
        <f>IF($B787&lt;&gt;"",Transactions!$F787*1,)</f>
        <v/>
      </c>
      <c r="F787" s="42" t="str">
        <f>IF(Transactions!$G787&lt;&gt;"",Transactions!$H787&amp;" "&amp;Transactions!$G787,)</f>
        <v/>
      </c>
    </row>
    <row r="788">
      <c r="A788" s="55" t="str">
        <f>IF(Transactions!$B788&lt;&gt;"",DATE(LEFT(Transactions!$B788,4),MID(Transactions!$B788,6,2),MID(Transactions!$B788,9,2)),)</f>
        <v/>
      </c>
      <c r="B788" s="56" t="str">
        <f>Transactions!$C788</f>
        <v/>
      </c>
      <c r="C788" s="51" t="str">
        <f t="array" ref="C788">IFERROR(INDEX(Portfolio!$B:$B, MATCH($B788, Portfolio!$A:$A, 0)),Transactions!$B788)</f>
        <v/>
      </c>
      <c r="D788" s="51" t="str">
        <f>IF($B788&lt;&gt;"",Transactions!$E788*1,)</f>
        <v/>
      </c>
      <c r="E788" s="51" t="str">
        <f>IF($B788&lt;&gt;"",Transactions!$F788*1,)</f>
        <v/>
      </c>
      <c r="F788" s="42" t="str">
        <f>IF(Transactions!$G788&lt;&gt;"",Transactions!$H788&amp;" "&amp;Transactions!$G788,)</f>
        <v/>
      </c>
    </row>
    <row r="789">
      <c r="A789" s="55" t="str">
        <f>IF(Transactions!$B789&lt;&gt;"",DATE(LEFT(Transactions!$B789,4),MID(Transactions!$B789,6,2),MID(Transactions!$B789,9,2)),)</f>
        <v/>
      </c>
      <c r="B789" s="56" t="str">
        <f>Transactions!$C789</f>
        <v/>
      </c>
      <c r="C789" s="51" t="str">
        <f t="array" ref="C789">IFERROR(INDEX(Portfolio!$B:$B, MATCH($B789, Portfolio!$A:$A, 0)),Transactions!$B789)</f>
        <v/>
      </c>
      <c r="D789" s="51" t="str">
        <f>IF($B789&lt;&gt;"",Transactions!$E789*1,)</f>
        <v/>
      </c>
      <c r="E789" s="51" t="str">
        <f>IF($B789&lt;&gt;"",Transactions!$F789*1,)</f>
        <v/>
      </c>
      <c r="F789" s="42" t="str">
        <f>IF(Transactions!$G789&lt;&gt;"",Transactions!$H789&amp;" "&amp;Transactions!$G789,)</f>
        <v/>
      </c>
    </row>
    <row r="790">
      <c r="A790" s="55" t="str">
        <f>IF(Transactions!$B790&lt;&gt;"",DATE(LEFT(Transactions!$B790,4),MID(Transactions!$B790,6,2),MID(Transactions!$B790,9,2)),)</f>
        <v/>
      </c>
      <c r="B790" s="56" t="str">
        <f>Transactions!$C790</f>
        <v/>
      </c>
      <c r="C790" s="51" t="str">
        <f t="array" ref="C790">IFERROR(INDEX(Portfolio!$B:$B, MATCH($B790, Portfolio!$A:$A, 0)),Transactions!$B790)</f>
        <v/>
      </c>
      <c r="D790" s="51" t="str">
        <f>IF($B790&lt;&gt;"",Transactions!$E790*1,)</f>
        <v/>
      </c>
      <c r="E790" s="51" t="str">
        <f>IF($B790&lt;&gt;"",Transactions!$F790*1,)</f>
        <v/>
      </c>
      <c r="F790" s="42" t="str">
        <f>IF(Transactions!$G790&lt;&gt;"",Transactions!$H790&amp;" "&amp;Transactions!$G790,)</f>
        <v/>
      </c>
    </row>
    <row r="791">
      <c r="A791" s="55" t="str">
        <f>IF(Transactions!$B791&lt;&gt;"",DATE(LEFT(Transactions!$B791,4),MID(Transactions!$B791,6,2),MID(Transactions!$B791,9,2)),)</f>
        <v/>
      </c>
      <c r="B791" s="56" t="str">
        <f>Transactions!$C791</f>
        <v/>
      </c>
      <c r="C791" s="51" t="str">
        <f t="array" ref="C791">IFERROR(INDEX(Portfolio!$B:$B, MATCH($B791, Portfolio!$A:$A, 0)),Transactions!$B791)</f>
        <v/>
      </c>
      <c r="D791" s="51" t="str">
        <f>IF($B791&lt;&gt;"",Transactions!$E791*1,)</f>
        <v/>
      </c>
      <c r="E791" s="51" t="str">
        <f>IF($B791&lt;&gt;"",Transactions!$F791*1,)</f>
        <v/>
      </c>
      <c r="F791" s="42" t="str">
        <f>IF(Transactions!$G791&lt;&gt;"",Transactions!$H791&amp;" "&amp;Transactions!$G791,)</f>
        <v/>
      </c>
    </row>
    <row r="792">
      <c r="A792" s="55" t="str">
        <f>IF(Transactions!$B792&lt;&gt;"",DATE(LEFT(Transactions!$B792,4),MID(Transactions!$B792,6,2),MID(Transactions!$B792,9,2)),)</f>
        <v/>
      </c>
      <c r="B792" s="56" t="str">
        <f>Transactions!$C792</f>
        <v/>
      </c>
      <c r="C792" s="51" t="str">
        <f t="array" ref="C792">IFERROR(INDEX(Portfolio!$B:$B, MATCH($B792, Portfolio!$A:$A, 0)),Transactions!$B792)</f>
        <v/>
      </c>
      <c r="D792" s="51" t="str">
        <f>IF($B792&lt;&gt;"",Transactions!$E792*1,)</f>
        <v/>
      </c>
      <c r="E792" s="51" t="str">
        <f>IF($B792&lt;&gt;"",Transactions!$F792*1,)</f>
        <v/>
      </c>
      <c r="F792" s="42" t="str">
        <f>IF(Transactions!$G792&lt;&gt;"",Transactions!$H792&amp;" "&amp;Transactions!$G792,)</f>
        <v/>
      </c>
    </row>
    <row r="793">
      <c r="A793" s="55" t="str">
        <f>IF(Transactions!$B793&lt;&gt;"",DATE(LEFT(Transactions!$B793,4),MID(Transactions!$B793,6,2),MID(Transactions!$B793,9,2)),)</f>
        <v/>
      </c>
      <c r="B793" s="56" t="str">
        <f>Transactions!$C793</f>
        <v/>
      </c>
      <c r="C793" s="51" t="str">
        <f t="array" ref="C793">IFERROR(INDEX(Portfolio!$B:$B, MATCH($B793, Portfolio!$A:$A, 0)),Transactions!$B793)</f>
        <v/>
      </c>
      <c r="D793" s="51" t="str">
        <f>IF($B793&lt;&gt;"",Transactions!$E793*1,)</f>
        <v/>
      </c>
      <c r="E793" s="51" t="str">
        <f>IF($B793&lt;&gt;"",Transactions!$F793*1,)</f>
        <v/>
      </c>
      <c r="F793" s="42" t="str">
        <f>IF(Transactions!$G793&lt;&gt;"",Transactions!$H793&amp;" "&amp;Transactions!$G793,)</f>
        <v/>
      </c>
    </row>
    <row r="794">
      <c r="A794" s="55" t="str">
        <f>IF(Transactions!$B794&lt;&gt;"",DATE(LEFT(Transactions!$B794,4),MID(Transactions!$B794,6,2),MID(Transactions!$B794,9,2)),)</f>
        <v/>
      </c>
      <c r="B794" s="56" t="str">
        <f>Transactions!$C794</f>
        <v/>
      </c>
      <c r="C794" s="51" t="str">
        <f t="array" ref="C794">IFERROR(INDEX(Portfolio!$B:$B, MATCH($B794, Portfolio!$A:$A, 0)),Transactions!$B794)</f>
        <v/>
      </c>
      <c r="D794" s="51" t="str">
        <f>IF($B794&lt;&gt;"",Transactions!$E794*1,)</f>
        <v/>
      </c>
      <c r="E794" s="51" t="str">
        <f>IF($B794&lt;&gt;"",Transactions!$F794*1,)</f>
        <v/>
      </c>
      <c r="F794" s="42" t="str">
        <f>IF(Transactions!$G794&lt;&gt;"",Transactions!$H794&amp;" "&amp;Transactions!$G794,)</f>
        <v/>
      </c>
    </row>
    <row r="795">
      <c r="A795" s="55" t="str">
        <f>IF(Transactions!$B795&lt;&gt;"",DATE(LEFT(Transactions!$B795,4),MID(Transactions!$B795,6,2),MID(Transactions!$B795,9,2)),)</f>
        <v/>
      </c>
      <c r="B795" s="56" t="str">
        <f>Transactions!$C795</f>
        <v/>
      </c>
      <c r="C795" s="51" t="str">
        <f t="array" ref="C795">IFERROR(INDEX(Portfolio!$B:$B, MATCH($B795, Portfolio!$A:$A, 0)),Transactions!$B795)</f>
        <v/>
      </c>
      <c r="D795" s="51" t="str">
        <f>IF($B795&lt;&gt;"",Transactions!$E795*1,)</f>
        <v/>
      </c>
      <c r="E795" s="51" t="str">
        <f>IF($B795&lt;&gt;"",Transactions!$F795*1,)</f>
        <v/>
      </c>
      <c r="F795" s="42" t="str">
        <f>IF(Transactions!$G795&lt;&gt;"",Transactions!$H795&amp;" "&amp;Transactions!$G795,)</f>
        <v/>
      </c>
    </row>
    <row r="796">
      <c r="A796" s="55" t="str">
        <f>IF(Transactions!$B796&lt;&gt;"",DATE(LEFT(Transactions!$B796,4),MID(Transactions!$B796,6,2),MID(Transactions!$B796,9,2)),)</f>
        <v/>
      </c>
      <c r="B796" s="56" t="str">
        <f>Transactions!$C796</f>
        <v/>
      </c>
      <c r="C796" s="51" t="str">
        <f t="array" ref="C796">IFERROR(INDEX(Portfolio!$B:$B, MATCH($B796, Portfolio!$A:$A, 0)),Transactions!$B796)</f>
        <v/>
      </c>
      <c r="D796" s="51" t="str">
        <f>IF($B796&lt;&gt;"",Transactions!$E796*1,)</f>
        <v/>
      </c>
      <c r="E796" s="51" t="str">
        <f>IF($B796&lt;&gt;"",Transactions!$F796*1,)</f>
        <v/>
      </c>
      <c r="F796" s="42" t="str">
        <f>IF(Transactions!$G796&lt;&gt;"",Transactions!$H796&amp;" "&amp;Transactions!$G796,)</f>
        <v/>
      </c>
    </row>
    <row r="797">
      <c r="A797" s="55" t="str">
        <f>IF(Transactions!$B797&lt;&gt;"",DATE(LEFT(Transactions!$B797,4),MID(Transactions!$B797,6,2),MID(Transactions!$B797,9,2)),)</f>
        <v/>
      </c>
      <c r="B797" s="56" t="str">
        <f>Transactions!$C797</f>
        <v/>
      </c>
      <c r="C797" s="51" t="str">
        <f t="array" ref="C797">IFERROR(INDEX(Portfolio!$B:$B, MATCH($B797, Portfolio!$A:$A, 0)),Transactions!$B797)</f>
        <v/>
      </c>
      <c r="D797" s="51" t="str">
        <f>IF($B797&lt;&gt;"",Transactions!$E797*1,)</f>
        <v/>
      </c>
      <c r="E797" s="51" t="str">
        <f>IF($B797&lt;&gt;"",Transactions!$F797*1,)</f>
        <v/>
      </c>
      <c r="F797" s="42" t="str">
        <f>IF(Transactions!$G797&lt;&gt;"",Transactions!$H797&amp;" "&amp;Transactions!$G797,)</f>
        <v/>
      </c>
    </row>
    <row r="798">
      <c r="A798" s="55" t="str">
        <f>IF(Transactions!$B798&lt;&gt;"",DATE(LEFT(Transactions!$B798,4),MID(Transactions!$B798,6,2),MID(Transactions!$B798,9,2)),)</f>
        <v/>
      </c>
      <c r="B798" s="56" t="str">
        <f>Transactions!$C798</f>
        <v/>
      </c>
      <c r="C798" s="51" t="str">
        <f t="array" ref="C798">IFERROR(INDEX(Portfolio!$B:$B, MATCH($B798, Portfolio!$A:$A, 0)),Transactions!$B798)</f>
        <v/>
      </c>
      <c r="D798" s="51" t="str">
        <f>IF($B798&lt;&gt;"",Transactions!$E798*1,)</f>
        <v/>
      </c>
      <c r="E798" s="51" t="str">
        <f>IF($B798&lt;&gt;"",Transactions!$F798*1,)</f>
        <v/>
      </c>
      <c r="F798" s="42" t="str">
        <f>IF(Transactions!$G798&lt;&gt;"",Transactions!$H798&amp;" "&amp;Transactions!$G798,)</f>
        <v/>
      </c>
    </row>
    <row r="799">
      <c r="A799" s="55" t="str">
        <f>IF(Transactions!$B799&lt;&gt;"",DATE(LEFT(Transactions!$B799,4),MID(Transactions!$B799,6,2),MID(Transactions!$B799,9,2)),)</f>
        <v/>
      </c>
      <c r="B799" s="56" t="str">
        <f>Transactions!$C799</f>
        <v/>
      </c>
      <c r="C799" s="51" t="str">
        <f t="array" ref="C799">IFERROR(INDEX(Portfolio!$B:$B, MATCH($B799, Portfolio!$A:$A, 0)),Transactions!$B799)</f>
        <v/>
      </c>
      <c r="D799" s="51" t="str">
        <f>IF($B799&lt;&gt;"",Transactions!$E799*1,)</f>
        <v/>
      </c>
      <c r="E799" s="51" t="str">
        <f>IF($B799&lt;&gt;"",Transactions!$F799*1,)</f>
        <v/>
      </c>
      <c r="F799" s="42" t="str">
        <f>IF(Transactions!$G799&lt;&gt;"",Transactions!$H799&amp;" "&amp;Transactions!$G799,)</f>
        <v/>
      </c>
    </row>
    <row r="800">
      <c r="A800" s="55" t="str">
        <f>IF(Transactions!$B800&lt;&gt;"",DATE(LEFT(Transactions!$B800,4),MID(Transactions!$B800,6,2),MID(Transactions!$B800,9,2)),)</f>
        <v/>
      </c>
      <c r="B800" s="56" t="str">
        <f>Transactions!$C800</f>
        <v/>
      </c>
      <c r="C800" s="51" t="str">
        <f t="array" ref="C800">IFERROR(INDEX(Portfolio!$B:$B, MATCH($B800, Portfolio!$A:$A, 0)),Transactions!$B800)</f>
        <v/>
      </c>
      <c r="D800" s="51" t="str">
        <f>IF($B800&lt;&gt;"",Transactions!$E800*1,)</f>
        <v/>
      </c>
      <c r="E800" s="51" t="str">
        <f>IF($B800&lt;&gt;"",Transactions!$F800*1,)</f>
        <v/>
      </c>
      <c r="F800" s="42" t="str">
        <f>IF(Transactions!$G800&lt;&gt;"",Transactions!$H800&amp;" "&amp;Transactions!$G800,)</f>
        <v/>
      </c>
    </row>
    <row r="801">
      <c r="A801" s="55" t="str">
        <f>IF(Transactions!$B801&lt;&gt;"",DATE(LEFT(Transactions!$B801,4),MID(Transactions!$B801,6,2),MID(Transactions!$B801,9,2)),)</f>
        <v/>
      </c>
      <c r="B801" s="56" t="str">
        <f>Transactions!$C801</f>
        <v/>
      </c>
      <c r="C801" s="51" t="str">
        <f t="array" ref="C801">IFERROR(INDEX(Portfolio!$B:$B, MATCH($B801, Portfolio!$A:$A, 0)),Transactions!$B801)</f>
        <v/>
      </c>
      <c r="D801" s="51" t="str">
        <f>IF($B801&lt;&gt;"",Transactions!$E801*1,)</f>
        <v/>
      </c>
      <c r="E801" s="51" t="str">
        <f>IF($B801&lt;&gt;"",Transactions!$F801*1,)</f>
        <v/>
      </c>
      <c r="F801" s="42" t="str">
        <f>IF(Transactions!$G801&lt;&gt;"",Transactions!$H801&amp;" "&amp;Transactions!$G801,)</f>
        <v/>
      </c>
    </row>
    <row r="802">
      <c r="A802" s="55" t="str">
        <f>IF(Transactions!$B802&lt;&gt;"",DATE(LEFT(Transactions!$B802,4),MID(Transactions!$B802,6,2),MID(Transactions!$B802,9,2)),)</f>
        <v/>
      </c>
      <c r="B802" s="56" t="str">
        <f>Transactions!$C802</f>
        <v/>
      </c>
      <c r="C802" s="51" t="str">
        <f t="array" ref="C802">IFERROR(INDEX(Portfolio!$B:$B, MATCH($B802, Portfolio!$A:$A, 0)),Transactions!$B802)</f>
        <v/>
      </c>
      <c r="D802" s="51" t="str">
        <f>IF($B802&lt;&gt;"",Transactions!$E802*1,)</f>
        <v/>
      </c>
      <c r="E802" s="51" t="str">
        <f>IF($B802&lt;&gt;"",Transactions!$F802*1,)</f>
        <v/>
      </c>
      <c r="F802" s="42" t="str">
        <f>IF(Transactions!$G802&lt;&gt;"",Transactions!$H802&amp;" "&amp;Transactions!$G802,)</f>
        <v/>
      </c>
    </row>
    <row r="803">
      <c r="A803" s="55" t="str">
        <f>IF(Transactions!$B803&lt;&gt;"",DATE(LEFT(Transactions!$B803,4),MID(Transactions!$B803,6,2),MID(Transactions!$B803,9,2)),)</f>
        <v/>
      </c>
      <c r="B803" s="56" t="str">
        <f>Transactions!$C803</f>
        <v/>
      </c>
      <c r="C803" s="51" t="str">
        <f t="array" ref="C803">IFERROR(INDEX(Portfolio!$B:$B, MATCH($B803, Portfolio!$A:$A, 0)),Transactions!$B803)</f>
        <v/>
      </c>
      <c r="D803" s="51" t="str">
        <f>IF($B803&lt;&gt;"",Transactions!$E803*1,)</f>
        <v/>
      </c>
      <c r="E803" s="51" t="str">
        <f>IF($B803&lt;&gt;"",Transactions!$F803*1,)</f>
        <v/>
      </c>
      <c r="F803" s="42" t="str">
        <f>IF(Transactions!$G803&lt;&gt;"",Transactions!$H803&amp;" "&amp;Transactions!$G803,)</f>
        <v/>
      </c>
    </row>
    <row r="804">
      <c r="A804" s="55" t="str">
        <f>IF(Transactions!$B804&lt;&gt;"",DATE(LEFT(Transactions!$B804,4),MID(Transactions!$B804,6,2),MID(Transactions!$B804,9,2)),)</f>
        <v/>
      </c>
      <c r="B804" s="56" t="str">
        <f>Transactions!$C804</f>
        <v/>
      </c>
      <c r="C804" s="51" t="str">
        <f t="array" ref="C804">IFERROR(INDEX(Portfolio!$B:$B, MATCH($B804, Portfolio!$A:$A, 0)),Transactions!$B804)</f>
        <v/>
      </c>
      <c r="D804" s="51" t="str">
        <f>IF($B804&lt;&gt;"",Transactions!$E804*1,)</f>
        <v/>
      </c>
      <c r="E804" s="51" t="str">
        <f>IF($B804&lt;&gt;"",Transactions!$F804*1,)</f>
        <v/>
      </c>
      <c r="F804" s="42" t="str">
        <f>IF(Transactions!$G804&lt;&gt;"",Transactions!$H804&amp;" "&amp;Transactions!$G804,)</f>
        <v/>
      </c>
    </row>
    <row r="805">
      <c r="A805" s="55" t="str">
        <f>IF(Transactions!$B805&lt;&gt;"",DATE(LEFT(Transactions!$B805,4),MID(Transactions!$B805,6,2),MID(Transactions!$B805,9,2)),)</f>
        <v/>
      </c>
      <c r="B805" s="56" t="str">
        <f>Transactions!$C805</f>
        <v/>
      </c>
      <c r="C805" s="51" t="str">
        <f t="array" ref="C805">IFERROR(INDEX(Portfolio!$B:$B, MATCH($B805, Portfolio!$A:$A, 0)),Transactions!$B805)</f>
        <v/>
      </c>
      <c r="D805" s="51" t="str">
        <f>IF($B805&lt;&gt;"",Transactions!$E805*1,)</f>
        <v/>
      </c>
      <c r="E805" s="51" t="str">
        <f>IF($B805&lt;&gt;"",Transactions!$F805*1,)</f>
        <v/>
      </c>
      <c r="F805" s="42" t="str">
        <f>IF(Transactions!$G805&lt;&gt;"",Transactions!$H805&amp;" "&amp;Transactions!$G805,)</f>
        <v/>
      </c>
    </row>
    <row r="806">
      <c r="A806" s="55" t="str">
        <f>IF(Transactions!$B806&lt;&gt;"",DATE(LEFT(Transactions!$B806,4),MID(Transactions!$B806,6,2),MID(Transactions!$B806,9,2)),)</f>
        <v/>
      </c>
      <c r="B806" s="56" t="str">
        <f>Transactions!$C806</f>
        <v/>
      </c>
      <c r="C806" s="51" t="str">
        <f t="array" ref="C806">IFERROR(INDEX(Portfolio!$B:$B, MATCH($B806, Portfolio!$A:$A, 0)),Transactions!$B806)</f>
        <v/>
      </c>
      <c r="D806" s="51" t="str">
        <f>IF($B806&lt;&gt;"",Transactions!$E806*1,)</f>
        <v/>
      </c>
      <c r="E806" s="51" t="str">
        <f>IF($B806&lt;&gt;"",Transactions!$F806*1,)</f>
        <v/>
      </c>
      <c r="F806" s="42" t="str">
        <f>IF(Transactions!$G806&lt;&gt;"",Transactions!$H806&amp;" "&amp;Transactions!$G806,)</f>
        <v/>
      </c>
    </row>
    <row r="807">
      <c r="A807" s="55" t="str">
        <f>IF(Transactions!$B807&lt;&gt;"",DATE(LEFT(Transactions!$B807,4),MID(Transactions!$B807,6,2),MID(Transactions!$B807,9,2)),)</f>
        <v/>
      </c>
      <c r="B807" s="56" t="str">
        <f>Transactions!$C807</f>
        <v/>
      </c>
      <c r="C807" s="51" t="str">
        <f t="array" ref="C807">IFERROR(INDEX(Portfolio!$B:$B, MATCH($B807, Portfolio!$A:$A, 0)),Transactions!$B807)</f>
        <v/>
      </c>
      <c r="D807" s="51" t="str">
        <f>IF($B807&lt;&gt;"",Transactions!$E807*1,)</f>
        <v/>
      </c>
      <c r="E807" s="51" t="str">
        <f>IF($B807&lt;&gt;"",Transactions!$F807*1,)</f>
        <v/>
      </c>
      <c r="F807" s="42" t="str">
        <f>IF(Transactions!$G807&lt;&gt;"",Transactions!$H807&amp;" "&amp;Transactions!$G807,)</f>
        <v/>
      </c>
    </row>
    <row r="808">
      <c r="A808" s="55" t="str">
        <f>IF(Transactions!$B808&lt;&gt;"",DATE(LEFT(Transactions!$B808,4),MID(Transactions!$B808,6,2),MID(Transactions!$B808,9,2)),)</f>
        <v/>
      </c>
      <c r="B808" s="56" t="str">
        <f>Transactions!$C808</f>
        <v/>
      </c>
      <c r="C808" s="51" t="str">
        <f t="array" ref="C808">IFERROR(INDEX(Portfolio!$B:$B, MATCH($B808, Portfolio!$A:$A, 0)),Transactions!$B808)</f>
        <v/>
      </c>
      <c r="D808" s="51" t="str">
        <f>IF($B808&lt;&gt;"",Transactions!$E808*1,)</f>
        <v/>
      </c>
      <c r="E808" s="51" t="str">
        <f>IF($B808&lt;&gt;"",Transactions!$F808*1,)</f>
        <v/>
      </c>
      <c r="F808" s="42" t="str">
        <f>IF(Transactions!$G808&lt;&gt;"",Transactions!$H808&amp;" "&amp;Transactions!$G808,)</f>
        <v/>
      </c>
    </row>
    <row r="809">
      <c r="A809" s="55" t="str">
        <f>IF(Transactions!$B809&lt;&gt;"",DATE(LEFT(Transactions!$B809,4),MID(Transactions!$B809,6,2),MID(Transactions!$B809,9,2)),)</f>
        <v/>
      </c>
      <c r="B809" s="56" t="str">
        <f>Transactions!$C809</f>
        <v/>
      </c>
      <c r="C809" s="51" t="str">
        <f t="array" ref="C809">IFERROR(INDEX(Portfolio!$B:$B, MATCH($B809, Portfolio!$A:$A, 0)),Transactions!$B809)</f>
        <v/>
      </c>
      <c r="D809" s="51" t="str">
        <f>IF($B809&lt;&gt;"",Transactions!$E809*1,)</f>
        <v/>
      </c>
      <c r="E809" s="51" t="str">
        <f>IF($B809&lt;&gt;"",Transactions!$F809*1,)</f>
        <v/>
      </c>
      <c r="F809" s="42" t="str">
        <f>IF(Transactions!$G809&lt;&gt;"",Transactions!$H809&amp;" "&amp;Transactions!$G809,)</f>
        <v/>
      </c>
    </row>
    <row r="810">
      <c r="A810" s="55" t="str">
        <f>IF(Transactions!$B810&lt;&gt;"",DATE(LEFT(Transactions!$B810,4),MID(Transactions!$B810,6,2),MID(Transactions!$B810,9,2)),)</f>
        <v/>
      </c>
      <c r="B810" s="56" t="str">
        <f>Transactions!$C810</f>
        <v/>
      </c>
      <c r="C810" s="51" t="str">
        <f t="array" ref="C810">IFERROR(INDEX(Portfolio!$B:$B, MATCH($B810, Portfolio!$A:$A, 0)),Transactions!$B810)</f>
        <v/>
      </c>
      <c r="D810" s="51" t="str">
        <f>IF($B810&lt;&gt;"",Transactions!$E810*1,)</f>
        <v/>
      </c>
      <c r="E810" s="51" t="str">
        <f>IF($B810&lt;&gt;"",Transactions!$F810*1,)</f>
        <v/>
      </c>
      <c r="F810" s="42" t="str">
        <f>IF(Transactions!$G810&lt;&gt;"",Transactions!$H810&amp;" "&amp;Transactions!$G810,)</f>
        <v/>
      </c>
    </row>
    <row r="811">
      <c r="A811" s="55" t="str">
        <f>IF(Transactions!$B811&lt;&gt;"",DATE(LEFT(Transactions!$B811,4),MID(Transactions!$B811,6,2),MID(Transactions!$B811,9,2)),)</f>
        <v/>
      </c>
      <c r="B811" s="56" t="str">
        <f>Transactions!$C811</f>
        <v/>
      </c>
      <c r="C811" s="51" t="str">
        <f t="array" ref="C811">IFERROR(INDEX(Portfolio!$B:$B, MATCH($B811, Portfolio!$A:$A, 0)),Transactions!$B811)</f>
        <v/>
      </c>
      <c r="D811" s="51" t="str">
        <f>IF($B811&lt;&gt;"",Transactions!$E811*1,)</f>
        <v/>
      </c>
      <c r="E811" s="51" t="str">
        <f>IF($B811&lt;&gt;"",Transactions!$F811*1,)</f>
        <v/>
      </c>
      <c r="F811" s="42" t="str">
        <f>IF(Transactions!$G811&lt;&gt;"",Transactions!$H811&amp;" "&amp;Transactions!$G811,)</f>
        <v/>
      </c>
    </row>
    <row r="812">
      <c r="A812" s="55" t="str">
        <f>IF(Transactions!$B812&lt;&gt;"",DATE(LEFT(Transactions!$B812,4),MID(Transactions!$B812,6,2),MID(Transactions!$B812,9,2)),)</f>
        <v/>
      </c>
      <c r="B812" s="56" t="str">
        <f>Transactions!$C812</f>
        <v/>
      </c>
      <c r="C812" s="51" t="str">
        <f t="array" ref="C812">IFERROR(INDEX(Portfolio!$B:$B, MATCH($B812, Portfolio!$A:$A, 0)),Transactions!$B812)</f>
        <v/>
      </c>
      <c r="D812" s="51" t="str">
        <f>IF($B812&lt;&gt;"",Transactions!$E812*1,)</f>
        <v/>
      </c>
      <c r="E812" s="51" t="str">
        <f>IF($B812&lt;&gt;"",Transactions!$F812*1,)</f>
        <v/>
      </c>
      <c r="F812" s="42" t="str">
        <f>IF(Transactions!$G812&lt;&gt;"",Transactions!$H812&amp;" "&amp;Transactions!$G812,)</f>
        <v/>
      </c>
    </row>
    <row r="813">
      <c r="A813" s="55" t="str">
        <f>IF(Transactions!$B813&lt;&gt;"",DATE(LEFT(Transactions!$B813,4),MID(Transactions!$B813,6,2),MID(Transactions!$B813,9,2)),)</f>
        <v/>
      </c>
      <c r="B813" s="56" t="str">
        <f>Transactions!$C813</f>
        <v/>
      </c>
      <c r="C813" s="51" t="str">
        <f t="array" ref="C813">IFERROR(INDEX(Portfolio!$B:$B, MATCH($B813, Portfolio!$A:$A, 0)),Transactions!$B813)</f>
        <v/>
      </c>
      <c r="D813" s="51" t="str">
        <f>IF($B813&lt;&gt;"",Transactions!$E813*1,)</f>
        <v/>
      </c>
      <c r="E813" s="51" t="str">
        <f>IF($B813&lt;&gt;"",Transactions!$F813*1,)</f>
        <v/>
      </c>
      <c r="F813" s="42" t="str">
        <f>IF(Transactions!$G813&lt;&gt;"",Transactions!$H813&amp;" "&amp;Transactions!$G813,)</f>
        <v/>
      </c>
    </row>
    <row r="814">
      <c r="A814" s="55" t="str">
        <f>IF(Transactions!$B814&lt;&gt;"",DATE(LEFT(Transactions!$B814,4),MID(Transactions!$B814,6,2),MID(Transactions!$B814,9,2)),)</f>
        <v/>
      </c>
      <c r="B814" s="56" t="str">
        <f>Transactions!$C814</f>
        <v/>
      </c>
      <c r="C814" s="51" t="str">
        <f t="array" ref="C814">IFERROR(INDEX(Portfolio!$B:$B, MATCH($B814, Portfolio!$A:$A, 0)),Transactions!$B814)</f>
        <v/>
      </c>
      <c r="D814" s="51" t="str">
        <f>IF($B814&lt;&gt;"",Transactions!$E814*1,)</f>
        <v/>
      </c>
      <c r="E814" s="51" t="str">
        <f>IF($B814&lt;&gt;"",Transactions!$F814*1,)</f>
        <v/>
      </c>
      <c r="F814" s="42" t="str">
        <f>IF(Transactions!$G814&lt;&gt;"",Transactions!$H814&amp;" "&amp;Transactions!$G814,)</f>
        <v/>
      </c>
    </row>
    <row r="815">
      <c r="A815" s="55" t="str">
        <f>IF(Transactions!$B815&lt;&gt;"",DATE(LEFT(Transactions!$B815,4),MID(Transactions!$B815,6,2),MID(Transactions!$B815,9,2)),)</f>
        <v/>
      </c>
      <c r="B815" s="56" t="str">
        <f>Transactions!$C815</f>
        <v/>
      </c>
      <c r="C815" s="51" t="str">
        <f t="array" ref="C815">IFERROR(INDEX(Portfolio!$B:$B, MATCH($B815, Portfolio!$A:$A, 0)),Transactions!$B815)</f>
        <v/>
      </c>
      <c r="D815" s="51" t="str">
        <f>IF($B815&lt;&gt;"",Transactions!$E815*1,)</f>
        <v/>
      </c>
      <c r="E815" s="51" t="str">
        <f>IF($B815&lt;&gt;"",Transactions!$F815*1,)</f>
        <v/>
      </c>
      <c r="F815" s="42" t="str">
        <f>IF(Transactions!$G815&lt;&gt;"",Transactions!$H815&amp;" "&amp;Transactions!$G815,)</f>
        <v/>
      </c>
    </row>
    <row r="816">
      <c r="A816" s="55" t="str">
        <f>IF(Transactions!$B816&lt;&gt;"",DATE(LEFT(Transactions!$B816,4),MID(Transactions!$B816,6,2),MID(Transactions!$B816,9,2)),)</f>
        <v/>
      </c>
      <c r="B816" s="56" t="str">
        <f>Transactions!$C816</f>
        <v/>
      </c>
      <c r="C816" s="51" t="str">
        <f t="array" ref="C816">IFERROR(INDEX(Portfolio!$B:$B, MATCH($B816, Portfolio!$A:$A, 0)),Transactions!$B816)</f>
        <v/>
      </c>
      <c r="D816" s="51" t="str">
        <f>IF($B816&lt;&gt;"",Transactions!$E816*1,)</f>
        <v/>
      </c>
      <c r="E816" s="51" t="str">
        <f>IF($B816&lt;&gt;"",Transactions!$F816*1,)</f>
        <v/>
      </c>
      <c r="F816" s="42" t="str">
        <f>IF(Transactions!$G816&lt;&gt;"",Transactions!$H816&amp;" "&amp;Transactions!$G816,)</f>
        <v/>
      </c>
    </row>
    <row r="817">
      <c r="A817" s="55" t="str">
        <f>IF(Transactions!$B817&lt;&gt;"",DATE(LEFT(Transactions!$B817,4),MID(Transactions!$B817,6,2),MID(Transactions!$B817,9,2)),)</f>
        <v/>
      </c>
      <c r="B817" s="56" t="str">
        <f>Transactions!$C817</f>
        <v/>
      </c>
      <c r="C817" s="51" t="str">
        <f t="array" ref="C817">IFERROR(INDEX(Portfolio!$B:$B, MATCH($B817, Portfolio!$A:$A, 0)),Transactions!$B817)</f>
        <v/>
      </c>
      <c r="D817" s="51" t="str">
        <f>IF($B817&lt;&gt;"",Transactions!$E817*1,)</f>
        <v/>
      </c>
      <c r="E817" s="51" t="str">
        <f>IF($B817&lt;&gt;"",Transactions!$F817*1,)</f>
        <v/>
      </c>
      <c r="F817" s="42" t="str">
        <f>IF(Transactions!$G817&lt;&gt;"",Transactions!$H817&amp;" "&amp;Transactions!$G817,)</f>
        <v/>
      </c>
    </row>
    <row r="818">
      <c r="A818" s="55" t="str">
        <f>IF(Transactions!$B818&lt;&gt;"",DATE(LEFT(Transactions!$B818,4),MID(Transactions!$B818,6,2),MID(Transactions!$B818,9,2)),)</f>
        <v/>
      </c>
      <c r="B818" s="56" t="str">
        <f>Transactions!$C818</f>
        <v/>
      </c>
      <c r="C818" s="51" t="str">
        <f t="array" ref="C818">IFERROR(INDEX(Portfolio!$B:$B, MATCH($B818, Portfolio!$A:$A, 0)),Transactions!$B818)</f>
        <v/>
      </c>
      <c r="D818" s="51" t="str">
        <f>IF($B818&lt;&gt;"",Transactions!$E818*1,)</f>
        <v/>
      </c>
      <c r="E818" s="51" t="str">
        <f>IF($B818&lt;&gt;"",Transactions!$F818*1,)</f>
        <v/>
      </c>
      <c r="F818" s="42" t="str">
        <f>IF(Transactions!$G818&lt;&gt;"",Transactions!$H818&amp;" "&amp;Transactions!$G818,)</f>
        <v/>
      </c>
    </row>
    <row r="819">
      <c r="A819" s="55" t="str">
        <f>IF(Transactions!$B819&lt;&gt;"",DATE(LEFT(Transactions!$B819,4),MID(Transactions!$B819,6,2),MID(Transactions!$B819,9,2)),)</f>
        <v/>
      </c>
      <c r="B819" s="56" t="str">
        <f>Transactions!$C819</f>
        <v/>
      </c>
      <c r="C819" s="51" t="str">
        <f t="array" ref="C819">IFERROR(INDEX(Portfolio!$B:$B, MATCH($B819, Portfolio!$A:$A, 0)),Transactions!$B819)</f>
        <v/>
      </c>
      <c r="D819" s="51" t="str">
        <f>IF($B819&lt;&gt;"",Transactions!$E819*1,)</f>
        <v/>
      </c>
      <c r="E819" s="51" t="str">
        <f>IF($B819&lt;&gt;"",Transactions!$F819*1,)</f>
        <v/>
      </c>
      <c r="F819" s="42" t="str">
        <f>IF(Transactions!$G819&lt;&gt;"",Transactions!$H819&amp;" "&amp;Transactions!$G819,)</f>
        <v/>
      </c>
    </row>
    <row r="820">
      <c r="A820" s="55" t="str">
        <f>IF(Transactions!$B820&lt;&gt;"",DATE(LEFT(Transactions!$B820,4),MID(Transactions!$B820,6,2),MID(Transactions!$B820,9,2)),)</f>
        <v/>
      </c>
      <c r="B820" s="56" t="str">
        <f>Transactions!$C820</f>
        <v/>
      </c>
      <c r="C820" s="51" t="str">
        <f t="array" ref="C820">IFERROR(INDEX(Portfolio!$B:$B, MATCH($B820, Portfolio!$A:$A, 0)),Transactions!$B820)</f>
        <v/>
      </c>
      <c r="D820" s="51" t="str">
        <f>IF($B820&lt;&gt;"",Transactions!$E820*1,)</f>
        <v/>
      </c>
      <c r="E820" s="51" t="str">
        <f>IF($B820&lt;&gt;"",Transactions!$F820*1,)</f>
        <v/>
      </c>
      <c r="F820" s="42" t="str">
        <f>IF(Transactions!$G820&lt;&gt;"",Transactions!$H820&amp;" "&amp;Transactions!$G820,)</f>
        <v/>
      </c>
    </row>
    <row r="821">
      <c r="A821" s="55" t="str">
        <f>IF(Transactions!$B821&lt;&gt;"",DATE(LEFT(Transactions!$B821,4),MID(Transactions!$B821,6,2),MID(Transactions!$B821,9,2)),)</f>
        <v/>
      </c>
      <c r="B821" s="56" t="str">
        <f>Transactions!$C821</f>
        <v/>
      </c>
      <c r="C821" s="51" t="str">
        <f t="array" ref="C821">IFERROR(INDEX(Portfolio!$B:$B, MATCH($B821, Portfolio!$A:$A, 0)),Transactions!$B821)</f>
        <v/>
      </c>
      <c r="D821" s="51" t="str">
        <f>IF($B821&lt;&gt;"",Transactions!$E821*1,)</f>
        <v/>
      </c>
      <c r="E821" s="51" t="str">
        <f>IF($B821&lt;&gt;"",Transactions!$F821*1,)</f>
        <v/>
      </c>
      <c r="F821" s="42" t="str">
        <f>IF(Transactions!$G821&lt;&gt;"",Transactions!$H821&amp;" "&amp;Transactions!$G821,)</f>
        <v/>
      </c>
    </row>
    <row r="822">
      <c r="A822" s="55" t="str">
        <f>IF(Transactions!$B822&lt;&gt;"",DATE(LEFT(Transactions!$B822,4),MID(Transactions!$B822,6,2),MID(Transactions!$B822,9,2)),)</f>
        <v/>
      </c>
      <c r="B822" s="56" t="str">
        <f>Transactions!$C822</f>
        <v/>
      </c>
      <c r="C822" s="51" t="str">
        <f t="array" ref="C822">IFERROR(INDEX(Portfolio!$B:$B, MATCH($B822, Portfolio!$A:$A, 0)),Transactions!$B822)</f>
        <v/>
      </c>
      <c r="D822" s="51" t="str">
        <f>IF($B822&lt;&gt;"",Transactions!$E822*1,)</f>
        <v/>
      </c>
      <c r="E822" s="51" t="str">
        <f>IF($B822&lt;&gt;"",Transactions!$F822*1,)</f>
        <v/>
      </c>
      <c r="F822" s="42" t="str">
        <f>IF(Transactions!$G822&lt;&gt;"",Transactions!$H822&amp;" "&amp;Transactions!$G822,)</f>
        <v/>
      </c>
    </row>
    <row r="823">
      <c r="A823" s="55" t="str">
        <f>IF(Transactions!$B823&lt;&gt;"",DATE(LEFT(Transactions!$B823,4),MID(Transactions!$B823,6,2),MID(Transactions!$B823,9,2)),)</f>
        <v/>
      </c>
      <c r="B823" s="56" t="str">
        <f>Transactions!$C823</f>
        <v/>
      </c>
      <c r="C823" s="51" t="str">
        <f t="array" ref="C823">IFERROR(INDEX(Portfolio!$B:$B, MATCH($B823, Portfolio!$A:$A, 0)),Transactions!$B823)</f>
        <v/>
      </c>
      <c r="D823" s="51" t="str">
        <f>IF($B823&lt;&gt;"",Transactions!$E823*1,)</f>
        <v/>
      </c>
      <c r="E823" s="51" t="str">
        <f>IF($B823&lt;&gt;"",Transactions!$F823*1,)</f>
        <v/>
      </c>
      <c r="F823" s="42" t="str">
        <f>IF(Transactions!$G823&lt;&gt;"",Transactions!$H823&amp;" "&amp;Transactions!$G823,)</f>
        <v/>
      </c>
    </row>
    <row r="824">
      <c r="A824" s="55" t="str">
        <f>IF(Transactions!$B824&lt;&gt;"",DATE(LEFT(Transactions!$B824,4),MID(Transactions!$B824,6,2),MID(Transactions!$B824,9,2)),)</f>
        <v/>
      </c>
      <c r="B824" s="56" t="str">
        <f>Transactions!$C824</f>
        <v/>
      </c>
      <c r="C824" s="51" t="str">
        <f t="array" ref="C824">IFERROR(INDEX(Portfolio!$B:$B, MATCH($B824, Portfolio!$A:$A, 0)),Transactions!$B824)</f>
        <v/>
      </c>
      <c r="D824" s="51" t="str">
        <f>IF($B824&lt;&gt;"",Transactions!$E824*1,)</f>
        <v/>
      </c>
      <c r="E824" s="51" t="str">
        <f>IF($B824&lt;&gt;"",Transactions!$F824*1,)</f>
        <v/>
      </c>
      <c r="F824" s="42" t="str">
        <f>IF(Transactions!$G824&lt;&gt;"",Transactions!$H824&amp;" "&amp;Transactions!$G824,)</f>
        <v/>
      </c>
    </row>
    <row r="825">
      <c r="A825" s="55" t="str">
        <f>IF(Transactions!$B825&lt;&gt;"",DATE(LEFT(Transactions!$B825,4),MID(Transactions!$B825,6,2),MID(Transactions!$B825,9,2)),)</f>
        <v/>
      </c>
      <c r="B825" s="56" t="str">
        <f>Transactions!$C825</f>
        <v/>
      </c>
      <c r="C825" s="51" t="str">
        <f t="array" ref="C825">IFERROR(INDEX(Portfolio!$B:$B, MATCH($B825, Portfolio!$A:$A, 0)),Transactions!$B825)</f>
        <v/>
      </c>
      <c r="D825" s="51" t="str">
        <f>IF($B825&lt;&gt;"",Transactions!$E825*1,)</f>
        <v/>
      </c>
      <c r="E825" s="51" t="str">
        <f>IF($B825&lt;&gt;"",Transactions!$F825*1,)</f>
        <v/>
      </c>
      <c r="F825" s="42" t="str">
        <f>IF(Transactions!$G825&lt;&gt;"",Transactions!$H825&amp;" "&amp;Transactions!$G825,)</f>
        <v/>
      </c>
    </row>
    <row r="826">
      <c r="A826" s="55" t="str">
        <f>IF(Transactions!$B826&lt;&gt;"",DATE(LEFT(Transactions!$B826,4),MID(Transactions!$B826,6,2),MID(Transactions!$B826,9,2)),)</f>
        <v/>
      </c>
      <c r="B826" s="56" t="str">
        <f>Transactions!$C826</f>
        <v/>
      </c>
      <c r="C826" s="51" t="str">
        <f t="array" ref="C826">IFERROR(INDEX(Portfolio!$B:$B, MATCH($B826, Portfolio!$A:$A, 0)),Transactions!$B826)</f>
        <v/>
      </c>
      <c r="D826" s="51" t="str">
        <f>IF($B826&lt;&gt;"",Transactions!$E826*1,)</f>
        <v/>
      </c>
      <c r="E826" s="51" t="str">
        <f>IF($B826&lt;&gt;"",Transactions!$F826*1,)</f>
        <v/>
      </c>
      <c r="F826" s="42" t="str">
        <f>IF(Transactions!$G826&lt;&gt;"",Transactions!$H826&amp;" "&amp;Transactions!$G826,)</f>
        <v/>
      </c>
    </row>
    <row r="827">
      <c r="A827" s="55" t="str">
        <f>IF(Transactions!$B827&lt;&gt;"",DATE(LEFT(Transactions!$B827,4),MID(Transactions!$B827,6,2),MID(Transactions!$B827,9,2)),)</f>
        <v/>
      </c>
      <c r="B827" s="56" t="str">
        <f>Transactions!$C827</f>
        <v/>
      </c>
      <c r="C827" s="51" t="str">
        <f t="array" ref="C827">IFERROR(INDEX(Portfolio!$B:$B, MATCH($B827, Portfolio!$A:$A, 0)),Transactions!$B827)</f>
        <v/>
      </c>
      <c r="D827" s="51" t="str">
        <f>IF($B827&lt;&gt;"",Transactions!$E827*1,)</f>
        <v/>
      </c>
      <c r="E827" s="51" t="str">
        <f>IF($B827&lt;&gt;"",Transactions!$F827*1,)</f>
        <v/>
      </c>
      <c r="F827" s="42" t="str">
        <f>IF(Transactions!$G827&lt;&gt;"",Transactions!$H827&amp;" "&amp;Transactions!$G827,)</f>
        <v/>
      </c>
    </row>
    <row r="828">
      <c r="A828" s="55" t="str">
        <f>IF(Transactions!$B828&lt;&gt;"",DATE(LEFT(Transactions!$B828,4),MID(Transactions!$B828,6,2),MID(Transactions!$B828,9,2)),)</f>
        <v/>
      </c>
      <c r="B828" s="56" t="str">
        <f>Transactions!$C828</f>
        <v/>
      </c>
      <c r="C828" s="51" t="str">
        <f t="array" ref="C828">IFERROR(INDEX(Portfolio!$B:$B, MATCH($B828, Portfolio!$A:$A, 0)),Transactions!$B828)</f>
        <v/>
      </c>
      <c r="D828" s="51" t="str">
        <f>IF($B828&lt;&gt;"",Transactions!$E828*1,)</f>
        <v/>
      </c>
      <c r="E828" s="51" t="str">
        <f>IF($B828&lt;&gt;"",Transactions!$F828*1,)</f>
        <v/>
      </c>
      <c r="F828" s="42" t="str">
        <f>IF(Transactions!$G828&lt;&gt;"",Transactions!$H828&amp;" "&amp;Transactions!$G828,)</f>
        <v/>
      </c>
    </row>
    <row r="829">
      <c r="A829" s="55" t="str">
        <f>IF(Transactions!$B829&lt;&gt;"",DATE(LEFT(Transactions!$B829,4),MID(Transactions!$B829,6,2),MID(Transactions!$B829,9,2)),)</f>
        <v/>
      </c>
      <c r="B829" s="56" t="str">
        <f>Transactions!$C829</f>
        <v/>
      </c>
      <c r="C829" s="51" t="str">
        <f t="array" ref="C829">IFERROR(INDEX(Portfolio!$B:$B, MATCH($B829, Portfolio!$A:$A, 0)),Transactions!$B829)</f>
        <v/>
      </c>
      <c r="D829" s="51" t="str">
        <f>IF($B829&lt;&gt;"",Transactions!$E829*1,)</f>
        <v/>
      </c>
      <c r="E829" s="51" t="str">
        <f>IF($B829&lt;&gt;"",Transactions!$F829*1,)</f>
        <v/>
      </c>
      <c r="F829" s="42" t="str">
        <f>IF(Transactions!$G829&lt;&gt;"",Transactions!$H829&amp;" "&amp;Transactions!$G829,)</f>
        <v/>
      </c>
    </row>
    <row r="830">
      <c r="A830" s="55" t="str">
        <f>IF(Transactions!$B830&lt;&gt;"",DATE(LEFT(Transactions!$B830,4),MID(Transactions!$B830,6,2),MID(Transactions!$B830,9,2)),)</f>
        <v/>
      </c>
      <c r="B830" s="56" t="str">
        <f>Transactions!$C830</f>
        <v/>
      </c>
      <c r="C830" s="51" t="str">
        <f t="array" ref="C830">IFERROR(INDEX(Portfolio!$B:$B, MATCH($B830, Portfolio!$A:$A, 0)),Transactions!$B830)</f>
        <v/>
      </c>
      <c r="D830" s="51" t="str">
        <f>IF($B830&lt;&gt;"",Transactions!$E830*1,)</f>
        <v/>
      </c>
      <c r="E830" s="51" t="str">
        <f>IF($B830&lt;&gt;"",Transactions!$F830*1,)</f>
        <v/>
      </c>
      <c r="F830" s="42" t="str">
        <f>IF(Transactions!$G830&lt;&gt;"",Transactions!$H830&amp;" "&amp;Transactions!$G830,)</f>
        <v/>
      </c>
    </row>
    <row r="831">
      <c r="A831" s="55" t="str">
        <f>IF(Transactions!$B831&lt;&gt;"",DATE(LEFT(Transactions!$B831,4),MID(Transactions!$B831,6,2),MID(Transactions!$B831,9,2)),)</f>
        <v/>
      </c>
      <c r="B831" s="56" t="str">
        <f>Transactions!$C831</f>
        <v/>
      </c>
      <c r="C831" s="51" t="str">
        <f t="array" ref="C831">IFERROR(INDEX(Portfolio!$B:$B, MATCH($B831, Portfolio!$A:$A, 0)),Transactions!$B831)</f>
        <v/>
      </c>
      <c r="D831" s="51" t="str">
        <f>IF($B831&lt;&gt;"",Transactions!$E831*1,)</f>
        <v/>
      </c>
      <c r="E831" s="51" t="str">
        <f>IF($B831&lt;&gt;"",Transactions!$F831*1,)</f>
        <v/>
      </c>
      <c r="F831" s="42" t="str">
        <f>IF(Transactions!$G831&lt;&gt;"",Transactions!$H831&amp;" "&amp;Transactions!$G831,)</f>
        <v/>
      </c>
    </row>
    <row r="832">
      <c r="A832" s="55" t="str">
        <f>IF(Transactions!$B832&lt;&gt;"",DATE(LEFT(Transactions!$B832,4),MID(Transactions!$B832,6,2),MID(Transactions!$B832,9,2)),)</f>
        <v/>
      </c>
      <c r="B832" s="56" t="str">
        <f>Transactions!$C832</f>
        <v/>
      </c>
      <c r="C832" s="51" t="str">
        <f t="array" ref="C832">IFERROR(INDEX(Portfolio!$B:$B, MATCH($B832, Portfolio!$A:$A, 0)),Transactions!$B832)</f>
        <v/>
      </c>
      <c r="D832" s="51" t="str">
        <f>IF($B832&lt;&gt;"",Transactions!$E832*1,)</f>
        <v/>
      </c>
      <c r="E832" s="51" t="str">
        <f>IF($B832&lt;&gt;"",Transactions!$F832*1,)</f>
        <v/>
      </c>
      <c r="F832" s="42" t="str">
        <f>IF(Transactions!$G832&lt;&gt;"",Transactions!$H832&amp;" "&amp;Transactions!$G832,)</f>
        <v/>
      </c>
    </row>
    <row r="833">
      <c r="A833" s="55" t="str">
        <f>IF(Transactions!$B833&lt;&gt;"",DATE(LEFT(Transactions!$B833,4),MID(Transactions!$B833,6,2),MID(Transactions!$B833,9,2)),)</f>
        <v/>
      </c>
      <c r="B833" s="56" t="str">
        <f>Transactions!$C833</f>
        <v/>
      </c>
      <c r="C833" s="51" t="str">
        <f t="array" ref="C833">IFERROR(INDEX(Portfolio!$B:$B, MATCH($B833, Portfolio!$A:$A, 0)),Transactions!$B833)</f>
        <v/>
      </c>
      <c r="D833" s="51" t="str">
        <f>IF($B833&lt;&gt;"",Transactions!$E833*1,)</f>
        <v/>
      </c>
      <c r="E833" s="51" t="str">
        <f>IF($B833&lt;&gt;"",Transactions!$F833*1,)</f>
        <v/>
      </c>
      <c r="F833" s="42" t="str">
        <f>IF(Transactions!$G833&lt;&gt;"",Transactions!$H833&amp;" "&amp;Transactions!$G833,)</f>
        <v/>
      </c>
    </row>
    <row r="834">
      <c r="A834" s="55" t="str">
        <f>IF(Transactions!$B834&lt;&gt;"",DATE(LEFT(Transactions!$B834,4),MID(Transactions!$B834,6,2),MID(Transactions!$B834,9,2)),)</f>
        <v/>
      </c>
      <c r="B834" s="56" t="str">
        <f>Transactions!$C834</f>
        <v/>
      </c>
      <c r="C834" s="51" t="str">
        <f t="array" ref="C834">IFERROR(INDEX(Portfolio!$B:$B, MATCH($B834, Portfolio!$A:$A, 0)),Transactions!$B834)</f>
        <v/>
      </c>
      <c r="D834" s="51" t="str">
        <f>IF($B834&lt;&gt;"",Transactions!$E834*1,)</f>
        <v/>
      </c>
      <c r="E834" s="51" t="str">
        <f>IF($B834&lt;&gt;"",Transactions!$F834*1,)</f>
        <v/>
      </c>
      <c r="F834" s="42" t="str">
        <f>IF(Transactions!$G834&lt;&gt;"",Transactions!$H834&amp;" "&amp;Transactions!$G834,)</f>
        <v/>
      </c>
    </row>
    <row r="835">
      <c r="A835" s="55" t="str">
        <f>IF(Transactions!$B835&lt;&gt;"",DATE(LEFT(Transactions!$B835,4),MID(Transactions!$B835,6,2),MID(Transactions!$B835,9,2)),)</f>
        <v/>
      </c>
      <c r="B835" s="56" t="str">
        <f>Transactions!$C835</f>
        <v/>
      </c>
      <c r="C835" s="51" t="str">
        <f t="array" ref="C835">IFERROR(INDEX(Portfolio!$B:$B, MATCH($B835, Portfolio!$A:$A, 0)),Transactions!$B835)</f>
        <v/>
      </c>
      <c r="D835" s="51" t="str">
        <f>IF($B835&lt;&gt;"",Transactions!$E835*1,)</f>
        <v/>
      </c>
      <c r="E835" s="51" t="str">
        <f>IF($B835&lt;&gt;"",Transactions!$F835*1,)</f>
        <v/>
      </c>
      <c r="F835" s="42" t="str">
        <f>IF(Transactions!$G835&lt;&gt;"",Transactions!$H835&amp;" "&amp;Transactions!$G835,)</f>
        <v/>
      </c>
    </row>
    <row r="836">
      <c r="A836" s="55" t="str">
        <f>IF(Transactions!$B836&lt;&gt;"",DATE(LEFT(Transactions!$B836,4),MID(Transactions!$B836,6,2),MID(Transactions!$B836,9,2)),)</f>
        <v/>
      </c>
      <c r="B836" s="56" t="str">
        <f>Transactions!$C836</f>
        <v/>
      </c>
      <c r="C836" s="51" t="str">
        <f t="array" ref="C836">IFERROR(INDEX(Portfolio!$B:$B, MATCH($B836, Portfolio!$A:$A, 0)),Transactions!$B836)</f>
        <v/>
      </c>
      <c r="D836" s="51" t="str">
        <f>IF($B836&lt;&gt;"",Transactions!$E836*1,)</f>
        <v/>
      </c>
      <c r="E836" s="51" t="str">
        <f>IF($B836&lt;&gt;"",Transactions!$F836*1,)</f>
        <v/>
      </c>
      <c r="F836" s="42" t="str">
        <f>IF(Transactions!$G836&lt;&gt;"",Transactions!$H836&amp;" "&amp;Transactions!$G836,)</f>
        <v/>
      </c>
    </row>
    <row r="837">
      <c r="A837" s="55" t="str">
        <f>IF(Transactions!$B837&lt;&gt;"",DATE(LEFT(Transactions!$B837,4),MID(Transactions!$B837,6,2),MID(Transactions!$B837,9,2)),)</f>
        <v/>
      </c>
      <c r="B837" s="56" t="str">
        <f>Transactions!$C837</f>
        <v/>
      </c>
      <c r="C837" s="51" t="str">
        <f t="array" ref="C837">IFERROR(INDEX(Portfolio!$B:$B, MATCH($B837, Portfolio!$A:$A, 0)),Transactions!$B837)</f>
        <v/>
      </c>
      <c r="D837" s="51" t="str">
        <f>IF($B837&lt;&gt;"",Transactions!$E837*1,)</f>
        <v/>
      </c>
      <c r="E837" s="51" t="str">
        <f>IF($B837&lt;&gt;"",Transactions!$F837*1,)</f>
        <v/>
      </c>
      <c r="F837" s="42" t="str">
        <f>IF(Transactions!$G837&lt;&gt;"",Transactions!$H837&amp;" "&amp;Transactions!$G837,)</f>
        <v/>
      </c>
    </row>
    <row r="838">
      <c r="A838" s="55" t="str">
        <f>IF(Transactions!$B838&lt;&gt;"",DATE(LEFT(Transactions!$B838,4),MID(Transactions!$B838,6,2),MID(Transactions!$B838,9,2)),)</f>
        <v/>
      </c>
      <c r="B838" s="56" t="str">
        <f>Transactions!$C838</f>
        <v/>
      </c>
      <c r="C838" s="51" t="str">
        <f t="array" ref="C838">IFERROR(INDEX(Portfolio!$B:$B, MATCH($B838, Portfolio!$A:$A, 0)),Transactions!$B838)</f>
        <v/>
      </c>
      <c r="D838" s="51" t="str">
        <f>IF($B838&lt;&gt;"",Transactions!$E838*1,)</f>
        <v/>
      </c>
      <c r="E838" s="51" t="str">
        <f>IF($B838&lt;&gt;"",Transactions!$F838*1,)</f>
        <v/>
      </c>
      <c r="F838" s="42" t="str">
        <f>IF(Transactions!$G838&lt;&gt;"",Transactions!$H838&amp;" "&amp;Transactions!$G838,)</f>
        <v/>
      </c>
    </row>
    <row r="839">
      <c r="A839" s="55" t="str">
        <f>IF(Transactions!$B839&lt;&gt;"",DATE(LEFT(Transactions!$B839,4),MID(Transactions!$B839,6,2),MID(Transactions!$B839,9,2)),)</f>
        <v/>
      </c>
      <c r="B839" s="56" t="str">
        <f>Transactions!$C839</f>
        <v/>
      </c>
      <c r="C839" s="51" t="str">
        <f t="array" ref="C839">IFERROR(INDEX(Portfolio!$B:$B, MATCH($B839, Portfolio!$A:$A, 0)),Transactions!$B839)</f>
        <v/>
      </c>
      <c r="D839" s="51" t="str">
        <f>IF($B839&lt;&gt;"",Transactions!$E839*1,)</f>
        <v/>
      </c>
      <c r="E839" s="51" t="str">
        <f>IF($B839&lt;&gt;"",Transactions!$F839*1,)</f>
        <v/>
      </c>
      <c r="F839" s="42" t="str">
        <f>IF(Transactions!$G839&lt;&gt;"",Transactions!$H839&amp;" "&amp;Transactions!$G839,)</f>
        <v/>
      </c>
    </row>
    <row r="840">
      <c r="A840" s="55" t="str">
        <f>IF(Transactions!$B840&lt;&gt;"",DATE(LEFT(Transactions!$B840,4),MID(Transactions!$B840,6,2),MID(Transactions!$B840,9,2)),)</f>
        <v/>
      </c>
      <c r="B840" s="56" t="str">
        <f>Transactions!$C840</f>
        <v/>
      </c>
      <c r="C840" s="51" t="str">
        <f t="array" ref="C840">IFERROR(INDEX(Portfolio!$B:$B, MATCH($B840, Portfolio!$A:$A, 0)),Transactions!$B840)</f>
        <v/>
      </c>
      <c r="D840" s="51" t="str">
        <f>IF($B840&lt;&gt;"",Transactions!$E840*1,)</f>
        <v/>
      </c>
      <c r="E840" s="51" t="str">
        <f>IF($B840&lt;&gt;"",Transactions!$F840*1,)</f>
        <v/>
      </c>
      <c r="F840" s="42" t="str">
        <f>IF(Transactions!$G840&lt;&gt;"",Transactions!$H840&amp;" "&amp;Transactions!$G840,)</f>
        <v/>
      </c>
    </row>
    <row r="841">
      <c r="A841" s="55" t="str">
        <f>IF(Transactions!$B841&lt;&gt;"",DATE(LEFT(Transactions!$B841,4),MID(Transactions!$B841,6,2),MID(Transactions!$B841,9,2)),)</f>
        <v/>
      </c>
      <c r="B841" s="56" t="str">
        <f>Transactions!$C841</f>
        <v/>
      </c>
      <c r="C841" s="51" t="str">
        <f t="array" ref="C841">IFERROR(INDEX(Portfolio!$B:$B, MATCH($B841, Portfolio!$A:$A, 0)),Transactions!$B841)</f>
        <v/>
      </c>
      <c r="D841" s="51" t="str">
        <f>IF($B841&lt;&gt;"",Transactions!$E841*1,)</f>
        <v/>
      </c>
      <c r="E841" s="51" t="str">
        <f>IF($B841&lt;&gt;"",Transactions!$F841*1,)</f>
        <v/>
      </c>
      <c r="F841" s="42" t="str">
        <f>IF(Transactions!$G841&lt;&gt;"",Transactions!$H841&amp;" "&amp;Transactions!$G841,)</f>
        <v/>
      </c>
    </row>
    <row r="842">
      <c r="A842" s="55" t="str">
        <f>IF(Transactions!$B842&lt;&gt;"",DATE(LEFT(Transactions!$B842,4),MID(Transactions!$B842,6,2),MID(Transactions!$B842,9,2)),)</f>
        <v/>
      </c>
      <c r="B842" s="56" t="str">
        <f>Transactions!$C842</f>
        <v/>
      </c>
      <c r="C842" s="51" t="str">
        <f t="array" ref="C842">IFERROR(INDEX(Portfolio!$B:$B, MATCH($B842, Portfolio!$A:$A, 0)),Transactions!$B842)</f>
        <v/>
      </c>
      <c r="D842" s="51" t="str">
        <f>IF($B842&lt;&gt;"",Transactions!$E842*1,)</f>
        <v/>
      </c>
      <c r="E842" s="51" t="str">
        <f>IF($B842&lt;&gt;"",Transactions!$F842*1,)</f>
        <v/>
      </c>
      <c r="F842" s="42" t="str">
        <f>IF(Transactions!$G842&lt;&gt;"",Transactions!$H842&amp;" "&amp;Transactions!$G842,)</f>
        <v/>
      </c>
    </row>
    <row r="843">
      <c r="A843" s="55" t="str">
        <f>IF(Transactions!$B843&lt;&gt;"",DATE(LEFT(Transactions!$B843,4),MID(Transactions!$B843,6,2),MID(Transactions!$B843,9,2)),)</f>
        <v/>
      </c>
      <c r="B843" s="56" t="str">
        <f>Transactions!$C843</f>
        <v/>
      </c>
      <c r="C843" s="51" t="str">
        <f t="array" ref="C843">IFERROR(INDEX(Portfolio!$B:$B, MATCH($B843, Portfolio!$A:$A, 0)),Transactions!$B843)</f>
        <v/>
      </c>
      <c r="D843" s="51" t="str">
        <f>IF($B843&lt;&gt;"",Transactions!$E843*1,)</f>
        <v/>
      </c>
      <c r="E843" s="51" t="str">
        <f>IF($B843&lt;&gt;"",Transactions!$F843*1,)</f>
        <v/>
      </c>
      <c r="F843" s="42" t="str">
        <f>IF(Transactions!$G843&lt;&gt;"",Transactions!$H843&amp;" "&amp;Transactions!$G843,)</f>
        <v/>
      </c>
    </row>
    <row r="844">
      <c r="A844" s="55" t="str">
        <f>IF(Transactions!$B844&lt;&gt;"",DATE(LEFT(Transactions!$B844,4),MID(Transactions!$B844,6,2),MID(Transactions!$B844,9,2)),)</f>
        <v/>
      </c>
      <c r="B844" s="56" t="str">
        <f>Transactions!$C844</f>
        <v/>
      </c>
      <c r="C844" s="51" t="str">
        <f t="array" ref="C844">IFERROR(INDEX(Portfolio!$B:$B, MATCH($B844, Portfolio!$A:$A, 0)),Transactions!$B844)</f>
        <v/>
      </c>
      <c r="D844" s="51" t="str">
        <f>IF($B844&lt;&gt;"",Transactions!$E844*1,)</f>
        <v/>
      </c>
      <c r="E844" s="51" t="str">
        <f>IF($B844&lt;&gt;"",Transactions!$F844*1,)</f>
        <v/>
      </c>
      <c r="F844" s="42" t="str">
        <f>IF(Transactions!$G844&lt;&gt;"",Transactions!$H844&amp;" "&amp;Transactions!$G844,)</f>
        <v/>
      </c>
    </row>
    <row r="845">
      <c r="A845" s="55" t="str">
        <f>IF(Transactions!$B845&lt;&gt;"",DATE(LEFT(Transactions!$B845,4),MID(Transactions!$B845,6,2),MID(Transactions!$B845,9,2)),)</f>
        <v/>
      </c>
      <c r="B845" s="56" t="str">
        <f>Transactions!$C845</f>
        <v/>
      </c>
      <c r="C845" s="51" t="str">
        <f t="array" ref="C845">IFERROR(INDEX(Portfolio!$B:$B, MATCH($B845, Portfolio!$A:$A, 0)),Transactions!$B845)</f>
        <v/>
      </c>
      <c r="D845" s="51" t="str">
        <f>IF($B845&lt;&gt;"",Transactions!$E845*1,)</f>
        <v/>
      </c>
      <c r="E845" s="51" t="str">
        <f>IF($B845&lt;&gt;"",Transactions!$F845*1,)</f>
        <v/>
      </c>
      <c r="F845" s="42" t="str">
        <f>IF(Transactions!$G845&lt;&gt;"",Transactions!$H845&amp;" "&amp;Transactions!$G845,)</f>
        <v/>
      </c>
    </row>
    <row r="846">
      <c r="A846" s="55" t="str">
        <f>IF(Transactions!$B846&lt;&gt;"",DATE(LEFT(Transactions!$B846,4),MID(Transactions!$B846,6,2),MID(Transactions!$B846,9,2)),)</f>
        <v/>
      </c>
      <c r="B846" s="56" t="str">
        <f>Transactions!$C846</f>
        <v/>
      </c>
      <c r="C846" s="51" t="str">
        <f t="array" ref="C846">IFERROR(INDEX(Portfolio!$B:$B, MATCH($B846, Portfolio!$A:$A, 0)),Transactions!$B846)</f>
        <v/>
      </c>
      <c r="D846" s="51" t="str">
        <f>IF($B846&lt;&gt;"",Transactions!$E846*1,)</f>
        <v/>
      </c>
      <c r="E846" s="51" t="str">
        <f>IF($B846&lt;&gt;"",Transactions!$F846*1,)</f>
        <v/>
      </c>
      <c r="F846" s="42" t="str">
        <f>IF(Transactions!$G846&lt;&gt;"",Transactions!$H846&amp;" "&amp;Transactions!$G846,)</f>
        <v/>
      </c>
    </row>
    <row r="847">
      <c r="A847" s="55" t="str">
        <f>IF(Transactions!$B847&lt;&gt;"",DATE(LEFT(Transactions!$B847,4),MID(Transactions!$B847,6,2),MID(Transactions!$B847,9,2)),)</f>
        <v/>
      </c>
      <c r="B847" s="56" t="str">
        <f>Transactions!$C847</f>
        <v/>
      </c>
      <c r="C847" s="51" t="str">
        <f t="array" ref="C847">IFERROR(INDEX(Portfolio!$B:$B, MATCH($B847, Portfolio!$A:$A, 0)),Transactions!$B847)</f>
        <v/>
      </c>
      <c r="D847" s="51" t="str">
        <f>IF($B847&lt;&gt;"",Transactions!$E847*1,)</f>
        <v/>
      </c>
      <c r="E847" s="51" t="str">
        <f>IF($B847&lt;&gt;"",Transactions!$F847*1,)</f>
        <v/>
      </c>
      <c r="F847" s="42" t="str">
        <f>IF(Transactions!$G847&lt;&gt;"",Transactions!$H847&amp;" "&amp;Transactions!$G847,)</f>
        <v/>
      </c>
    </row>
    <row r="848">
      <c r="A848" s="55" t="str">
        <f>IF(Transactions!$B848&lt;&gt;"",DATE(LEFT(Transactions!$B848,4),MID(Transactions!$B848,6,2),MID(Transactions!$B848,9,2)),)</f>
        <v/>
      </c>
      <c r="B848" s="56" t="str">
        <f>Transactions!$C848</f>
        <v/>
      </c>
      <c r="C848" s="51" t="str">
        <f t="array" ref="C848">IFERROR(INDEX(Portfolio!$B:$B, MATCH($B848, Portfolio!$A:$A, 0)),Transactions!$B848)</f>
        <v/>
      </c>
      <c r="D848" s="51" t="str">
        <f>IF($B848&lt;&gt;"",Transactions!$E848*1,)</f>
        <v/>
      </c>
      <c r="E848" s="51" t="str">
        <f>IF($B848&lt;&gt;"",Transactions!$F848*1,)</f>
        <v/>
      </c>
      <c r="F848" s="42" t="str">
        <f>IF(Transactions!$G848&lt;&gt;"",Transactions!$H848&amp;" "&amp;Transactions!$G848,)</f>
        <v/>
      </c>
    </row>
    <row r="849">
      <c r="A849" s="55" t="str">
        <f>IF(Transactions!$B849&lt;&gt;"",DATE(LEFT(Transactions!$B849,4),MID(Transactions!$B849,6,2),MID(Transactions!$B849,9,2)),)</f>
        <v/>
      </c>
      <c r="B849" s="56" t="str">
        <f>Transactions!$C849</f>
        <v/>
      </c>
      <c r="C849" s="51" t="str">
        <f t="array" ref="C849">IFERROR(INDEX(Portfolio!$B:$B, MATCH($B849, Portfolio!$A:$A, 0)),Transactions!$B849)</f>
        <v/>
      </c>
      <c r="D849" s="51" t="str">
        <f>IF($B849&lt;&gt;"",Transactions!$E849*1,)</f>
        <v/>
      </c>
      <c r="E849" s="51" t="str">
        <f>IF($B849&lt;&gt;"",Transactions!$F849*1,)</f>
        <v/>
      </c>
      <c r="F849" s="42" t="str">
        <f>IF(Transactions!$G849&lt;&gt;"",Transactions!$H849&amp;" "&amp;Transactions!$G849,)</f>
        <v/>
      </c>
    </row>
    <row r="850">
      <c r="A850" s="55" t="str">
        <f>IF(Transactions!$B850&lt;&gt;"",DATE(LEFT(Transactions!$B850,4),MID(Transactions!$B850,6,2),MID(Transactions!$B850,9,2)),)</f>
        <v/>
      </c>
      <c r="B850" s="56" t="str">
        <f>Transactions!$C850</f>
        <v/>
      </c>
      <c r="C850" s="51" t="str">
        <f t="array" ref="C850">IFERROR(INDEX(Portfolio!$B:$B, MATCH($B850, Portfolio!$A:$A, 0)),Transactions!$B850)</f>
        <v/>
      </c>
      <c r="D850" s="51" t="str">
        <f>IF($B850&lt;&gt;"",Transactions!$E850*1,)</f>
        <v/>
      </c>
      <c r="E850" s="51" t="str">
        <f>IF($B850&lt;&gt;"",Transactions!$F850*1,)</f>
        <v/>
      </c>
      <c r="F850" s="42" t="str">
        <f>IF(Transactions!$G850&lt;&gt;"",Transactions!$H850&amp;" "&amp;Transactions!$G850,)</f>
        <v/>
      </c>
    </row>
    <row r="851">
      <c r="A851" s="55" t="str">
        <f>IF(Transactions!$B851&lt;&gt;"",DATE(LEFT(Transactions!$B851,4),MID(Transactions!$B851,6,2),MID(Transactions!$B851,9,2)),)</f>
        <v/>
      </c>
      <c r="B851" s="56" t="str">
        <f>Transactions!$C851</f>
        <v/>
      </c>
      <c r="C851" s="51" t="str">
        <f t="array" ref="C851">IFERROR(INDEX(Portfolio!$B:$B, MATCH($B851, Portfolio!$A:$A, 0)),Transactions!$B851)</f>
        <v/>
      </c>
      <c r="D851" s="51" t="str">
        <f>IF($B851&lt;&gt;"",Transactions!$E851*1,)</f>
        <v/>
      </c>
      <c r="E851" s="51" t="str">
        <f>IF($B851&lt;&gt;"",Transactions!$F851*1,)</f>
        <v/>
      </c>
      <c r="F851" s="42" t="str">
        <f>IF(Transactions!$G851&lt;&gt;"",Transactions!$H851&amp;" "&amp;Transactions!$G851,)</f>
        <v/>
      </c>
    </row>
    <row r="852">
      <c r="A852" s="55" t="str">
        <f>IF(Transactions!$B852&lt;&gt;"",DATE(LEFT(Transactions!$B852,4),MID(Transactions!$B852,6,2),MID(Transactions!$B852,9,2)),)</f>
        <v/>
      </c>
      <c r="B852" s="56" t="str">
        <f>Transactions!$C852</f>
        <v/>
      </c>
      <c r="C852" s="51" t="str">
        <f t="array" ref="C852">IFERROR(INDEX(Portfolio!$B:$B, MATCH($B852, Portfolio!$A:$A, 0)),Transactions!$B852)</f>
        <v/>
      </c>
      <c r="D852" s="51" t="str">
        <f>IF($B852&lt;&gt;"",Transactions!$E852*1,)</f>
        <v/>
      </c>
      <c r="E852" s="51" t="str">
        <f>IF($B852&lt;&gt;"",Transactions!$F852*1,)</f>
        <v/>
      </c>
      <c r="F852" s="42" t="str">
        <f>IF(Transactions!$G852&lt;&gt;"",Transactions!$H852&amp;" "&amp;Transactions!$G852,)</f>
        <v/>
      </c>
    </row>
    <row r="853">
      <c r="A853" s="55" t="str">
        <f>IF(Transactions!$B853&lt;&gt;"",DATE(LEFT(Transactions!$B853,4),MID(Transactions!$B853,6,2),MID(Transactions!$B853,9,2)),)</f>
        <v/>
      </c>
      <c r="B853" s="56" t="str">
        <f>Transactions!$C853</f>
        <v/>
      </c>
      <c r="C853" s="51" t="str">
        <f t="array" ref="C853">IFERROR(INDEX(Portfolio!$B:$B, MATCH($B853, Portfolio!$A:$A, 0)),Transactions!$B853)</f>
        <v/>
      </c>
      <c r="D853" s="51" t="str">
        <f>IF($B853&lt;&gt;"",Transactions!$E853*1,)</f>
        <v/>
      </c>
      <c r="E853" s="51" t="str">
        <f>IF($B853&lt;&gt;"",Transactions!$F853*1,)</f>
        <v/>
      </c>
      <c r="F853" s="42" t="str">
        <f>IF(Transactions!$G853&lt;&gt;"",Transactions!$H853&amp;" "&amp;Transactions!$G853,)</f>
        <v/>
      </c>
    </row>
    <row r="854">
      <c r="A854" s="55" t="str">
        <f>IF(Transactions!$B854&lt;&gt;"",DATE(LEFT(Transactions!$B854,4),MID(Transactions!$B854,6,2),MID(Transactions!$B854,9,2)),)</f>
        <v/>
      </c>
      <c r="B854" s="56" t="str">
        <f>Transactions!$C854</f>
        <v/>
      </c>
      <c r="C854" s="51" t="str">
        <f t="array" ref="C854">IFERROR(INDEX(Portfolio!$B:$B, MATCH($B854, Portfolio!$A:$A, 0)),Transactions!$B854)</f>
        <v/>
      </c>
      <c r="D854" s="51" t="str">
        <f>IF($B854&lt;&gt;"",Transactions!$E854*1,)</f>
        <v/>
      </c>
      <c r="E854" s="51" t="str">
        <f>IF($B854&lt;&gt;"",Transactions!$F854*1,)</f>
        <v/>
      </c>
      <c r="F854" s="42" t="str">
        <f>IF(Transactions!$G854&lt;&gt;"",Transactions!$H854&amp;" "&amp;Transactions!$G854,)</f>
        <v/>
      </c>
    </row>
    <row r="855">
      <c r="A855" s="55" t="str">
        <f>IF(Transactions!$B855&lt;&gt;"",DATE(LEFT(Transactions!$B855,4),MID(Transactions!$B855,6,2),MID(Transactions!$B855,9,2)),)</f>
        <v/>
      </c>
      <c r="B855" s="56" t="str">
        <f>Transactions!$C855</f>
        <v/>
      </c>
      <c r="C855" s="51" t="str">
        <f t="array" ref="C855">IFERROR(INDEX(Portfolio!$B:$B, MATCH($B855, Portfolio!$A:$A, 0)),Transactions!$B855)</f>
        <v/>
      </c>
      <c r="D855" s="51" t="str">
        <f>IF($B855&lt;&gt;"",Transactions!$E855*1,)</f>
        <v/>
      </c>
      <c r="E855" s="51" t="str">
        <f>IF($B855&lt;&gt;"",Transactions!$F855*1,)</f>
        <v/>
      </c>
      <c r="F855" s="42" t="str">
        <f>IF(Transactions!$G855&lt;&gt;"",Transactions!$H855&amp;" "&amp;Transactions!$G855,)</f>
        <v/>
      </c>
    </row>
    <row r="856">
      <c r="A856" s="55" t="str">
        <f>IF(Transactions!$B856&lt;&gt;"",DATE(LEFT(Transactions!$B856,4),MID(Transactions!$B856,6,2),MID(Transactions!$B856,9,2)),)</f>
        <v/>
      </c>
      <c r="B856" s="56" t="str">
        <f>Transactions!$C856</f>
        <v/>
      </c>
      <c r="C856" s="51" t="str">
        <f t="array" ref="C856">IFERROR(INDEX(Portfolio!$B:$B, MATCH($B856, Portfolio!$A:$A, 0)),Transactions!$B856)</f>
        <v/>
      </c>
      <c r="D856" s="51" t="str">
        <f>IF($B856&lt;&gt;"",Transactions!$E856*1,)</f>
        <v/>
      </c>
      <c r="E856" s="51" t="str">
        <f>IF($B856&lt;&gt;"",Transactions!$F856*1,)</f>
        <v/>
      </c>
      <c r="F856" s="42" t="str">
        <f>IF(Transactions!$G856&lt;&gt;"",Transactions!$H856&amp;" "&amp;Transactions!$G856,)</f>
        <v/>
      </c>
    </row>
    <row r="857">
      <c r="A857" s="55" t="str">
        <f>IF(Transactions!$B857&lt;&gt;"",DATE(LEFT(Transactions!$B857,4),MID(Transactions!$B857,6,2),MID(Transactions!$B857,9,2)),)</f>
        <v/>
      </c>
      <c r="B857" s="56" t="str">
        <f>Transactions!$C857</f>
        <v/>
      </c>
      <c r="C857" s="51" t="str">
        <f t="array" ref="C857">IFERROR(INDEX(Portfolio!$B:$B, MATCH($B857, Portfolio!$A:$A, 0)),Transactions!$B857)</f>
        <v/>
      </c>
      <c r="D857" s="51" t="str">
        <f>IF($B857&lt;&gt;"",Transactions!$E857*1,)</f>
        <v/>
      </c>
      <c r="E857" s="51" t="str">
        <f>IF($B857&lt;&gt;"",Transactions!$F857*1,)</f>
        <v/>
      </c>
      <c r="F857" s="42" t="str">
        <f>IF(Transactions!$G857&lt;&gt;"",Transactions!$H857&amp;" "&amp;Transactions!$G857,)</f>
        <v/>
      </c>
    </row>
    <row r="858">
      <c r="A858" s="55" t="str">
        <f>IF(Transactions!$B858&lt;&gt;"",DATE(LEFT(Transactions!$B858,4),MID(Transactions!$B858,6,2),MID(Transactions!$B858,9,2)),)</f>
        <v/>
      </c>
      <c r="B858" s="56" t="str">
        <f>Transactions!$C858</f>
        <v/>
      </c>
      <c r="C858" s="51" t="str">
        <f t="array" ref="C858">IFERROR(INDEX(Portfolio!$B:$B, MATCH($B858, Portfolio!$A:$A, 0)),Transactions!$B858)</f>
        <v/>
      </c>
      <c r="D858" s="51" t="str">
        <f>IF($B858&lt;&gt;"",Transactions!$E858*1,)</f>
        <v/>
      </c>
      <c r="E858" s="51" t="str">
        <f>IF($B858&lt;&gt;"",Transactions!$F858*1,)</f>
        <v/>
      </c>
      <c r="F858" s="42" t="str">
        <f>IF(Transactions!$G858&lt;&gt;"",Transactions!$H858&amp;" "&amp;Transactions!$G858,)</f>
        <v/>
      </c>
    </row>
    <row r="859">
      <c r="A859" s="55" t="str">
        <f>IF(Transactions!$B859&lt;&gt;"",DATE(LEFT(Transactions!$B859,4),MID(Transactions!$B859,6,2),MID(Transactions!$B859,9,2)),)</f>
        <v/>
      </c>
      <c r="B859" s="56" t="str">
        <f>Transactions!$C859</f>
        <v/>
      </c>
      <c r="C859" s="51" t="str">
        <f t="array" ref="C859">IFERROR(INDEX(Portfolio!$B:$B, MATCH($B859, Portfolio!$A:$A, 0)),Transactions!$B859)</f>
        <v/>
      </c>
      <c r="D859" s="51" t="str">
        <f>IF($B859&lt;&gt;"",Transactions!$E859*1,)</f>
        <v/>
      </c>
      <c r="E859" s="51" t="str">
        <f>IF($B859&lt;&gt;"",Transactions!$F859*1,)</f>
        <v/>
      </c>
      <c r="F859" s="42" t="str">
        <f>IF(Transactions!$G859&lt;&gt;"",Transactions!$H859&amp;" "&amp;Transactions!$G859,)</f>
        <v/>
      </c>
    </row>
    <row r="860">
      <c r="A860" s="55" t="str">
        <f>IF(Transactions!$B860&lt;&gt;"",DATE(LEFT(Transactions!$B860,4),MID(Transactions!$B860,6,2),MID(Transactions!$B860,9,2)),)</f>
        <v/>
      </c>
      <c r="B860" s="56" t="str">
        <f>Transactions!$C860</f>
        <v/>
      </c>
      <c r="C860" s="51" t="str">
        <f t="array" ref="C860">IFERROR(INDEX(Portfolio!$B:$B, MATCH($B860, Portfolio!$A:$A, 0)),Transactions!$B860)</f>
        <v/>
      </c>
      <c r="D860" s="51" t="str">
        <f>IF($B860&lt;&gt;"",Transactions!$E860*1,)</f>
        <v/>
      </c>
      <c r="E860" s="51" t="str">
        <f>IF($B860&lt;&gt;"",Transactions!$F860*1,)</f>
        <v/>
      </c>
      <c r="F860" s="42" t="str">
        <f>IF(Transactions!$G860&lt;&gt;"",Transactions!$H860&amp;" "&amp;Transactions!$G860,)</f>
        <v/>
      </c>
    </row>
    <row r="861">
      <c r="A861" s="55" t="str">
        <f>IF(Transactions!$B861&lt;&gt;"",DATE(LEFT(Transactions!$B861,4),MID(Transactions!$B861,6,2),MID(Transactions!$B861,9,2)),)</f>
        <v/>
      </c>
      <c r="B861" s="56" t="str">
        <f>Transactions!$C861</f>
        <v/>
      </c>
      <c r="C861" s="51" t="str">
        <f t="array" ref="C861">IFERROR(INDEX(Portfolio!$B:$B, MATCH($B861, Portfolio!$A:$A, 0)),Transactions!$B861)</f>
        <v/>
      </c>
      <c r="D861" s="51" t="str">
        <f>IF($B861&lt;&gt;"",Transactions!$E861*1,)</f>
        <v/>
      </c>
      <c r="E861" s="51" t="str">
        <f>IF($B861&lt;&gt;"",Transactions!$F861*1,)</f>
        <v/>
      </c>
      <c r="F861" s="42" t="str">
        <f>IF(Transactions!$G861&lt;&gt;"",Transactions!$H861&amp;" "&amp;Transactions!$G861,)</f>
        <v/>
      </c>
    </row>
    <row r="862">
      <c r="A862" s="55" t="str">
        <f>IF(Transactions!$B862&lt;&gt;"",DATE(LEFT(Transactions!$B862,4),MID(Transactions!$B862,6,2),MID(Transactions!$B862,9,2)),)</f>
        <v/>
      </c>
      <c r="B862" s="56" t="str">
        <f>Transactions!$C862</f>
        <v/>
      </c>
      <c r="C862" s="51" t="str">
        <f t="array" ref="C862">IFERROR(INDEX(Portfolio!$B:$B, MATCH($B862, Portfolio!$A:$A, 0)),Transactions!$B862)</f>
        <v/>
      </c>
      <c r="D862" s="51" t="str">
        <f>IF($B862&lt;&gt;"",Transactions!$E862*1,)</f>
        <v/>
      </c>
      <c r="E862" s="51" t="str">
        <f>IF($B862&lt;&gt;"",Transactions!$F862*1,)</f>
        <v/>
      </c>
      <c r="F862" s="42" t="str">
        <f>IF(Transactions!$G862&lt;&gt;"",Transactions!$H862&amp;" "&amp;Transactions!$G862,)</f>
        <v/>
      </c>
    </row>
    <row r="863">
      <c r="A863" s="55" t="str">
        <f>IF(Transactions!$B863&lt;&gt;"",DATE(LEFT(Transactions!$B863,4),MID(Transactions!$B863,6,2),MID(Transactions!$B863,9,2)),)</f>
        <v/>
      </c>
      <c r="B863" s="56" t="str">
        <f>Transactions!$C863</f>
        <v/>
      </c>
      <c r="C863" s="51" t="str">
        <f t="array" ref="C863">IFERROR(INDEX(Portfolio!$B:$B, MATCH($B863, Portfolio!$A:$A, 0)),Transactions!$B863)</f>
        <v/>
      </c>
      <c r="D863" s="51" t="str">
        <f>IF($B863&lt;&gt;"",Transactions!$E863*1,)</f>
        <v/>
      </c>
      <c r="E863" s="51" t="str">
        <f>IF($B863&lt;&gt;"",Transactions!$F863*1,)</f>
        <v/>
      </c>
      <c r="F863" s="42" t="str">
        <f>IF(Transactions!$G863&lt;&gt;"",Transactions!$H863&amp;" "&amp;Transactions!$G863,)</f>
        <v/>
      </c>
    </row>
    <row r="864">
      <c r="A864" s="55" t="str">
        <f>IF(Transactions!$B864&lt;&gt;"",DATE(LEFT(Transactions!$B864,4),MID(Transactions!$B864,6,2),MID(Transactions!$B864,9,2)),)</f>
        <v/>
      </c>
      <c r="B864" s="56" t="str">
        <f>Transactions!$C864</f>
        <v/>
      </c>
      <c r="C864" s="51" t="str">
        <f t="array" ref="C864">IFERROR(INDEX(Portfolio!$B:$B, MATCH($B864, Portfolio!$A:$A, 0)),Transactions!$B864)</f>
        <v/>
      </c>
      <c r="D864" s="51" t="str">
        <f>IF($B864&lt;&gt;"",Transactions!$E864*1,)</f>
        <v/>
      </c>
      <c r="E864" s="51" t="str">
        <f>IF($B864&lt;&gt;"",Transactions!$F864*1,)</f>
        <v/>
      </c>
      <c r="F864" s="42" t="str">
        <f>IF(Transactions!$G864&lt;&gt;"",Transactions!$H864&amp;" "&amp;Transactions!$G864,)</f>
        <v/>
      </c>
    </row>
    <row r="865">
      <c r="A865" s="55" t="str">
        <f>IF(Transactions!$B865&lt;&gt;"",DATE(LEFT(Transactions!$B865,4),MID(Transactions!$B865,6,2),MID(Transactions!$B865,9,2)),)</f>
        <v/>
      </c>
      <c r="B865" s="56" t="str">
        <f>Transactions!$C865</f>
        <v/>
      </c>
      <c r="C865" s="51" t="str">
        <f t="array" ref="C865">IFERROR(INDEX(Portfolio!$B:$B, MATCH($B865, Portfolio!$A:$A, 0)),Transactions!$B865)</f>
        <v/>
      </c>
      <c r="D865" s="51" t="str">
        <f>IF($B865&lt;&gt;"",Transactions!$E865*1,)</f>
        <v/>
      </c>
      <c r="E865" s="51" t="str">
        <f>IF($B865&lt;&gt;"",Transactions!$F865*1,)</f>
        <v/>
      </c>
      <c r="F865" s="42" t="str">
        <f>IF(Transactions!$G865&lt;&gt;"",Transactions!$H865&amp;" "&amp;Transactions!$G865,)</f>
        <v/>
      </c>
    </row>
    <row r="866">
      <c r="A866" s="55" t="str">
        <f>IF(Transactions!$B866&lt;&gt;"",DATE(LEFT(Transactions!$B866,4),MID(Transactions!$B866,6,2),MID(Transactions!$B866,9,2)),)</f>
        <v/>
      </c>
      <c r="B866" s="56" t="str">
        <f>Transactions!$C866</f>
        <v/>
      </c>
      <c r="C866" s="51" t="str">
        <f t="array" ref="C866">IFERROR(INDEX(Portfolio!$B:$B, MATCH($B866, Portfolio!$A:$A, 0)),Transactions!$B866)</f>
        <v/>
      </c>
      <c r="D866" s="51" t="str">
        <f>IF($B866&lt;&gt;"",Transactions!$E866*1,)</f>
        <v/>
      </c>
      <c r="E866" s="51" t="str">
        <f>IF($B866&lt;&gt;"",Transactions!$F866*1,)</f>
        <v/>
      </c>
      <c r="F866" s="42" t="str">
        <f>IF(Transactions!$G866&lt;&gt;"",Transactions!$H866&amp;" "&amp;Transactions!$G866,)</f>
        <v/>
      </c>
    </row>
    <row r="867">
      <c r="A867" s="55" t="str">
        <f>IF(Transactions!$B867&lt;&gt;"",DATE(LEFT(Transactions!$B867,4),MID(Transactions!$B867,6,2),MID(Transactions!$B867,9,2)),)</f>
        <v/>
      </c>
      <c r="B867" s="56" t="str">
        <f>Transactions!$C867</f>
        <v/>
      </c>
      <c r="C867" s="51" t="str">
        <f t="array" ref="C867">IFERROR(INDEX(Portfolio!$B:$B, MATCH($B867, Portfolio!$A:$A, 0)),Transactions!$B867)</f>
        <v/>
      </c>
      <c r="D867" s="51" t="str">
        <f>IF($B867&lt;&gt;"",Transactions!$E867*1,)</f>
        <v/>
      </c>
      <c r="E867" s="51" t="str">
        <f>IF($B867&lt;&gt;"",Transactions!$F867*1,)</f>
        <v/>
      </c>
      <c r="F867" s="42" t="str">
        <f>IF(Transactions!$G867&lt;&gt;"",Transactions!$H867&amp;" "&amp;Transactions!$G867,)</f>
        <v/>
      </c>
    </row>
    <row r="868">
      <c r="A868" s="55" t="str">
        <f>IF(Transactions!$B868&lt;&gt;"",DATE(LEFT(Transactions!$B868,4),MID(Transactions!$B868,6,2),MID(Transactions!$B868,9,2)),)</f>
        <v/>
      </c>
      <c r="B868" s="56" t="str">
        <f>Transactions!$C868</f>
        <v/>
      </c>
      <c r="C868" s="51" t="str">
        <f t="array" ref="C868">IFERROR(INDEX(Portfolio!$B:$B, MATCH($B868, Portfolio!$A:$A, 0)),Transactions!$B868)</f>
        <v/>
      </c>
      <c r="D868" s="51" t="str">
        <f>IF($B868&lt;&gt;"",Transactions!$E868*1,)</f>
        <v/>
      </c>
      <c r="E868" s="51" t="str">
        <f>IF($B868&lt;&gt;"",Transactions!$F868*1,)</f>
        <v/>
      </c>
      <c r="F868" s="42" t="str">
        <f>IF(Transactions!$G868&lt;&gt;"",Transactions!$H868&amp;" "&amp;Transactions!$G868,)</f>
        <v/>
      </c>
    </row>
    <row r="869">
      <c r="A869" s="55" t="str">
        <f>IF(Transactions!$B869&lt;&gt;"",DATE(LEFT(Transactions!$B869,4),MID(Transactions!$B869,6,2),MID(Transactions!$B869,9,2)),)</f>
        <v/>
      </c>
      <c r="B869" s="56" t="str">
        <f>Transactions!$C869</f>
        <v/>
      </c>
      <c r="C869" s="51" t="str">
        <f t="array" ref="C869">IFERROR(INDEX(Portfolio!$B:$B, MATCH($B869, Portfolio!$A:$A, 0)),Transactions!$B869)</f>
        <v/>
      </c>
      <c r="D869" s="51" t="str">
        <f>IF($B869&lt;&gt;"",Transactions!$E869*1,)</f>
        <v/>
      </c>
      <c r="E869" s="51" t="str">
        <f>IF($B869&lt;&gt;"",Transactions!$F869*1,)</f>
        <v/>
      </c>
      <c r="F869" s="42" t="str">
        <f>IF(Transactions!$G869&lt;&gt;"",Transactions!$H869&amp;" "&amp;Transactions!$G869,)</f>
        <v/>
      </c>
    </row>
    <row r="870">
      <c r="A870" s="55" t="str">
        <f>IF(Transactions!$B870&lt;&gt;"",DATE(LEFT(Transactions!$B870,4),MID(Transactions!$B870,6,2),MID(Transactions!$B870,9,2)),)</f>
        <v/>
      </c>
      <c r="B870" s="56" t="str">
        <f>Transactions!$C870</f>
        <v/>
      </c>
      <c r="C870" s="51" t="str">
        <f t="array" ref="C870">IFERROR(INDEX(Portfolio!$B:$B, MATCH($B870, Portfolio!$A:$A, 0)),Transactions!$B870)</f>
        <v/>
      </c>
      <c r="D870" s="51" t="str">
        <f>IF($B870&lt;&gt;"",Transactions!$E870*1,)</f>
        <v/>
      </c>
      <c r="E870" s="51" t="str">
        <f>IF($B870&lt;&gt;"",Transactions!$F870*1,)</f>
        <v/>
      </c>
      <c r="F870" s="42" t="str">
        <f>IF(Transactions!$G870&lt;&gt;"",Transactions!$H870&amp;" "&amp;Transactions!$G870,)</f>
        <v/>
      </c>
    </row>
    <row r="871">
      <c r="A871" s="55" t="str">
        <f>IF(Transactions!$B871&lt;&gt;"",DATE(LEFT(Transactions!$B871,4),MID(Transactions!$B871,6,2),MID(Transactions!$B871,9,2)),)</f>
        <v/>
      </c>
      <c r="B871" s="56" t="str">
        <f>Transactions!$C871</f>
        <v/>
      </c>
      <c r="C871" s="51" t="str">
        <f t="array" ref="C871">IFERROR(INDEX(Portfolio!$B:$B, MATCH($B871, Portfolio!$A:$A, 0)),Transactions!$B871)</f>
        <v/>
      </c>
      <c r="D871" s="51" t="str">
        <f>IF($B871&lt;&gt;"",Transactions!$E871*1,)</f>
        <v/>
      </c>
      <c r="E871" s="51" t="str">
        <f>IF($B871&lt;&gt;"",Transactions!$F871*1,)</f>
        <v/>
      </c>
      <c r="F871" s="42" t="str">
        <f>IF(Transactions!$G871&lt;&gt;"",Transactions!$H871&amp;" "&amp;Transactions!$G871,)</f>
        <v/>
      </c>
    </row>
    <row r="872">
      <c r="A872" s="55" t="str">
        <f>IF(Transactions!$B872&lt;&gt;"",DATE(LEFT(Transactions!$B872,4),MID(Transactions!$B872,6,2),MID(Transactions!$B872,9,2)),)</f>
        <v/>
      </c>
      <c r="B872" s="56" t="str">
        <f>Transactions!$C872</f>
        <v/>
      </c>
      <c r="C872" s="51" t="str">
        <f t="array" ref="C872">IFERROR(INDEX(Portfolio!$B:$B, MATCH($B872, Portfolio!$A:$A, 0)),Transactions!$B872)</f>
        <v/>
      </c>
      <c r="D872" s="51" t="str">
        <f>IF($B872&lt;&gt;"",Transactions!$E872*1,)</f>
        <v/>
      </c>
      <c r="E872" s="51" t="str">
        <f>IF($B872&lt;&gt;"",Transactions!$F872*1,)</f>
        <v/>
      </c>
      <c r="F872" s="42" t="str">
        <f>IF(Transactions!$G872&lt;&gt;"",Transactions!$H872&amp;" "&amp;Transactions!$G872,)</f>
        <v/>
      </c>
    </row>
    <row r="873">
      <c r="A873" s="55" t="str">
        <f>IF(Transactions!$B873&lt;&gt;"",DATE(LEFT(Transactions!$B873,4),MID(Transactions!$B873,6,2),MID(Transactions!$B873,9,2)),)</f>
        <v/>
      </c>
      <c r="B873" s="56" t="str">
        <f>Transactions!$C873</f>
        <v/>
      </c>
      <c r="C873" s="51" t="str">
        <f t="array" ref="C873">IFERROR(INDEX(Portfolio!$B:$B, MATCH($B873, Portfolio!$A:$A, 0)),Transactions!$B873)</f>
        <v/>
      </c>
      <c r="D873" s="51" t="str">
        <f>IF($B873&lt;&gt;"",Transactions!$E873*1,)</f>
        <v/>
      </c>
      <c r="E873" s="51" t="str">
        <f>IF($B873&lt;&gt;"",Transactions!$F873*1,)</f>
        <v/>
      </c>
      <c r="F873" s="42" t="str">
        <f>IF(Transactions!$G873&lt;&gt;"",Transactions!$H873&amp;" "&amp;Transactions!$G873,)</f>
        <v/>
      </c>
    </row>
    <row r="874">
      <c r="A874" s="55" t="str">
        <f>IF(Transactions!$B874&lt;&gt;"",DATE(LEFT(Transactions!$B874,4),MID(Transactions!$B874,6,2),MID(Transactions!$B874,9,2)),)</f>
        <v/>
      </c>
      <c r="B874" s="56" t="str">
        <f>Transactions!$C874</f>
        <v/>
      </c>
      <c r="C874" s="51" t="str">
        <f t="array" ref="C874">IFERROR(INDEX(Portfolio!$B:$B, MATCH($B874, Portfolio!$A:$A, 0)),Transactions!$B874)</f>
        <v/>
      </c>
      <c r="D874" s="51" t="str">
        <f>IF($B874&lt;&gt;"",Transactions!$E874*1,)</f>
        <v/>
      </c>
      <c r="E874" s="51" t="str">
        <f>IF($B874&lt;&gt;"",Transactions!$F874*1,)</f>
        <v/>
      </c>
      <c r="F874" s="42" t="str">
        <f>IF(Transactions!$G874&lt;&gt;"",Transactions!$H874&amp;" "&amp;Transactions!$G874,)</f>
        <v/>
      </c>
    </row>
    <row r="875">
      <c r="A875" s="55" t="str">
        <f>IF(Transactions!$B875&lt;&gt;"",DATE(LEFT(Transactions!$B875,4),MID(Transactions!$B875,6,2),MID(Transactions!$B875,9,2)),)</f>
        <v/>
      </c>
      <c r="B875" s="56" t="str">
        <f>Transactions!$C875</f>
        <v/>
      </c>
      <c r="C875" s="51" t="str">
        <f t="array" ref="C875">IFERROR(INDEX(Portfolio!$B:$B, MATCH($B875, Portfolio!$A:$A, 0)),Transactions!$B875)</f>
        <v/>
      </c>
      <c r="D875" s="51" t="str">
        <f>IF($B875&lt;&gt;"",Transactions!$E875*1,)</f>
        <v/>
      </c>
      <c r="E875" s="51" t="str">
        <f>IF($B875&lt;&gt;"",Transactions!$F875*1,)</f>
        <v/>
      </c>
      <c r="F875" s="42" t="str">
        <f>IF(Transactions!$G875&lt;&gt;"",Transactions!$H875&amp;" "&amp;Transactions!$G875,)</f>
        <v/>
      </c>
    </row>
    <row r="876">
      <c r="A876" s="55" t="str">
        <f>IF(Transactions!$B876&lt;&gt;"",DATE(LEFT(Transactions!$B876,4),MID(Transactions!$B876,6,2),MID(Transactions!$B876,9,2)),)</f>
        <v/>
      </c>
      <c r="B876" s="56" t="str">
        <f>Transactions!$C876</f>
        <v/>
      </c>
      <c r="C876" s="51" t="str">
        <f t="array" ref="C876">IFERROR(INDEX(Portfolio!$B:$B, MATCH($B876, Portfolio!$A:$A, 0)),Transactions!$B876)</f>
        <v/>
      </c>
      <c r="D876" s="51" t="str">
        <f>IF($B876&lt;&gt;"",Transactions!$E876*1,)</f>
        <v/>
      </c>
      <c r="E876" s="51" t="str">
        <f>IF($B876&lt;&gt;"",Transactions!$F876*1,)</f>
        <v/>
      </c>
      <c r="F876" s="42" t="str">
        <f>IF(Transactions!$G876&lt;&gt;"",Transactions!$H876&amp;" "&amp;Transactions!$G876,)</f>
        <v/>
      </c>
    </row>
    <row r="877">
      <c r="A877" s="55" t="str">
        <f>IF(Transactions!$B877&lt;&gt;"",DATE(LEFT(Transactions!$B877,4),MID(Transactions!$B877,6,2),MID(Transactions!$B877,9,2)),)</f>
        <v/>
      </c>
      <c r="B877" s="56" t="str">
        <f>Transactions!$C877</f>
        <v/>
      </c>
      <c r="C877" s="51" t="str">
        <f t="array" ref="C877">IFERROR(INDEX(Portfolio!$B:$B, MATCH($B877, Portfolio!$A:$A, 0)),Transactions!$B877)</f>
        <v/>
      </c>
      <c r="D877" s="51" t="str">
        <f>IF($B877&lt;&gt;"",Transactions!$E877*1,)</f>
        <v/>
      </c>
      <c r="E877" s="51" t="str">
        <f>IF($B877&lt;&gt;"",Transactions!$F877*1,)</f>
        <v/>
      </c>
      <c r="F877" s="42" t="str">
        <f>IF(Transactions!$G877&lt;&gt;"",Transactions!$H877&amp;" "&amp;Transactions!$G877,)</f>
        <v/>
      </c>
    </row>
    <row r="878">
      <c r="A878" s="55" t="str">
        <f>IF(Transactions!$B878&lt;&gt;"",DATE(LEFT(Transactions!$B878,4),MID(Transactions!$B878,6,2),MID(Transactions!$B878,9,2)),)</f>
        <v/>
      </c>
      <c r="B878" s="56" t="str">
        <f>Transactions!$C878</f>
        <v/>
      </c>
      <c r="C878" s="51" t="str">
        <f t="array" ref="C878">IFERROR(INDEX(Portfolio!$B:$B, MATCH($B878, Portfolio!$A:$A, 0)),Transactions!$B878)</f>
        <v/>
      </c>
      <c r="D878" s="51" t="str">
        <f>IF($B878&lt;&gt;"",Transactions!$E878*1,)</f>
        <v/>
      </c>
      <c r="E878" s="51" t="str">
        <f>IF($B878&lt;&gt;"",Transactions!$F878*1,)</f>
        <v/>
      </c>
      <c r="F878" s="42" t="str">
        <f>IF(Transactions!$G878&lt;&gt;"",Transactions!$H878&amp;" "&amp;Transactions!$G878,)</f>
        <v/>
      </c>
    </row>
    <row r="879">
      <c r="A879" s="55" t="str">
        <f>IF(Transactions!$B879&lt;&gt;"",DATE(LEFT(Transactions!$B879,4),MID(Transactions!$B879,6,2),MID(Transactions!$B879,9,2)),)</f>
        <v/>
      </c>
      <c r="B879" s="56" t="str">
        <f>Transactions!$C879</f>
        <v/>
      </c>
      <c r="C879" s="51" t="str">
        <f t="array" ref="C879">IFERROR(INDEX(Portfolio!$B:$B, MATCH($B879, Portfolio!$A:$A, 0)),Transactions!$B879)</f>
        <v/>
      </c>
      <c r="D879" s="51" t="str">
        <f>IF($B879&lt;&gt;"",Transactions!$E879*1,)</f>
        <v/>
      </c>
      <c r="E879" s="51" t="str">
        <f>IF($B879&lt;&gt;"",Transactions!$F879*1,)</f>
        <v/>
      </c>
      <c r="F879" s="42" t="str">
        <f>IF(Transactions!$G879&lt;&gt;"",Transactions!$H879&amp;" "&amp;Transactions!$G879,)</f>
        <v/>
      </c>
    </row>
    <row r="880">
      <c r="A880" s="55" t="str">
        <f>IF(Transactions!$B880&lt;&gt;"",DATE(LEFT(Transactions!$B880,4),MID(Transactions!$B880,6,2),MID(Transactions!$B880,9,2)),)</f>
        <v/>
      </c>
      <c r="B880" s="56" t="str">
        <f>Transactions!$C880</f>
        <v/>
      </c>
      <c r="C880" s="51" t="str">
        <f t="array" ref="C880">IFERROR(INDEX(Portfolio!$B:$B, MATCH($B880, Portfolio!$A:$A, 0)),Transactions!$B880)</f>
        <v/>
      </c>
      <c r="D880" s="51" t="str">
        <f>IF($B880&lt;&gt;"",Transactions!$E880*1,)</f>
        <v/>
      </c>
      <c r="E880" s="51" t="str">
        <f>IF($B880&lt;&gt;"",Transactions!$F880*1,)</f>
        <v/>
      </c>
      <c r="F880" s="42" t="str">
        <f>IF(Transactions!$G880&lt;&gt;"",Transactions!$H880&amp;" "&amp;Transactions!$G880,)</f>
        <v/>
      </c>
    </row>
    <row r="881">
      <c r="A881" s="55" t="str">
        <f>IF(Transactions!$B881&lt;&gt;"",DATE(LEFT(Transactions!$B881,4),MID(Transactions!$B881,6,2),MID(Transactions!$B881,9,2)),)</f>
        <v/>
      </c>
      <c r="B881" s="56" t="str">
        <f>Transactions!$C881</f>
        <v/>
      </c>
      <c r="C881" s="51" t="str">
        <f t="array" ref="C881">IFERROR(INDEX(Portfolio!$B:$B, MATCH($B881, Portfolio!$A:$A, 0)),Transactions!$B881)</f>
        <v/>
      </c>
      <c r="D881" s="51" t="str">
        <f>IF($B881&lt;&gt;"",Transactions!$E881*1,)</f>
        <v/>
      </c>
      <c r="E881" s="51" t="str">
        <f>IF($B881&lt;&gt;"",Transactions!$F881*1,)</f>
        <v/>
      </c>
      <c r="F881" s="42" t="str">
        <f>IF(Transactions!$G881&lt;&gt;"",Transactions!$H881&amp;" "&amp;Transactions!$G881,)</f>
        <v/>
      </c>
    </row>
    <row r="882">
      <c r="A882" s="55" t="str">
        <f>IF(Transactions!$B882&lt;&gt;"",DATE(LEFT(Transactions!$B882,4),MID(Transactions!$B882,6,2),MID(Transactions!$B882,9,2)),)</f>
        <v/>
      </c>
      <c r="B882" s="56" t="str">
        <f>Transactions!$C882</f>
        <v/>
      </c>
      <c r="C882" s="51" t="str">
        <f t="array" ref="C882">IFERROR(INDEX(Portfolio!$B:$B, MATCH($B882, Portfolio!$A:$A, 0)),Transactions!$B882)</f>
        <v/>
      </c>
      <c r="D882" s="51" t="str">
        <f>IF($B882&lt;&gt;"",Transactions!$E882*1,)</f>
        <v/>
      </c>
      <c r="E882" s="51" t="str">
        <f>IF($B882&lt;&gt;"",Transactions!$F882*1,)</f>
        <v/>
      </c>
      <c r="F882" s="42" t="str">
        <f>IF(Transactions!$G882&lt;&gt;"",Transactions!$H882&amp;" "&amp;Transactions!$G882,)</f>
        <v/>
      </c>
    </row>
    <row r="883">
      <c r="A883" s="55" t="str">
        <f>IF(Transactions!$B883&lt;&gt;"",DATE(LEFT(Transactions!$B883,4),MID(Transactions!$B883,6,2),MID(Transactions!$B883,9,2)),)</f>
        <v/>
      </c>
      <c r="B883" s="56" t="str">
        <f>Transactions!$C883</f>
        <v/>
      </c>
      <c r="C883" s="51" t="str">
        <f t="array" ref="C883">IFERROR(INDEX(Portfolio!$B:$B, MATCH($B883, Portfolio!$A:$A, 0)),Transactions!$B883)</f>
        <v/>
      </c>
      <c r="D883" s="51" t="str">
        <f>IF($B883&lt;&gt;"",Transactions!$E883*1,)</f>
        <v/>
      </c>
      <c r="E883" s="51" t="str">
        <f>IF($B883&lt;&gt;"",Transactions!$F883*1,)</f>
        <v/>
      </c>
      <c r="F883" s="42" t="str">
        <f>IF(Transactions!$G883&lt;&gt;"",Transactions!$H883&amp;" "&amp;Transactions!$G883,)</f>
        <v/>
      </c>
    </row>
    <row r="884">
      <c r="A884" s="55" t="str">
        <f>IF(Transactions!$B884&lt;&gt;"",DATE(LEFT(Transactions!$B884,4),MID(Transactions!$B884,6,2),MID(Transactions!$B884,9,2)),)</f>
        <v/>
      </c>
      <c r="B884" s="56" t="str">
        <f>Transactions!$C884</f>
        <v/>
      </c>
      <c r="C884" s="51" t="str">
        <f t="array" ref="C884">IFERROR(INDEX(Portfolio!$B:$B, MATCH($B884, Portfolio!$A:$A, 0)),Transactions!$B884)</f>
        <v/>
      </c>
      <c r="D884" s="51" t="str">
        <f>IF($B884&lt;&gt;"",Transactions!$E884*1,)</f>
        <v/>
      </c>
      <c r="E884" s="51" t="str">
        <f>IF($B884&lt;&gt;"",Transactions!$F884*1,)</f>
        <v/>
      </c>
      <c r="F884" s="42" t="str">
        <f>IF(Transactions!$G884&lt;&gt;"",Transactions!$H884&amp;" "&amp;Transactions!$G884,)</f>
        <v/>
      </c>
    </row>
    <row r="885">
      <c r="A885" s="55" t="str">
        <f>IF(Transactions!$B885&lt;&gt;"",DATE(LEFT(Transactions!$B885,4),MID(Transactions!$B885,6,2),MID(Transactions!$B885,9,2)),)</f>
        <v/>
      </c>
      <c r="B885" s="56" t="str">
        <f>Transactions!$C885</f>
        <v/>
      </c>
      <c r="C885" s="51" t="str">
        <f t="array" ref="C885">IFERROR(INDEX(Portfolio!$B:$B, MATCH($B885, Portfolio!$A:$A, 0)),Transactions!$B885)</f>
        <v/>
      </c>
      <c r="D885" s="51" t="str">
        <f>IF($B885&lt;&gt;"",Transactions!$E885*1,)</f>
        <v/>
      </c>
      <c r="E885" s="51" t="str">
        <f>IF($B885&lt;&gt;"",Transactions!$F885*1,)</f>
        <v/>
      </c>
      <c r="F885" s="42" t="str">
        <f>IF(Transactions!$G885&lt;&gt;"",Transactions!$H885&amp;" "&amp;Transactions!$G885,)</f>
        <v/>
      </c>
    </row>
    <row r="886">
      <c r="A886" s="55" t="str">
        <f>IF(Transactions!$B886&lt;&gt;"",DATE(LEFT(Transactions!$B886,4),MID(Transactions!$B886,6,2),MID(Transactions!$B886,9,2)),)</f>
        <v/>
      </c>
      <c r="B886" s="56" t="str">
        <f>Transactions!$C886</f>
        <v/>
      </c>
      <c r="C886" s="51" t="str">
        <f t="array" ref="C886">IFERROR(INDEX(Portfolio!$B:$B, MATCH($B886, Portfolio!$A:$A, 0)),Transactions!$B886)</f>
        <v/>
      </c>
      <c r="D886" s="51" t="str">
        <f>IF($B886&lt;&gt;"",Transactions!$E886*1,)</f>
        <v/>
      </c>
      <c r="E886" s="51" t="str">
        <f>IF($B886&lt;&gt;"",Transactions!$F886*1,)</f>
        <v/>
      </c>
      <c r="F886" s="42" t="str">
        <f>IF(Transactions!$G886&lt;&gt;"",Transactions!$H886&amp;" "&amp;Transactions!$G886,)</f>
        <v/>
      </c>
    </row>
    <row r="887">
      <c r="A887" s="55" t="str">
        <f>IF(Transactions!$B887&lt;&gt;"",DATE(LEFT(Transactions!$B887,4),MID(Transactions!$B887,6,2),MID(Transactions!$B887,9,2)),)</f>
        <v/>
      </c>
      <c r="B887" s="56" t="str">
        <f>Transactions!$C887</f>
        <v/>
      </c>
      <c r="C887" s="51" t="str">
        <f t="array" ref="C887">IFERROR(INDEX(Portfolio!$B:$B, MATCH($B887, Portfolio!$A:$A, 0)),Transactions!$B887)</f>
        <v/>
      </c>
      <c r="D887" s="51" t="str">
        <f>IF($B887&lt;&gt;"",Transactions!$E887*1,)</f>
        <v/>
      </c>
      <c r="E887" s="51" t="str">
        <f>IF($B887&lt;&gt;"",Transactions!$F887*1,)</f>
        <v/>
      </c>
      <c r="F887" s="42" t="str">
        <f>IF(Transactions!$G887&lt;&gt;"",Transactions!$H887&amp;" "&amp;Transactions!$G887,)</f>
        <v/>
      </c>
    </row>
    <row r="888">
      <c r="A888" s="55" t="str">
        <f>IF(Transactions!$B888&lt;&gt;"",DATE(LEFT(Transactions!$B888,4),MID(Transactions!$B888,6,2),MID(Transactions!$B888,9,2)),)</f>
        <v/>
      </c>
      <c r="B888" s="56" t="str">
        <f>Transactions!$C888</f>
        <v/>
      </c>
      <c r="C888" s="51" t="str">
        <f t="array" ref="C888">IFERROR(INDEX(Portfolio!$B:$B, MATCH($B888, Portfolio!$A:$A, 0)),Transactions!$B888)</f>
        <v/>
      </c>
      <c r="D888" s="51" t="str">
        <f>IF($B888&lt;&gt;"",Transactions!$E888*1,)</f>
        <v/>
      </c>
      <c r="E888" s="51" t="str">
        <f>IF($B888&lt;&gt;"",Transactions!$F888*1,)</f>
        <v/>
      </c>
      <c r="F888" s="42" t="str">
        <f>IF(Transactions!$G888&lt;&gt;"",Transactions!$H888&amp;" "&amp;Transactions!$G888,)</f>
        <v/>
      </c>
    </row>
    <row r="889">
      <c r="A889" s="55" t="str">
        <f>IF(Transactions!$B889&lt;&gt;"",DATE(LEFT(Transactions!$B889,4),MID(Transactions!$B889,6,2),MID(Transactions!$B889,9,2)),)</f>
        <v/>
      </c>
      <c r="B889" s="56" t="str">
        <f>Transactions!$C889</f>
        <v/>
      </c>
      <c r="C889" s="51" t="str">
        <f t="array" ref="C889">IFERROR(INDEX(Portfolio!$B:$B, MATCH($B889, Portfolio!$A:$A, 0)),Transactions!$B889)</f>
        <v/>
      </c>
      <c r="D889" s="51" t="str">
        <f>IF($B889&lt;&gt;"",Transactions!$E889*1,)</f>
        <v/>
      </c>
      <c r="E889" s="51" t="str">
        <f>IF($B889&lt;&gt;"",Transactions!$F889*1,)</f>
        <v/>
      </c>
      <c r="F889" s="42" t="str">
        <f>IF(Transactions!$G889&lt;&gt;"",Transactions!$H889&amp;" "&amp;Transactions!$G889,)</f>
        <v/>
      </c>
    </row>
    <row r="890">
      <c r="A890" s="55" t="str">
        <f>IF(Transactions!$B890&lt;&gt;"",DATE(LEFT(Transactions!$B890,4),MID(Transactions!$B890,6,2),MID(Transactions!$B890,9,2)),)</f>
        <v/>
      </c>
      <c r="B890" s="56" t="str">
        <f>Transactions!$C890</f>
        <v/>
      </c>
      <c r="C890" s="51" t="str">
        <f t="array" ref="C890">IFERROR(INDEX(Portfolio!$B:$B, MATCH($B890, Portfolio!$A:$A, 0)),Transactions!$B890)</f>
        <v/>
      </c>
      <c r="D890" s="51" t="str">
        <f>IF($B890&lt;&gt;"",Transactions!$E890*1,)</f>
        <v/>
      </c>
      <c r="E890" s="51" t="str">
        <f>IF($B890&lt;&gt;"",Transactions!$F890*1,)</f>
        <v/>
      </c>
      <c r="F890" s="42" t="str">
        <f>IF(Transactions!$G890&lt;&gt;"",Transactions!$H890&amp;" "&amp;Transactions!$G890,)</f>
        <v/>
      </c>
    </row>
    <row r="891">
      <c r="A891" s="55" t="str">
        <f>IF(Transactions!$B891&lt;&gt;"",DATE(LEFT(Transactions!$B891,4),MID(Transactions!$B891,6,2),MID(Transactions!$B891,9,2)),)</f>
        <v/>
      </c>
      <c r="B891" s="56" t="str">
        <f>Transactions!$C891</f>
        <v/>
      </c>
      <c r="C891" s="51" t="str">
        <f t="array" ref="C891">IFERROR(INDEX(Portfolio!$B:$B, MATCH($B891, Portfolio!$A:$A, 0)),Transactions!$B891)</f>
        <v/>
      </c>
      <c r="D891" s="51" t="str">
        <f>IF($B891&lt;&gt;"",Transactions!$E891*1,)</f>
        <v/>
      </c>
      <c r="E891" s="51" t="str">
        <f>IF($B891&lt;&gt;"",Transactions!$F891*1,)</f>
        <v/>
      </c>
      <c r="F891" s="42" t="str">
        <f>IF(Transactions!$G891&lt;&gt;"",Transactions!$H891&amp;" "&amp;Transactions!$G891,)</f>
        <v/>
      </c>
    </row>
    <row r="892">
      <c r="A892" s="55" t="str">
        <f>IF(Transactions!$B892&lt;&gt;"",DATE(LEFT(Transactions!$B892,4),MID(Transactions!$B892,6,2),MID(Transactions!$B892,9,2)),)</f>
        <v/>
      </c>
      <c r="B892" s="56" t="str">
        <f>Transactions!$C892</f>
        <v/>
      </c>
      <c r="C892" s="51" t="str">
        <f t="array" ref="C892">IFERROR(INDEX(Portfolio!$B:$B, MATCH($B892, Portfolio!$A:$A, 0)),Transactions!$B892)</f>
        <v/>
      </c>
      <c r="D892" s="51" t="str">
        <f>IF($B892&lt;&gt;"",Transactions!$E892*1,)</f>
        <v/>
      </c>
      <c r="E892" s="51" t="str">
        <f>IF($B892&lt;&gt;"",Transactions!$F892*1,)</f>
        <v/>
      </c>
      <c r="F892" s="42" t="str">
        <f>IF(Transactions!$G892&lt;&gt;"",Transactions!$H892&amp;" "&amp;Transactions!$G892,)</f>
        <v/>
      </c>
    </row>
    <row r="893">
      <c r="A893" s="55" t="str">
        <f>IF(Transactions!$B893&lt;&gt;"",DATE(LEFT(Transactions!$B893,4),MID(Transactions!$B893,6,2),MID(Transactions!$B893,9,2)),)</f>
        <v/>
      </c>
      <c r="B893" s="56" t="str">
        <f>Transactions!$C893</f>
        <v/>
      </c>
      <c r="C893" s="51" t="str">
        <f t="array" ref="C893">IFERROR(INDEX(Portfolio!$B:$B, MATCH($B893, Portfolio!$A:$A, 0)),Transactions!$B893)</f>
        <v/>
      </c>
      <c r="D893" s="51" t="str">
        <f>IF($B893&lt;&gt;"",Transactions!$E893*1,)</f>
        <v/>
      </c>
      <c r="E893" s="51" t="str">
        <f>IF($B893&lt;&gt;"",Transactions!$F893*1,)</f>
        <v/>
      </c>
      <c r="F893" s="42" t="str">
        <f>IF(Transactions!$G893&lt;&gt;"",Transactions!$H893&amp;" "&amp;Transactions!$G893,)</f>
        <v/>
      </c>
    </row>
    <row r="894">
      <c r="A894" s="55" t="str">
        <f>IF(Transactions!$B894&lt;&gt;"",DATE(LEFT(Transactions!$B894,4),MID(Transactions!$B894,6,2),MID(Transactions!$B894,9,2)),)</f>
        <v/>
      </c>
      <c r="B894" s="56" t="str">
        <f>Transactions!$C894</f>
        <v/>
      </c>
      <c r="C894" s="51" t="str">
        <f t="array" ref="C894">IFERROR(INDEX(Portfolio!$B:$B, MATCH($B894, Portfolio!$A:$A, 0)),Transactions!$B894)</f>
        <v/>
      </c>
      <c r="D894" s="51" t="str">
        <f>IF($B894&lt;&gt;"",Transactions!$E894*1,)</f>
        <v/>
      </c>
      <c r="E894" s="51" t="str">
        <f>IF($B894&lt;&gt;"",Transactions!$F894*1,)</f>
        <v/>
      </c>
      <c r="F894" s="42" t="str">
        <f>IF(Transactions!$G894&lt;&gt;"",Transactions!$H894&amp;" "&amp;Transactions!$G894,)</f>
        <v/>
      </c>
    </row>
    <row r="895">
      <c r="A895" s="55" t="str">
        <f>IF(Transactions!$B895&lt;&gt;"",DATE(LEFT(Transactions!$B895,4),MID(Transactions!$B895,6,2),MID(Transactions!$B895,9,2)),)</f>
        <v/>
      </c>
      <c r="B895" s="56" t="str">
        <f>Transactions!$C895</f>
        <v/>
      </c>
      <c r="C895" s="51" t="str">
        <f t="array" ref="C895">IFERROR(INDEX(Portfolio!$B:$B, MATCH($B895, Portfolio!$A:$A, 0)),Transactions!$B895)</f>
        <v/>
      </c>
      <c r="D895" s="51" t="str">
        <f>IF($B895&lt;&gt;"",Transactions!$E895*1,)</f>
        <v/>
      </c>
      <c r="E895" s="51" t="str">
        <f>IF($B895&lt;&gt;"",Transactions!$F895*1,)</f>
        <v/>
      </c>
      <c r="F895" s="42" t="str">
        <f>IF(Transactions!$G895&lt;&gt;"",Transactions!$H895&amp;" "&amp;Transactions!$G895,)</f>
        <v/>
      </c>
    </row>
    <row r="896">
      <c r="A896" s="55" t="str">
        <f>IF(Transactions!$B896&lt;&gt;"",DATE(LEFT(Transactions!$B896,4),MID(Transactions!$B896,6,2),MID(Transactions!$B896,9,2)),)</f>
        <v/>
      </c>
      <c r="B896" s="56" t="str">
        <f>Transactions!$C896</f>
        <v/>
      </c>
      <c r="C896" s="51" t="str">
        <f t="array" ref="C896">IFERROR(INDEX(Portfolio!$B:$B, MATCH($B896, Portfolio!$A:$A, 0)),Transactions!$B896)</f>
        <v/>
      </c>
      <c r="D896" s="51" t="str">
        <f>IF($B896&lt;&gt;"",Transactions!$E896*1,)</f>
        <v/>
      </c>
      <c r="E896" s="51" t="str">
        <f>IF($B896&lt;&gt;"",Transactions!$F896*1,)</f>
        <v/>
      </c>
      <c r="F896" s="42" t="str">
        <f>IF(Transactions!$G896&lt;&gt;"",Transactions!$H896&amp;" "&amp;Transactions!$G896,)</f>
        <v/>
      </c>
    </row>
    <row r="897">
      <c r="A897" s="55" t="str">
        <f>IF(Transactions!$B897&lt;&gt;"",DATE(LEFT(Transactions!$B897,4),MID(Transactions!$B897,6,2),MID(Transactions!$B897,9,2)),)</f>
        <v/>
      </c>
      <c r="B897" s="56" t="str">
        <f>Transactions!$C897</f>
        <v/>
      </c>
      <c r="C897" s="51" t="str">
        <f t="array" ref="C897">IFERROR(INDEX(Portfolio!$B:$B, MATCH($B897, Portfolio!$A:$A, 0)),Transactions!$B897)</f>
        <v/>
      </c>
      <c r="D897" s="51" t="str">
        <f>IF($B897&lt;&gt;"",Transactions!$E897*1,)</f>
        <v/>
      </c>
      <c r="E897" s="51" t="str">
        <f>IF($B897&lt;&gt;"",Transactions!$F897*1,)</f>
        <v/>
      </c>
      <c r="F897" s="42" t="str">
        <f>IF(Transactions!$G897&lt;&gt;"",Transactions!$H897&amp;" "&amp;Transactions!$G897,)</f>
        <v/>
      </c>
    </row>
    <row r="898">
      <c r="A898" s="55" t="str">
        <f>IF(Transactions!$B898&lt;&gt;"",DATE(LEFT(Transactions!$B898,4),MID(Transactions!$B898,6,2),MID(Transactions!$B898,9,2)),)</f>
        <v/>
      </c>
      <c r="B898" s="56" t="str">
        <f>Transactions!$C898</f>
        <v/>
      </c>
      <c r="C898" s="51" t="str">
        <f t="array" ref="C898">IFERROR(INDEX(Portfolio!$B:$B, MATCH($B898, Portfolio!$A:$A, 0)),Transactions!$B898)</f>
        <v/>
      </c>
      <c r="D898" s="51" t="str">
        <f>IF($B898&lt;&gt;"",Transactions!$E898*1,)</f>
        <v/>
      </c>
      <c r="E898" s="51" t="str">
        <f>IF($B898&lt;&gt;"",Transactions!$F898*1,)</f>
        <v/>
      </c>
      <c r="F898" s="42" t="str">
        <f>IF(Transactions!$G898&lt;&gt;"",Transactions!$H898&amp;" "&amp;Transactions!$G898,)</f>
        <v/>
      </c>
    </row>
    <row r="899">
      <c r="A899" s="55" t="str">
        <f>IF(Transactions!$B899&lt;&gt;"",DATE(LEFT(Transactions!$B899,4),MID(Transactions!$B899,6,2),MID(Transactions!$B899,9,2)),)</f>
        <v/>
      </c>
      <c r="B899" s="56" t="str">
        <f>Transactions!$C899</f>
        <v/>
      </c>
      <c r="C899" s="51" t="str">
        <f t="array" ref="C899">IFERROR(INDEX(Portfolio!$B:$B, MATCH($B899, Portfolio!$A:$A, 0)),Transactions!$B899)</f>
        <v/>
      </c>
      <c r="D899" s="51" t="str">
        <f>IF($B899&lt;&gt;"",Transactions!$E899*1,)</f>
        <v/>
      </c>
      <c r="E899" s="51" t="str">
        <f>IF($B899&lt;&gt;"",Transactions!$F899*1,)</f>
        <v/>
      </c>
      <c r="F899" s="42" t="str">
        <f>IF(Transactions!$G899&lt;&gt;"",Transactions!$H899&amp;" "&amp;Transactions!$G899,)</f>
        <v/>
      </c>
    </row>
    <row r="900">
      <c r="A900" s="55" t="str">
        <f>IF(Transactions!$B900&lt;&gt;"",DATE(LEFT(Transactions!$B900,4),MID(Transactions!$B900,6,2),MID(Transactions!$B900,9,2)),)</f>
        <v/>
      </c>
      <c r="B900" s="56" t="str">
        <f>Transactions!$C900</f>
        <v/>
      </c>
      <c r="C900" s="51" t="str">
        <f t="array" ref="C900">IFERROR(INDEX(Portfolio!$B:$B, MATCH($B900, Portfolio!$A:$A, 0)),Transactions!$B900)</f>
        <v/>
      </c>
      <c r="D900" s="51" t="str">
        <f>IF($B900&lt;&gt;"",Transactions!$E900*1,)</f>
        <v/>
      </c>
      <c r="E900" s="51" t="str">
        <f>IF($B900&lt;&gt;"",Transactions!$F900*1,)</f>
        <v/>
      </c>
      <c r="F900" s="42" t="str">
        <f>IF(Transactions!$G900&lt;&gt;"",Transactions!$H900&amp;" "&amp;Transactions!$G900,)</f>
        <v/>
      </c>
    </row>
    <row r="901">
      <c r="A901" s="55" t="str">
        <f>IF(Transactions!$B901&lt;&gt;"",DATE(LEFT(Transactions!$B901,4),MID(Transactions!$B901,6,2),MID(Transactions!$B901,9,2)),)</f>
        <v/>
      </c>
      <c r="B901" s="56" t="str">
        <f>Transactions!$C901</f>
        <v/>
      </c>
      <c r="C901" s="51" t="str">
        <f t="array" ref="C901">IFERROR(INDEX(Portfolio!$B:$B, MATCH($B901, Portfolio!$A:$A, 0)),Transactions!$B901)</f>
        <v/>
      </c>
      <c r="D901" s="51" t="str">
        <f>IF($B901&lt;&gt;"",Transactions!$E901*1,)</f>
        <v/>
      </c>
      <c r="E901" s="51" t="str">
        <f>IF($B901&lt;&gt;"",Transactions!$F901*1,)</f>
        <v/>
      </c>
      <c r="F901" s="42" t="str">
        <f>IF(Transactions!$G901&lt;&gt;"",Transactions!$H901&amp;" "&amp;Transactions!$G901,)</f>
        <v/>
      </c>
    </row>
    <row r="902">
      <c r="A902" s="55" t="str">
        <f>IF(Transactions!$B902&lt;&gt;"",DATE(LEFT(Transactions!$B902,4),MID(Transactions!$B902,6,2),MID(Transactions!$B902,9,2)),)</f>
        <v/>
      </c>
      <c r="B902" s="56" t="str">
        <f>Transactions!$C902</f>
        <v/>
      </c>
      <c r="C902" s="51" t="str">
        <f t="array" ref="C902">IFERROR(INDEX(Portfolio!$B:$B, MATCH($B902, Portfolio!$A:$A, 0)),Transactions!$B902)</f>
        <v/>
      </c>
      <c r="D902" s="51" t="str">
        <f>IF($B902&lt;&gt;"",Transactions!$E902*1,)</f>
        <v/>
      </c>
      <c r="E902" s="51" t="str">
        <f>IF($B902&lt;&gt;"",Transactions!$F902*1,)</f>
        <v/>
      </c>
      <c r="F902" s="42" t="str">
        <f>IF(Transactions!$G902&lt;&gt;"",Transactions!$H902&amp;" "&amp;Transactions!$G902,)</f>
        <v/>
      </c>
    </row>
    <row r="903">
      <c r="A903" s="55" t="str">
        <f>IF(Transactions!$B903&lt;&gt;"",DATE(LEFT(Transactions!$B903,4),MID(Transactions!$B903,6,2),MID(Transactions!$B903,9,2)),)</f>
        <v/>
      </c>
      <c r="B903" s="56" t="str">
        <f>Transactions!$C903</f>
        <v/>
      </c>
      <c r="C903" s="51" t="str">
        <f t="array" ref="C903">IFERROR(INDEX(Portfolio!$B:$B, MATCH($B903, Portfolio!$A:$A, 0)),Transactions!$B903)</f>
        <v/>
      </c>
      <c r="D903" s="51" t="str">
        <f>IF($B903&lt;&gt;"",Transactions!$E903*1,)</f>
        <v/>
      </c>
      <c r="E903" s="51" t="str">
        <f>IF($B903&lt;&gt;"",Transactions!$F903*1,)</f>
        <v/>
      </c>
      <c r="F903" s="42" t="str">
        <f>IF(Transactions!$G903&lt;&gt;"",Transactions!$H903&amp;" "&amp;Transactions!$G903,)</f>
        <v/>
      </c>
    </row>
    <row r="904">
      <c r="A904" s="55" t="str">
        <f>IF(Transactions!$B904&lt;&gt;"",DATE(LEFT(Transactions!$B904,4),MID(Transactions!$B904,6,2),MID(Transactions!$B904,9,2)),)</f>
        <v/>
      </c>
      <c r="B904" s="56" t="str">
        <f>Transactions!$C904</f>
        <v/>
      </c>
      <c r="C904" s="51" t="str">
        <f t="array" ref="C904">IFERROR(INDEX(Portfolio!$B:$B, MATCH($B904, Portfolio!$A:$A, 0)),Transactions!$B904)</f>
        <v/>
      </c>
      <c r="D904" s="51" t="str">
        <f>IF($B904&lt;&gt;"",Transactions!$E904*1,)</f>
        <v/>
      </c>
      <c r="E904" s="51" t="str">
        <f>IF($B904&lt;&gt;"",Transactions!$F904*1,)</f>
        <v/>
      </c>
      <c r="F904" s="42" t="str">
        <f>IF(Transactions!$G904&lt;&gt;"",Transactions!$H904&amp;" "&amp;Transactions!$G904,)</f>
        <v/>
      </c>
    </row>
    <row r="905">
      <c r="A905" s="55" t="str">
        <f>IF(Transactions!$B905&lt;&gt;"",DATE(LEFT(Transactions!$B905,4),MID(Transactions!$B905,6,2),MID(Transactions!$B905,9,2)),)</f>
        <v/>
      </c>
      <c r="B905" s="56" t="str">
        <f>Transactions!$C905</f>
        <v/>
      </c>
      <c r="C905" s="51" t="str">
        <f t="array" ref="C905">IFERROR(INDEX(Portfolio!$B:$B, MATCH($B905, Portfolio!$A:$A, 0)),Transactions!$B905)</f>
        <v/>
      </c>
      <c r="D905" s="51" t="str">
        <f>IF($B905&lt;&gt;"",Transactions!$E905*1,)</f>
        <v/>
      </c>
      <c r="E905" s="51" t="str">
        <f>IF($B905&lt;&gt;"",Transactions!$F905*1,)</f>
        <v/>
      </c>
      <c r="F905" s="42" t="str">
        <f>IF(Transactions!$G905&lt;&gt;"",Transactions!$H905&amp;" "&amp;Transactions!$G905,)</f>
        <v/>
      </c>
    </row>
    <row r="906">
      <c r="A906" s="55" t="str">
        <f>IF(Transactions!$B906&lt;&gt;"",DATE(LEFT(Transactions!$B906,4),MID(Transactions!$B906,6,2),MID(Transactions!$B906,9,2)),)</f>
        <v/>
      </c>
      <c r="B906" s="56" t="str">
        <f>Transactions!$C906</f>
        <v/>
      </c>
      <c r="C906" s="51" t="str">
        <f t="array" ref="C906">IFERROR(INDEX(Portfolio!$B:$B, MATCH($B906, Portfolio!$A:$A, 0)),Transactions!$B906)</f>
        <v/>
      </c>
      <c r="D906" s="51" t="str">
        <f>IF($B906&lt;&gt;"",Transactions!$E906*1,)</f>
        <v/>
      </c>
      <c r="E906" s="51" t="str">
        <f>IF($B906&lt;&gt;"",Transactions!$F906*1,)</f>
        <v/>
      </c>
      <c r="F906" s="42" t="str">
        <f>IF(Transactions!$G906&lt;&gt;"",Transactions!$H906&amp;" "&amp;Transactions!$G906,)</f>
        <v/>
      </c>
    </row>
    <row r="907">
      <c r="A907" s="55" t="str">
        <f>IF(Transactions!$B907&lt;&gt;"",DATE(LEFT(Transactions!$B907,4),MID(Transactions!$B907,6,2),MID(Transactions!$B907,9,2)),)</f>
        <v/>
      </c>
      <c r="B907" s="56" t="str">
        <f>Transactions!$C907</f>
        <v/>
      </c>
      <c r="C907" s="51" t="str">
        <f t="array" ref="C907">IFERROR(INDEX(Portfolio!$B:$B, MATCH($B907, Portfolio!$A:$A, 0)),Transactions!$B907)</f>
        <v/>
      </c>
      <c r="D907" s="51" t="str">
        <f>IF($B907&lt;&gt;"",Transactions!$E907*1,)</f>
        <v/>
      </c>
      <c r="E907" s="51" t="str">
        <f>IF($B907&lt;&gt;"",Transactions!$F907*1,)</f>
        <v/>
      </c>
      <c r="F907" s="42" t="str">
        <f>IF(Transactions!$G907&lt;&gt;"",Transactions!$H907&amp;" "&amp;Transactions!$G907,)</f>
        <v/>
      </c>
    </row>
    <row r="908">
      <c r="A908" s="55" t="str">
        <f>IF(Transactions!$B908&lt;&gt;"",DATE(LEFT(Transactions!$B908,4),MID(Transactions!$B908,6,2),MID(Transactions!$B908,9,2)),)</f>
        <v/>
      </c>
      <c r="B908" s="56" t="str">
        <f>Transactions!$C908</f>
        <v/>
      </c>
      <c r="C908" s="51" t="str">
        <f t="array" ref="C908">IFERROR(INDEX(Portfolio!$B:$B, MATCH($B908, Portfolio!$A:$A, 0)),Transactions!$B908)</f>
        <v/>
      </c>
      <c r="D908" s="51" t="str">
        <f>IF($B908&lt;&gt;"",Transactions!$E908*1,)</f>
        <v/>
      </c>
      <c r="E908" s="51" t="str">
        <f>IF($B908&lt;&gt;"",Transactions!$F908*1,)</f>
        <v/>
      </c>
      <c r="F908" s="42" t="str">
        <f>IF(Transactions!$G908&lt;&gt;"",Transactions!$H908&amp;" "&amp;Transactions!$G908,)</f>
        <v/>
      </c>
    </row>
    <row r="909">
      <c r="A909" s="55" t="str">
        <f>IF(Transactions!$B909&lt;&gt;"",DATE(LEFT(Transactions!$B909,4),MID(Transactions!$B909,6,2),MID(Transactions!$B909,9,2)),)</f>
        <v/>
      </c>
      <c r="B909" s="56" t="str">
        <f>Transactions!$C909</f>
        <v/>
      </c>
      <c r="C909" s="51" t="str">
        <f t="array" ref="C909">IFERROR(INDEX(Portfolio!$B:$B, MATCH($B909, Portfolio!$A:$A, 0)),Transactions!$B909)</f>
        <v/>
      </c>
      <c r="D909" s="51" t="str">
        <f>IF($B909&lt;&gt;"",Transactions!$E909*1,)</f>
        <v/>
      </c>
      <c r="E909" s="51" t="str">
        <f>IF($B909&lt;&gt;"",Transactions!$F909*1,)</f>
        <v/>
      </c>
      <c r="F909" s="42" t="str">
        <f>IF(Transactions!$G909&lt;&gt;"",Transactions!$H909&amp;" "&amp;Transactions!$G909,)</f>
        <v/>
      </c>
    </row>
    <row r="910">
      <c r="A910" s="55" t="str">
        <f>IF(Transactions!$B910&lt;&gt;"",DATE(LEFT(Transactions!$B910,4),MID(Transactions!$B910,6,2),MID(Transactions!$B910,9,2)),)</f>
        <v/>
      </c>
      <c r="B910" s="56" t="str">
        <f>Transactions!$C910</f>
        <v/>
      </c>
      <c r="C910" s="51" t="str">
        <f t="array" ref="C910">IFERROR(INDEX(Portfolio!$B:$B, MATCH($B910, Portfolio!$A:$A, 0)),Transactions!$B910)</f>
        <v/>
      </c>
      <c r="D910" s="51" t="str">
        <f>IF($B910&lt;&gt;"",Transactions!$E910*1,)</f>
        <v/>
      </c>
      <c r="E910" s="51" t="str">
        <f>IF($B910&lt;&gt;"",Transactions!$F910*1,)</f>
        <v/>
      </c>
      <c r="F910" s="42" t="str">
        <f>IF(Transactions!$G910&lt;&gt;"",Transactions!$H910&amp;" "&amp;Transactions!$G910,)</f>
        <v/>
      </c>
    </row>
    <row r="911">
      <c r="A911" s="55" t="str">
        <f>IF(Transactions!$B911&lt;&gt;"",DATE(LEFT(Transactions!$B911,4),MID(Transactions!$B911,6,2),MID(Transactions!$B911,9,2)),)</f>
        <v/>
      </c>
      <c r="B911" s="56" t="str">
        <f>Transactions!$C911</f>
        <v/>
      </c>
      <c r="C911" s="51" t="str">
        <f t="array" ref="C911">IFERROR(INDEX(Portfolio!$B:$B, MATCH($B911, Portfolio!$A:$A, 0)),Transactions!$B911)</f>
        <v/>
      </c>
      <c r="D911" s="51" t="str">
        <f>IF($B911&lt;&gt;"",Transactions!$E911*1,)</f>
        <v/>
      </c>
      <c r="E911" s="51" t="str">
        <f>IF($B911&lt;&gt;"",Transactions!$F911*1,)</f>
        <v/>
      </c>
      <c r="F911" s="42" t="str">
        <f>IF(Transactions!$G911&lt;&gt;"",Transactions!$H911&amp;" "&amp;Transactions!$G911,)</f>
        <v/>
      </c>
    </row>
    <row r="912">
      <c r="A912" s="55" t="str">
        <f>IF(Transactions!$B912&lt;&gt;"",DATE(LEFT(Transactions!$B912,4),MID(Transactions!$B912,6,2),MID(Transactions!$B912,9,2)),)</f>
        <v/>
      </c>
      <c r="B912" s="56" t="str">
        <f>Transactions!$C912</f>
        <v/>
      </c>
      <c r="C912" s="51" t="str">
        <f t="array" ref="C912">IFERROR(INDEX(Portfolio!$B:$B, MATCH($B912, Portfolio!$A:$A, 0)),Transactions!$B912)</f>
        <v/>
      </c>
      <c r="D912" s="51" t="str">
        <f>IF($B912&lt;&gt;"",Transactions!$E912*1,)</f>
        <v/>
      </c>
      <c r="E912" s="51" t="str">
        <f>IF($B912&lt;&gt;"",Transactions!$F912*1,)</f>
        <v/>
      </c>
      <c r="F912" s="42" t="str">
        <f>IF(Transactions!$G912&lt;&gt;"",Transactions!$H912&amp;" "&amp;Transactions!$G912,)</f>
        <v/>
      </c>
    </row>
    <row r="913">
      <c r="A913" s="55" t="str">
        <f>IF(Transactions!$B913&lt;&gt;"",DATE(LEFT(Transactions!$B913,4),MID(Transactions!$B913,6,2),MID(Transactions!$B913,9,2)),)</f>
        <v/>
      </c>
      <c r="B913" s="56" t="str">
        <f>Transactions!$C913</f>
        <v/>
      </c>
      <c r="C913" s="51" t="str">
        <f t="array" ref="C913">IFERROR(INDEX(Portfolio!$B:$B, MATCH($B913, Portfolio!$A:$A, 0)),Transactions!$B913)</f>
        <v/>
      </c>
      <c r="D913" s="51" t="str">
        <f>IF($B913&lt;&gt;"",Transactions!$E913*1,)</f>
        <v/>
      </c>
      <c r="E913" s="51" t="str">
        <f>IF($B913&lt;&gt;"",Transactions!$F913*1,)</f>
        <v/>
      </c>
      <c r="F913" s="42" t="str">
        <f>IF(Transactions!$G913&lt;&gt;"",Transactions!$H913&amp;" "&amp;Transactions!$G913,)</f>
        <v/>
      </c>
    </row>
    <row r="914">
      <c r="A914" s="55" t="str">
        <f>IF(Transactions!$B914&lt;&gt;"",DATE(LEFT(Transactions!$B914,4),MID(Transactions!$B914,6,2),MID(Transactions!$B914,9,2)),)</f>
        <v/>
      </c>
      <c r="B914" s="56" t="str">
        <f>Transactions!$C914</f>
        <v/>
      </c>
      <c r="C914" s="51" t="str">
        <f t="array" ref="C914">IFERROR(INDEX(Portfolio!$B:$B, MATCH($B914, Portfolio!$A:$A, 0)),Transactions!$B914)</f>
        <v/>
      </c>
      <c r="D914" s="51" t="str">
        <f>IF($B914&lt;&gt;"",Transactions!$E914*1,)</f>
        <v/>
      </c>
      <c r="E914" s="51" t="str">
        <f>IF($B914&lt;&gt;"",Transactions!$F914*1,)</f>
        <v/>
      </c>
      <c r="F914" s="42" t="str">
        <f>IF(Transactions!$G914&lt;&gt;"",Transactions!$H914&amp;" "&amp;Transactions!$G914,)</f>
        <v/>
      </c>
    </row>
    <row r="915">
      <c r="A915" s="55" t="str">
        <f>IF(Transactions!$B915&lt;&gt;"",DATE(LEFT(Transactions!$B915,4),MID(Transactions!$B915,6,2),MID(Transactions!$B915,9,2)),)</f>
        <v/>
      </c>
      <c r="B915" s="56" t="str">
        <f>Transactions!$C915</f>
        <v/>
      </c>
      <c r="C915" s="51" t="str">
        <f t="array" ref="C915">IFERROR(INDEX(Portfolio!$B:$B, MATCH($B915, Portfolio!$A:$A, 0)),Transactions!$B915)</f>
        <v/>
      </c>
      <c r="D915" s="51" t="str">
        <f>IF($B915&lt;&gt;"",Transactions!$E915*1,)</f>
        <v/>
      </c>
      <c r="E915" s="51" t="str">
        <f>IF($B915&lt;&gt;"",Transactions!$F915*1,)</f>
        <v/>
      </c>
      <c r="F915" s="42" t="str">
        <f>IF(Transactions!$G915&lt;&gt;"",Transactions!$H915&amp;" "&amp;Transactions!$G915,)</f>
        <v/>
      </c>
    </row>
    <row r="916">
      <c r="A916" s="55" t="str">
        <f>IF(Transactions!$B916&lt;&gt;"",DATE(LEFT(Transactions!$B916,4),MID(Transactions!$B916,6,2),MID(Transactions!$B916,9,2)),)</f>
        <v/>
      </c>
      <c r="B916" s="56" t="str">
        <f>Transactions!$C916</f>
        <v/>
      </c>
      <c r="C916" s="51" t="str">
        <f t="array" ref="C916">IFERROR(INDEX(Portfolio!$B:$B, MATCH($B916, Portfolio!$A:$A, 0)),Transactions!$B916)</f>
        <v/>
      </c>
      <c r="D916" s="51" t="str">
        <f>IF($B916&lt;&gt;"",Transactions!$E916*1,)</f>
        <v/>
      </c>
      <c r="E916" s="51" t="str">
        <f>IF($B916&lt;&gt;"",Transactions!$F916*1,)</f>
        <v/>
      </c>
      <c r="F916" s="42" t="str">
        <f>IF(Transactions!$G916&lt;&gt;"",Transactions!$H916&amp;" "&amp;Transactions!$G916,)</f>
        <v/>
      </c>
    </row>
    <row r="917">
      <c r="A917" s="55" t="str">
        <f>IF(Transactions!$B917&lt;&gt;"",DATE(LEFT(Transactions!$B917,4),MID(Transactions!$B917,6,2),MID(Transactions!$B917,9,2)),)</f>
        <v/>
      </c>
      <c r="B917" s="56" t="str">
        <f>Transactions!$C917</f>
        <v/>
      </c>
      <c r="C917" s="51" t="str">
        <f t="array" ref="C917">IFERROR(INDEX(Portfolio!$B:$B, MATCH($B917, Portfolio!$A:$A, 0)),Transactions!$B917)</f>
        <v/>
      </c>
      <c r="D917" s="51" t="str">
        <f>IF($B917&lt;&gt;"",Transactions!$E917*1,)</f>
        <v/>
      </c>
      <c r="E917" s="51" t="str">
        <f>IF($B917&lt;&gt;"",Transactions!$F917*1,)</f>
        <v/>
      </c>
      <c r="F917" s="42" t="str">
        <f>IF(Transactions!$G917&lt;&gt;"",Transactions!$H917&amp;" "&amp;Transactions!$G917,)</f>
        <v/>
      </c>
    </row>
    <row r="918">
      <c r="A918" s="55" t="str">
        <f>IF(Transactions!$B918&lt;&gt;"",DATE(LEFT(Transactions!$B918,4),MID(Transactions!$B918,6,2),MID(Transactions!$B918,9,2)),)</f>
        <v/>
      </c>
      <c r="B918" s="56" t="str">
        <f>Transactions!$C918</f>
        <v/>
      </c>
      <c r="C918" s="51" t="str">
        <f t="array" ref="C918">IFERROR(INDEX(Portfolio!$B:$B, MATCH($B918, Portfolio!$A:$A, 0)),Transactions!$B918)</f>
        <v/>
      </c>
      <c r="D918" s="51" t="str">
        <f>IF($B918&lt;&gt;"",Transactions!$E918*1,)</f>
        <v/>
      </c>
      <c r="E918" s="51" t="str">
        <f>IF($B918&lt;&gt;"",Transactions!$F918*1,)</f>
        <v/>
      </c>
      <c r="F918" s="42" t="str">
        <f>IF(Transactions!$G918&lt;&gt;"",Transactions!$H918&amp;" "&amp;Transactions!$G918,)</f>
        <v/>
      </c>
    </row>
    <row r="919">
      <c r="A919" s="55" t="str">
        <f>IF(Transactions!$B919&lt;&gt;"",DATE(LEFT(Transactions!$B919,4),MID(Transactions!$B919,6,2),MID(Transactions!$B919,9,2)),)</f>
        <v/>
      </c>
      <c r="B919" s="56" t="str">
        <f>Transactions!$C919</f>
        <v/>
      </c>
      <c r="C919" s="51" t="str">
        <f t="array" ref="C919">IFERROR(INDEX(Portfolio!$B:$B, MATCH($B919, Portfolio!$A:$A, 0)),Transactions!$B919)</f>
        <v/>
      </c>
      <c r="D919" s="51" t="str">
        <f>IF($B919&lt;&gt;"",Transactions!$E919*1,)</f>
        <v/>
      </c>
      <c r="E919" s="51" t="str">
        <f>IF($B919&lt;&gt;"",Transactions!$F919*1,)</f>
        <v/>
      </c>
      <c r="F919" s="42" t="str">
        <f>IF(Transactions!$G919&lt;&gt;"",Transactions!$H919&amp;" "&amp;Transactions!$G919,)</f>
        <v/>
      </c>
    </row>
    <row r="920">
      <c r="A920" s="55" t="str">
        <f>IF(Transactions!$B920&lt;&gt;"",DATE(LEFT(Transactions!$B920,4),MID(Transactions!$B920,6,2),MID(Transactions!$B920,9,2)),)</f>
        <v/>
      </c>
      <c r="B920" s="56" t="str">
        <f>Transactions!$C920</f>
        <v/>
      </c>
      <c r="C920" s="51" t="str">
        <f t="array" ref="C920">IFERROR(INDEX(Portfolio!$B:$B, MATCH($B920, Portfolio!$A:$A, 0)),Transactions!$B920)</f>
        <v/>
      </c>
      <c r="D920" s="51" t="str">
        <f>IF($B920&lt;&gt;"",Transactions!$E920*1,)</f>
        <v/>
      </c>
      <c r="E920" s="51" t="str">
        <f>IF($B920&lt;&gt;"",Transactions!$F920*1,)</f>
        <v/>
      </c>
      <c r="F920" s="42" t="str">
        <f>IF(Transactions!$G920&lt;&gt;"",Transactions!$H920&amp;" "&amp;Transactions!$G920,)</f>
        <v/>
      </c>
    </row>
    <row r="921">
      <c r="A921" s="55" t="str">
        <f>IF(Transactions!$B921&lt;&gt;"",DATE(LEFT(Transactions!$B921,4),MID(Transactions!$B921,6,2),MID(Transactions!$B921,9,2)),)</f>
        <v/>
      </c>
      <c r="B921" s="56" t="str">
        <f>Transactions!$C921</f>
        <v/>
      </c>
      <c r="C921" s="51" t="str">
        <f t="array" ref="C921">IFERROR(INDEX(Portfolio!$B:$B, MATCH($B921, Portfolio!$A:$A, 0)),Transactions!$B921)</f>
        <v/>
      </c>
      <c r="D921" s="51" t="str">
        <f>IF($B921&lt;&gt;"",Transactions!$E921*1,)</f>
        <v/>
      </c>
      <c r="E921" s="51" t="str">
        <f>IF($B921&lt;&gt;"",Transactions!$F921*1,)</f>
        <v/>
      </c>
      <c r="F921" s="42" t="str">
        <f>IF(Transactions!$G921&lt;&gt;"",Transactions!$H921&amp;" "&amp;Transactions!$G921,)</f>
        <v/>
      </c>
    </row>
    <row r="922">
      <c r="A922" s="55" t="str">
        <f>IF(Transactions!$B922&lt;&gt;"",DATE(LEFT(Transactions!$B922,4),MID(Transactions!$B922,6,2),MID(Transactions!$B922,9,2)),)</f>
        <v/>
      </c>
      <c r="B922" s="56" t="str">
        <f>Transactions!$C922</f>
        <v/>
      </c>
      <c r="C922" s="51" t="str">
        <f t="array" ref="C922">IFERROR(INDEX(Portfolio!$B:$B, MATCH($B922, Portfolio!$A:$A, 0)),Transactions!$B922)</f>
        <v/>
      </c>
      <c r="D922" s="51" t="str">
        <f>IF($B922&lt;&gt;"",Transactions!$E922*1,)</f>
        <v/>
      </c>
      <c r="E922" s="51" t="str">
        <f>IF($B922&lt;&gt;"",Transactions!$F922*1,)</f>
        <v/>
      </c>
      <c r="F922" s="42" t="str">
        <f>IF(Transactions!$G922&lt;&gt;"",Transactions!$H922&amp;" "&amp;Transactions!$G922,)</f>
        <v/>
      </c>
    </row>
    <row r="923">
      <c r="A923" s="55" t="str">
        <f>IF(Transactions!$B923&lt;&gt;"",DATE(LEFT(Transactions!$B923,4),MID(Transactions!$B923,6,2),MID(Transactions!$B923,9,2)),)</f>
        <v/>
      </c>
      <c r="B923" s="56" t="str">
        <f>Transactions!$C923</f>
        <v/>
      </c>
      <c r="C923" s="51" t="str">
        <f t="array" ref="C923">IFERROR(INDEX(Portfolio!$B:$B, MATCH($B923, Portfolio!$A:$A, 0)),Transactions!$B923)</f>
        <v/>
      </c>
      <c r="D923" s="51" t="str">
        <f>IF($B923&lt;&gt;"",Transactions!$E923*1,)</f>
        <v/>
      </c>
      <c r="E923" s="51" t="str">
        <f>IF($B923&lt;&gt;"",Transactions!$F923*1,)</f>
        <v/>
      </c>
      <c r="F923" s="42" t="str">
        <f>IF(Transactions!$G923&lt;&gt;"",Transactions!$H923&amp;" "&amp;Transactions!$G923,)</f>
        <v/>
      </c>
    </row>
    <row r="924">
      <c r="A924" s="55" t="str">
        <f>IF(Transactions!$B924&lt;&gt;"",DATE(LEFT(Transactions!$B924,4),MID(Transactions!$B924,6,2),MID(Transactions!$B924,9,2)),)</f>
        <v/>
      </c>
      <c r="B924" s="56" t="str">
        <f>Transactions!$C924</f>
        <v/>
      </c>
      <c r="C924" s="51" t="str">
        <f t="array" ref="C924">IFERROR(INDEX(Portfolio!$B:$B, MATCH($B924, Portfolio!$A:$A, 0)),Transactions!$B924)</f>
        <v/>
      </c>
      <c r="D924" s="51" t="str">
        <f>IF($B924&lt;&gt;"",Transactions!$E924*1,)</f>
        <v/>
      </c>
      <c r="E924" s="51" t="str">
        <f>IF($B924&lt;&gt;"",Transactions!$F924*1,)</f>
        <v/>
      </c>
      <c r="F924" s="42" t="str">
        <f>IF(Transactions!$G924&lt;&gt;"",Transactions!$H924&amp;" "&amp;Transactions!$G924,)</f>
        <v/>
      </c>
    </row>
    <row r="925">
      <c r="A925" s="55" t="str">
        <f>IF(Transactions!$B925&lt;&gt;"",DATE(LEFT(Transactions!$B925,4),MID(Transactions!$B925,6,2),MID(Transactions!$B925,9,2)),)</f>
        <v/>
      </c>
      <c r="B925" s="56" t="str">
        <f>Transactions!$C925</f>
        <v/>
      </c>
      <c r="C925" s="51" t="str">
        <f t="array" ref="C925">IFERROR(INDEX(Portfolio!$B:$B, MATCH($B925, Portfolio!$A:$A, 0)),Transactions!$B925)</f>
        <v/>
      </c>
      <c r="D925" s="51" t="str">
        <f>IF($B925&lt;&gt;"",Transactions!$E925*1,)</f>
        <v/>
      </c>
      <c r="E925" s="51" t="str">
        <f>IF($B925&lt;&gt;"",Transactions!$F925*1,)</f>
        <v/>
      </c>
      <c r="F925" s="42" t="str">
        <f>IF(Transactions!$G925&lt;&gt;"",Transactions!$H925&amp;" "&amp;Transactions!$G925,)</f>
        <v/>
      </c>
    </row>
    <row r="926">
      <c r="A926" s="55" t="str">
        <f>IF(Transactions!$B926&lt;&gt;"",DATE(LEFT(Transactions!$B926,4),MID(Transactions!$B926,6,2),MID(Transactions!$B926,9,2)),)</f>
        <v/>
      </c>
      <c r="B926" s="56" t="str">
        <f>Transactions!$C926</f>
        <v/>
      </c>
      <c r="C926" s="51" t="str">
        <f t="array" ref="C926">IFERROR(INDEX(Portfolio!$B:$B, MATCH($B926, Portfolio!$A:$A, 0)),Transactions!$B926)</f>
        <v/>
      </c>
      <c r="D926" s="51" t="str">
        <f>IF($B926&lt;&gt;"",Transactions!$E926*1,)</f>
        <v/>
      </c>
      <c r="E926" s="51" t="str">
        <f>IF($B926&lt;&gt;"",Transactions!$F926*1,)</f>
        <v/>
      </c>
      <c r="F926" s="42" t="str">
        <f>IF(Transactions!$G926&lt;&gt;"",Transactions!$H926&amp;" "&amp;Transactions!$G926,)</f>
        <v/>
      </c>
    </row>
    <row r="927">
      <c r="A927" s="55" t="str">
        <f>IF(Transactions!$B927&lt;&gt;"",DATE(LEFT(Transactions!$B927,4),MID(Transactions!$B927,6,2),MID(Transactions!$B927,9,2)),)</f>
        <v/>
      </c>
      <c r="B927" s="56" t="str">
        <f>Transactions!$C927</f>
        <v/>
      </c>
      <c r="C927" s="51" t="str">
        <f t="array" ref="C927">IFERROR(INDEX(Portfolio!$B:$B, MATCH($B927, Portfolio!$A:$A, 0)),Transactions!$B927)</f>
        <v/>
      </c>
      <c r="D927" s="51" t="str">
        <f>IF($B927&lt;&gt;"",Transactions!$E927*1,)</f>
        <v/>
      </c>
      <c r="E927" s="51" t="str">
        <f>IF($B927&lt;&gt;"",Transactions!$F927*1,)</f>
        <v/>
      </c>
      <c r="F927" s="42" t="str">
        <f>IF(Transactions!$G927&lt;&gt;"",Transactions!$H927&amp;" "&amp;Transactions!$G927,)</f>
        <v/>
      </c>
    </row>
    <row r="928">
      <c r="A928" s="55" t="str">
        <f>IF(Transactions!$B928&lt;&gt;"",DATE(LEFT(Transactions!$B928,4),MID(Transactions!$B928,6,2),MID(Transactions!$B928,9,2)),)</f>
        <v/>
      </c>
      <c r="B928" s="56" t="str">
        <f>Transactions!$C928</f>
        <v/>
      </c>
      <c r="C928" s="51" t="str">
        <f t="array" ref="C928">IFERROR(INDEX(Portfolio!$B:$B, MATCH($B928, Portfolio!$A:$A, 0)),Transactions!$B928)</f>
        <v/>
      </c>
      <c r="D928" s="51" t="str">
        <f>IF($B928&lt;&gt;"",Transactions!$E928*1,)</f>
        <v/>
      </c>
      <c r="E928" s="51" t="str">
        <f>IF($B928&lt;&gt;"",Transactions!$F928*1,)</f>
        <v/>
      </c>
      <c r="F928" s="42" t="str">
        <f>IF(Transactions!$G928&lt;&gt;"",Transactions!$H928&amp;" "&amp;Transactions!$G928,)</f>
        <v/>
      </c>
    </row>
    <row r="929">
      <c r="A929" s="55" t="str">
        <f>IF(Transactions!$B929&lt;&gt;"",DATE(LEFT(Transactions!$B929,4),MID(Transactions!$B929,6,2),MID(Transactions!$B929,9,2)),)</f>
        <v/>
      </c>
      <c r="B929" s="56" t="str">
        <f>Transactions!$C929</f>
        <v/>
      </c>
      <c r="C929" s="51" t="str">
        <f t="array" ref="C929">IFERROR(INDEX(Portfolio!$B:$B, MATCH($B929, Portfolio!$A:$A, 0)),Transactions!$B929)</f>
        <v/>
      </c>
      <c r="D929" s="51" t="str">
        <f>IF($B929&lt;&gt;"",Transactions!$E929*1,)</f>
        <v/>
      </c>
      <c r="E929" s="51" t="str">
        <f>IF($B929&lt;&gt;"",Transactions!$F929*1,)</f>
        <v/>
      </c>
      <c r="F929" s="42" t="str">
        <f>IF(Transactions!$G929&lt;&gt;"",Transactions!$H929&amp;" "&amp;Transactions!$G929,)</f>
        <v/>
      </c>
    </row>
    <row r="930">
      <c r="A930" s="55" t="str">
        <f>IF(Transactions!$B930&lt;&gt;"",DATE(LEFT(Transactions!$B930,4),MID(Transactions!$B930,6,2),MID(Transactions!$B930,9,2)),)</f>
        <v/>
      </c>
      <c r="B930" s="56" t="str">
        <f>Transactions!$C930</f>
        <v/>
      </c>
      <c r="C930" s="51" t="str">
        <f t="array" ref="C930">IFERROR(INDEX(Portfolio!$B:$B, MATCH($B930, Portfolio!$A:$A, 0)),Transactions!$B930)</f>
        <v/>
      </c>
      <c r="D930" s="51" t="str">
        <f>IF($B930&lt;&gt;"",Transactions!$E930*1,)</f>
        <v/>
      </c>
      <c r="E930" s="51" t="str">
        <f>IF($B930&lt;&gt;"",Transactions!$F930*1,)</f>
        <v/>
      </c>
      <c r="F930" s="42" t="str">
        <f>IF(Transactions!$G930&lt;&gt;"",Transactions!$H930&amp;" "&amp;Transactions!$G930,)</f>
        <v/>
      </c>
    </row>
    <row r="931">
      <c r="A931" s="55" t="str">
        <f>IF(Transactions!$B931&lt;&gt;"",DATE(LEFT(Transactions!$B931,4),MID(Transactions!$B931,6,2),MID(Transactions!$B931,9,2)),)</f>
        <v/>
      </c>
      <c r="B931" s="56" t="str">
        <f>Transactions!$C931</f>
        <v/>
      </c>
      <c r="C931" s="51" t="str">
        <f t="array" ref="C931">IFERROR(INDEX(Portfolio!$B:$B, MATCH($B931, Portfolio!$A:$A, 0)),Transactions!$B931)</f>
        <v/>
      </c>
      <c r="D931" s="51" t="str">
        <f>IF($B931&lt;&gt;"",Transactions!$E931*1,)</f>
        <v/>
      </c>
      <c r="E931" s="51" t="str">
        <f>IF($B931&lt;&gt;"",Transactions!$F931*1,)</f>
        <v/>
      </c>
      <c r="F931" s="42" t="str">
        <f>IF(Transactions!$G931&lt;&gt;"",Transactions!$H931&amp;" "&amp;Transactions!$G931,)</f>
        <v/>
      </c>
    </row>
    <row r="932">
      <c r="A932" s="55" t="str">
        <f>IF(Transactions!$B932&lt;&gt;"",DATE(LEFT(Transactions!$B932,4),MID(Transactions!$B932,6,2),MID(Transactions!$B932,9,2)),)</f>
        <v/>
      </c>
      <c r="B932" s="56" t="str">
        <f>Transactions!$C932</f>
        <v/>
      </c>
      <c r="C932" s="51" t="str">
        <f t="array" ref="C932">IFERROR(INDEX(Portfolio!$B:$B, MATCH($B932, Portfolio!$A:$A, 0)),Transactions!$B932)</f>
        <v/>
      </c>
      <c r="D932" s="51" t="str">
        <f>IF($B932&lt;&gt;"",Transactions!$E932*1,)</f>
        <v/>
      </c>
      <c r="E932" s="51" t="str">
        <f>IF($B932&lt;&gt;"",Transactions!$F932*1,)</f>
        <v/>
      </c>
      <c r="F932" s="42" t="str">
        <f>IF(Transactions!$G932&lt;&gt;"",Transactions!$H932&amp;" "&amp;Transactions!$G932,)</f>
        <v/>
      </c>
    </row>
    <row r="933">
      <c r="A933" s="55" t="str">
        <f>IF(Transactions!$B933&lt;&gt;"",DATE(LEFT(Transactions!$B933,4),MID(Transactions!$B933,6,2),MID(Transactions!$B933,9,2)),)</f>
        <v/>
      </c>
      <c r="B933" s="56" t="str">
        <f>Transactions!$C933</f>
        <v/>
      </c>
      <c r="C933" s="51" t="str">
        <f t="array" ref="C933">IFERROR(INDEX(Portfolio!$B:$B, MATCH($B933, Portfolio!$A:$A, 0)),Transactions!$B933)</f>
        <v/>
      </c>
      <c r="D933" s="51" t="str">
        <f>IF($B933&lt;&gt;"",Transactions!$E933*1,)</f>
        <v/>
      </c>
      <c r="E933" s="51" t="str">
        <f>IF($B933&lt;&gt;"",Transactions!$F933*1,)</f>
        <v/>
      </c>
      <c r="F933" s="42" t="str">
        <f>IF(Transactions!$G933&lt;&gt;"",Transactions!$H933&amp;" "&amp;Transactions!$G933,)</f>
        <v/>
      </c>
    </row>
    <row r="934">
      <c r="A934" s="55" t="str">
        <f>IF(Transactions!$B934&lt;&gt;"",DATE(LEFT(Transactions!$B934,4),MID(Transactions!$B934,6,2),MID(Transactions!$B934,9,2)),)</f>
        <v/>
      </c>
      <c r="B934" s="56" t="str">
        <f>Transactions!$C934</f>
        <v/>
      </c>
      <c r="C934" s="51" t="str">
        <f t="array" ref="C934">IFERROR(INDEX(Portfolio!$B:$B, MATCH($B934, Portfolio!$A:$A, 0)),Transactions!$B934)</f>
        <v/>
      </c>
      <c r="D934" s="51" t="str">
        <f>IF($B934&lt;&gt;"",Transactions!$E934*1,)</f>
        <v/>
      </c>
      <c r="E934" s="51" t="str">
        <f>IF($B934&lt;&gt;"",Transactions!$F934*1,)</f>
        <v/>
      </c>
      <c r="F934" s="42" t="str">
        <f>IF(Transactions!$G934&lt;&gt;"",Transactions!$H934&amp;" "&amp;Transactions!$G934,)</f>
        <v/>
      </c>
    </row>
    <row r="935">
      <c r="A935" s="55" t="str">
        <f>IF(Transactions!$B935&lt;&gt;"",DATE(LEFT(Transactions!$B935,4),MID(Transactions!$B935,6,2),MID(Transactions!$B935,9,2)),)</f>
        <v/>
      </c>
      <c r="B935" s="56" t="str">
        <f>Transactions!$C935</f>
        <v/>
      </c>
      <c r="C935" s="51" t="str">
        <f t="array" ref="C935">IFERROR(INDEX(Portfolio!$B:$B, MATCH($B935, Portfolio!$A:$A, 0)),Transactions!$B935)</f>
        <v/>
      </c>
      <c r="D935" s="51" t="str">
        <f>IF($B935&lt;&gt;"",Transactions!$E935*1,)</f>
        <v/>
      </c>
      <c r="E935" s="51" t="str">
        <f>IF($B935&lt;&gt;"",Transactions!$F935*1,)</f>
        <v/>
      </c>
      <c r="F935" s="42" t="str">
        <f>IF(Transactions!$G935&lt;&gt;"",Transactions!$H935&amp;" "&amp;Transactions!$G935,)</f>
        <v/>
      </c>
    </row>
    <row r="936">
      <c r="A936" s="55" t="str">
        <f>IF(Transactions!$B936&lt;&gt;"",DATE(LEFT(Transactions!$B936,4),MID(Transactions!$B936,6,2),MID(Transactions!$B936,9,2)),)</f>
        <v/>
      </c>
      <c r="B936" s="56" t="str">
        <f>Transactions!$C936</f>
        <v/>
      </c>
      <c r="C936" s="51" t="str">
        <f t="array" ref="C936">IFERROR(INDEX(Portfolio!$B:$B, MATCH($B936, Portfolio!$A:$A, 0)),Transactions!$B936)</f>
        <v/>
      </c>
      <c r="D936" s="51" t="str">
        <f>IF($B936&lt;&gt;"",Transactions!$E936*1,)</f>
        <v/>
      </c>
      <c r="E936" s="51" t="str">
        <f>IF($B936&lt;&gt;"",Transactions!$F936*1,)</f>
        <v/>
      </c>
      <c r="F936" s="42" t="str">
        <f>IF(Transactions!$G936&lt;&gt;"",Transactions!$H936&amp;" "&amp;Transactions!$G936,)</f>
        <v/>
      </c>
    </row>
    <row r="937">
      <c r="A937" s="55" t="str">
        <f>IF(Transactions!$B937&lt;&gt;"",DATE(LEFT(Transactions!$B937,4),MID(Transactions!$B937,6,2),MID(Transactions!$B937,9,2)),)</f>
        <v/>
      </c>
      <c r="B937" s="56" t="str">
        <f>Transactions!$C937</f>
        <v/>
      </c>
      <c r="C937" s="51" t="str">
        <f t="array" ref="C937">IFERROR(INDEX(Portfolio!$B:$B, MATCH($B937, Portfolio!$A:$A, 0)),Transactions!$B937)</f>
        <v/>
      </c>
      <c r="D937" s="51" t="str">
        <f>IF($B937&lt;&gt;"",Transactions!$E937*1,)</f>
        <v/>
      </c>
      <c r="E937" s="51" t="str">
        <f>IF($B937&lt;&gt;"",Transactions!$F937*1,)</f>
        <v/>
      </c>
      <c r="F937" s="42" t="str">
        <f>IF(Transactions!$G937&lt;&gt;"",Transactions!$H937&amp;" "&amp;Transactions!$G937,)</f>
        <v/>
      </c>
    </row>
    <row r="938">
      <c r="A938" s="55" t="str">
        <f>IF(Transactions!$B938&lt;&gt;"",DATE(LEFT(Transactions!$B938,4),MID(Transactions!$B938,6,2),MID(Transactions!$B938,9,2)),)</f>
        <v/>
      </c>
      <c r="B938" s="56" t="str">
        <f>Transactions!$C938</f>
        <v/>
      </c>
      <c r="C938" s="51" t="str">
        <f t="array" ref="C938">IFERROR(INDEX(Portfolio!$B:$B, MATCH($B938, Portfolio!$A:$A, 0)),Transactions!$B938)</f>
        <v/>
      </c>
      <c r="D938" s="51" t="str">
        <f>IF($B938&lt;&gt;"",Transactions!$E938*1,)</f>
        <v/>
      </c>
      <c r="E938" s="51" t="str">
        <f>IF($B938&lt;&gt;"",Transactions!$F938*1,)</f>
        <v/>
      </c>
      <c r="F938" s="42" t="str">
        <f>IF(Transactions!$G938&lt;&gt;"",Transactions!$H938&amp;" "&amp;Transactions!$G938,)</f>
        <v/>
      </c>
    </row>
    <row r="939">
      <c r="A939" s="55" t="str">
        <f>IF(Transactions!$B939&lt;&gt;"",DATE(LEFT(Transactions!$B939,4),MID(Transactions!$B939,6,2),MID(Transactions!$B939,9,2)),)</f>
        <v/>
      </c>
      <c r="B939" s="56" t="str">
        <f>Transactions!$C939</f>
        <v/>
      </c>
      <c r="C939" s="51" t="str">
        <f t="array" ref="C939">IFERROR(INDEX(Portfolio!$B:$B, MATCH($B939, Portfolio!$A:$A, 0)),Transactions!$B939)</f>
        <v/>
      </c>
      <c r="D939" s="51" t="str">
        <f>IF($B939&lt;&gt;"",Transactions!$E939*1,)</f>
        <v/>
      </c>
      <c r="E939" s="51" t="str">
        <f>IF($B939&lt;&gt;"",Transactions!$F939*1,)</f>
        <v/>
      </c>
      <c r="F939" s="42" t="str">
        <f>IF(Transactions!$G939&lt;&gt;"",Transactions!$H939&amp;" "&amp;Transactions!$G939,)</f>
        <v/>
      </c>
    </row>
    <row r="940">
      <c r="A940" s="55" t="str">
        <f>IF(Transactions!$B940&lt;&gt;"",DATE(LEFT(Transactions!$B940,4),MID(Transactions!$B940,6,2),MID(Transactions!$B940,9,2)),)</f>
        <v/>
      </c>
      <c r="B940" s="56" t="str">
        <f>Transactions!$C940</f>
        <v/>
      </c>
      <c r="C940" s="51" t="str">
        <f t="array" ref="C940">IFERROR(INDEX(Portfolio!$B:$B, MATCH($B940, Portfolio!$A:$A, 0)),Transactions!$B940)</f>
        <v/>
      </c>
      <c r="D940" s="51" t="str">
        <f>IF($B940&lt;&gt;"",Transactions!$E940*1,)</f>
        <v/>
      </c>
      <c r="E940" s="51" t="str">
        <f>IF($B940&lt;&gt;"",Transactions!$F940*1,)</f>
        <v/>
      </c>
      <c r="F940" s="42" t="str">
        <f>IF(Transactions!$G940&lt;&gt;"",Transactions!$H940&amp;" "&amp;Transactions!$G940,)</f>
        <v/>
      </c>
    </row>
    <row r="941">
      <c r="A941" s="55" t="str">
        <f>IF(Transactions!$B941&lt;&gt;"",DATE(LEFT(Transactions!$B941,4),MID(Transactions!$B941,6,2),MID(Transactions!$B941,9,2)),)</f>
        <v/>
      </c>
      <c r="B941" s="56" t="str">
        <f>Transactions!$C941</f>
        <v/>
      </c>
      <c r="C941" s="51" t="str">
        <f t="array" ref="C941">IFERROR(INDEX(Portfolio!$B:$B, MATCH($B941, Portfolio!$A:$A, 0)),Transactions!$B941)</f>
        <v/>
      </c>
      <c r="D941" s="51" t="str">
        <f>IF($B941&lt;&gt;"",Transactions!$E941*1,)</f>
        <v/>
      </c>
      <c r="E941" s="51" t="str">
        <f>IF($B941&lt;&gt;"",Transactions!$F941*1,)</f>
        <v/>
      </c>
      <c r="F941" s="42" t="str">
        <f>IF(Transactions!$G941&lt;&gt;"",Transactions!$H941&amp;" "&amp;Transactions!$G941,)</f>
        <v/>
      </c>
    </row>
    <row r="942">
      <c r="A942" s="55" t="str">
        <f>IF(Transactions!$B942&lt;&gt;"",DATE(LEFT(Transactions!$B942,4),MID(Transactions!$B942,6,2),MID(Transactions!$B942,9,2)),)</f>
        <v/>
      </c>
      <c r="B942" s="56" t="str">
        <f>Transactions!$C942</f>
        <v/>
      </c>
      <c r="C942" s="51" t="str">
        <f t="array" ref="C942">IFERROR(INDEX(Portfolio!$B:$B, MATCH($B942, Portfolio!$A:$A, 0)),Transactions!$B942)</f>
        <v/>
      </c>
      <c r="D942" s="51" t="str">
        <f>IF($B942&lt;&gt;"",Transactions!$E942*1,)</f>
        <v/>
      </c>
      <c r="E942" s="51" t="str">
        <f>IF($B942&lt;&gt;"",Transactions!$F942*1,)</f>
        <v/>
      </c>
      <c r="F942" s="42" t="str">
        <f>IF(Transactions!$G942&lt;&gt;"",Transactions!$H942&amp;" "&amp;Transactions!$G942,)</f>
        <v/>
      </c>
    </row>
    <row r="943">
      <c r="A943" s="55" t="str">
        <f>IF(Transactions!$B943&lt;&gt;"",DATE(LEFT(Transactions!$B943,4),MID(Transactions!$B943,6,2),MID(Transactions!$B943,9,2)),)</f>
        <v/>
      </c>
      <c r="B943" s="56" t="str">
        <f>Transactions!$C943</f>
        <v/>
      </c>
      <c r="C943" s="51" t="str">
        <f t="array" ref="C943">IFERROR(INDEX(Portfolio!$B:$B, MATCH($B943, Portfolio!$A:$A, 0)),Transactions!$B943)</f>
        <v/>
      </c>
      <c r="D943" s="51" t="str">
        <f>IF($B943&lt;&gt;"",Transactions!$E943*1,)</f>
        <v/>
      </c>
      <c r="E943" s="51" t="str">
        <f>IF($B943&lt;&gt;"",Transactions!$F943*1,)</f>
        <v/>
      </c>
      <c r="F943" s="42" t="str">
        <f>IF(Transactions!$G943&lt;&gt;"",Transactions!$H943&amp;" "&amp;Transactions!$G943,)</f>
        <v/>
      </c>
    </row>
    <row r="944">
      <c r="A944" s="55" t="str">
        <f>IF(Transactions!$B944&lt;&gt;"",DATE(LEFT(Transactions!$B944,4),MID(Transactions!$B944,6,2),MID(Transactions!$B944,9,2)),)</f>
        <v/>
      </c>
      <c r="B944" s="56" t="str">
        <f>Transactions!$C944</f>
        <v/>
      </c>
      <c r="C944" s="51" t="str">
        <f t="array" ref="C944">IFERROR(INDEX(Portfolio!$B:$B, MATCH($B944, Portfolio!$A:$A, 0)),Transactions!$B944)</f>
        <v/>
      </c>
      <c r="D944" s="51" t="str">
        <f>IF($B944&lt;&gt;"",Transactions!$E944*1,)</f>
        <v/>
      </c>
      <c r="E944" s="51" t="str">
        <f>IF($B944&lt;&gt;"",Transactions!$F944*1,)</f>
        <v/>
      </c>
      <c r="F944" s="42" t="str">
        <f>IF(Transactions!$G944&lt;&gt;"",Transactions!$H944&amp;" "&amp;Transactions!$G944,)</f>
        <v/>
      </c>
    </row>
    <row r="945">
      <c r="A945" s="55" t="str">
        <f>IF(Transactions!$B945&lt;&gt;"",DATE(LEFT(Transactions!$B945,4),MID(Transactions!$B945,6,2),MID(Transactions!$B945,9,2)),)</f>
        <v/>
      </c>
      <c r="B945" s="56" t="str">
        <f>Transactions!$C945</f>
        <v/>
      </c>
      <c r="C945" s="51" t="str">
        <f t="array" ref="C945">IFERROR(INDEX(Portfolio!$B:$B, MATCH($B945, Portfolio!$A:$A, 0)),Transactions!$B945)</f>
        <v/>
      </c>
      <c r="D945" s="51" t="str">
        <f>IF($B945&lt;&gt;"",Transactions!$E945*1,)</f>
        <v/>
      </c>
      <c r="E945" s="51" t="str">
        <f>IF($B945&lt;&gt;"",Transactions!$F945*1,)</f>
        <v/>
      </c>
      <c r="F945" s="42" t="str">
        <f>IF(Transactions!$G945&lt;&gt;"",Transactions!$H945&amp;" "&amp;Transactions!$G945,)</f>
        <v/>
      </c>
    </row>
    <row r="946">
      <c r="A946" s="55" t="str">
        <f>IF(Transactions!$B946&lt;&gt;"",DATE(LEFT(Transactions!$B946,4),MID(Transactions!$B946,6,2),MID(Transactions!$B946,9,2)),)</f>
        <v/>
      </c>
      <c r="B946" s="56" t="str">
        <f>Transactions!$C946</f>
        <v/>
      </c>
      <c r="C946" s="51" t="str">
        <f t="array" ref="C946">IFERROR(INDEX(Portfolio!$B:$B, MATCH($B946, Portfolio!$A:$A, 0)),Transactions!$B946)</f>
        <v/>
      </c>
      <c r="D946" s="51" t="str">
        <f>IF($B946&lt;&gt;"",Transactions!$E946*1,)</f>
        <v/>
      </c>
      <c r="E946" s="51" t="str">
        <f>IF($B946&lt;&gt;"",Transactions!$F946*1,)</f>
        <v/>
      </c>
      <c r="F946" s="42" t="str">
        <f>IF(Transactions!$G946&lt;&gt;"",Transactions!$H946&amp;" "&amp;Transactions!$G946,)</f>
        <v/>
      </c>
    </row>
    <row r="947">
      <c r="A947" s="55" t="str">
        <f>IF(Transactions!$B947&lt;&gt;"",DATE(LEFT(Transactions!$B947,4),MID(Transactions!$B947,6,2),MID(Transactions!$B947,9,2)),)</f>
        <v/>
      </c>
      <c r="B947" s="56" t="str">
        <f>Transactions!$C947</f>
        <v/>
      </c>
      <c r="C947" s="51" t="str">
        <f t="array" ref="C947">IFERROR(INDEX(Portfolio!$B:$B, MATCH($B947, Portfolio!$A:$A, 0)),Transactions!$B947)</f>
        <v/>
      </c>
      <c r="D947" s="51" t="str">
        <f>IF($B947&lt;&gt;"",Transactions!$E947*1,)</f>
        <v/>
      </c>
      <c r="E947" s="51" t="str">
        <f>IF($B947&lt;&gt;"",Transactions!$F947*1,)</f>
        <v/>
      </c>
      <c r="F947" s="42" t="str">
        <f>IF(Transactions!$G947&lt;&gt;"",Transactions!$H947&amp;" "&amp;Transactions!$G947,)</f>
        <v/>
      </c>
    </row>
    <row r="948">
      <c r="A948" s="55" t="str">
        <f>IF(Transactions!$B948&lt;&gt;"",DATE(LEFT(Transactions!$B948,4),MID(Transactions!$B948,6,2),MID(Transactions!$B948,9,2)),)</f>
        <v/>
      </c>
      <c r="B948" s="56" t="str">
        <f>Transactions!$C948</f>
        <v/>
      </c>
      <c r="C948" s="51" t="str">
        <f t="array" ref="C948">IFERROR(INDEX(Portfolio!$B:$B, MATCH($B948, Portfolio!$A:$A, 0)),Transactions!$B948)</f>
        <v/>
      </c>
      <c r="D948" s="51" t="str">
        <f>IF($B948&lt;&gt;"",Transactions!$E948*1,)</f>
        <v/>
      </c>
      <c r="E948" s="51" t="str">
        <f>IF($B948&lt;&gt;"",Transactions!$F948*1,)</f>
        <v/>
      </c>
      <c r="F948" s="42" t="str">
        <f>IF(Transactions!$G948&lt;&gt;"",Transactions!$H948&amp;" "&amp;Transactions!$G948,)</f>
        <v/>
      </c>
    </row>
    <row r="949">
      <c r="A949" s="55" t="str">
        <f>IF(Transactions!$B949&lt;&gt;"",DATE(LEFT(Transactions!$B949,4),MID(Transactions!$B949,6,2),MID(Transactions!$B949,9,2)),)</f>
        <v/>
      </c>
      <c r="B949" s="56" t="str">
        <f>Transactions!$C949</f>
        <v/>
      </c>
      <c r="C949" s="51" t="str">
        <f t="array" ref="C949">IFERROR(INDEX(Portfolio!$B:$B, MATCH($B949, Portfolio!$A:$A, 0)),Transactions!$B949)</f>
        <v/>
      </c>
      <c r="D949" s="51" t="str">
        <f>IF($B949&lt;&gt;"",Transactions!$E949*1,)</f>
        <v/>
      </c>
      <c r="E949" s="51" t="str">
        <f>IF($B949&lt;&gt;"",Transactions!$F949*1,)</f>
        <v/>
      </c>
      <c r="F949" s="42" t="str">
        <f>IF(Transactions!$G949&lt;&gt;"",Transactions!$H949&amp;" "&amp;Transactions!$G949,)</f>
        <v/>
      </c>
    </row>
    <row r="950">
      <c r="A950" s="55" t="str">
        <f>IF(Transactions!$B950&lt;&gt;"",DATE(LEFT(Transactions!$B950,4),MID(Transactions!$B950,6,2),MID(Transactions!$B950,9,2)),)</f>
        <v/>
      </c>
      <c r="B950" s="56" t="str">
        <f>Transactions!$C950</f>
        <v/>
      </c>
      <c r="C950" s="51" t="str">
        <f t="array" ref="C950">IFERROR(INDEX(Portfolio!$B:$B, MATCH($B950, Portfolio!$A:$A, 0)),Transactions!$B950)</f>
        <v/>
      </c>
      <c r="D950" s="51" t="str">
        <f>IF($B950&lt;&gt;"",Transactions!$E950*1,)</f>
        <v/>
      </c>
      <c r="E950" s="51" t="str">
        <f>IF($B950&lt;&gt;"",Transactions!$F950*1,)</f>
        <v/>
      </c>
      <c r="F950" s="42" t="str">
        <f>IF(Transactions!$G950&lt;&gt;"",Transactions!$H950&amp;" "&amp;Transactions!$G950,)</f>
        <v/>
      </c>
    </row>
    <row r="951">
      <c r="A951" s="55" t="str">
        <f>IF(Transactions!$B951&lt;&gt;"",DATE(LEFT(Transactions!$B951,4),MID(Transactions!$B951,6,2),MID(Transactions!$B951,9,2)),)</f>
        <v/>
      </c>
      <c r="B951" s="56" t="str">
        <f>Transactions!$C951</f>
        <v/>
      </c>
      <c r="C951" s="51" t="str">
        <f t="array" ref="C951">IFERROR(INDEX(Portfolio!$B:$B, MATCH($B951, Portfolio!$A:$A, 0)),Transactions!$B951)</f>
        <v/>
      </c>
      <c r="D951" s="51" t="str">
        <f>IF($B951&lt;&gt;"",Transactions!$E951*1,)</f>
        <v/>
      </c>
      <c r="E951" s="51" t="str">
        <f>IF($B951&lt;&gt;"",Transactions!$F951*1,)</f>
        <v/>
      </c>
      <c r="F951" s="42" t="str">
        <f>IF(Transactions!$G951&lt;&gt;"",Transactions!$H951&amp;" "&amp;Transactions!$G951,)</f>
        <v/>
      </c>
    </row>
    <row r="952">
      <c r="A952" s="55" t="str">
        <f>IF(Transactions!$B952&lt;&gt;"",DATE(LEFT(Transactions!$B952,4),MID(Transactions!$B952,6,2),MID(Transactions!$B952,9,2)),)</f>
        <v/>
      </c>
      <c r="B952" s="56" t="str">
        <f>Transactions!$C952</f>
        <v/>
      </c>
      <c r="C952" s="51" t="str">
        <f t="array" ref="C952">IFERROR(INDEX(Portfolio!$B:$B, MATCH($B952, Portfolio!$A:$A, 0)),Transactions!$B952)</f>
        <v/>
      </c>
      <c r="D952" s="51" t="str">
        <f>IF($B952&lt;&gt;"",Transactions!$E952*1,)</f>
        <v/>
      </c>
      <c r="E952" s="51" t="str">
        <f>IF($B952&lt;&gt;"",Transactions!$F952*1,)</f>
        <v/>
      </c>
      <c r="F952" s="42" t="str">
        <f>IF(Transactions!$G952&lt;&gt;"",Transactions!$H952&amp;" "&amp;Transactions!$G952,)</f>
        <v/>
      </c>
    </row>
    <row r="953">
      <c r="A953" s="55" t="str">
        <f>IF(Transactions!$B953&lt;&gt;"",DATE(LEFT(Transactions!$B953,4),MID(Transactions!$B953,6,2),MID(Transactions!$B953,9,2)),)</f>
        <v/>
      </c>
      <c r="B953" s="56" t="str">
        <f>Transactions!$C953</f>
        <v/>
      </c>
      <c r="C953" s="51" t="str">
        <f t="array" ref="C953">IFERROR(INDEX(Portfolio!$B:$B, MATCH($B953, Portfolio!$A:$A, 0)),Transactions!$B953)</f>
        <v/>
      </c>
      <c r="D953" s="51" t="str">
        <f>IF($B953&lt;&gt;"",Transactions!$E953*1,)</f>
        <v/>
      </c>
      <c r="E953" s="51" t="str">
        <f>IF($B953&lt;&gt;"",Transactions!$F953*1,)</f>
        <v/>
      </c>
      <c r="F953" s="42" t="str">
        <f>IF(Transactions!$G953&lt;&gt;"",Transactions!$H953&amp;" "&amp;Transactions!$G953,)</f>
        <v/>
      </c>
    </row>
    <row r="954">
      <c r="A954" s="55" t="str">
        <f>IF(Transactions!$B954&lt;&gt;"",DATE(LEFT(Transactions!$B954,4),MID(Transactions!$B954,6,2),MID(Transactions!$B954,9,2)),)</f>
        <v/>
      </c>
      <c r="B954" s="56" t="str">
        <f>Transactions!$C954</f>
        <v/>
      </c>
      <c r="C954" s="51" t="str">
        <f t="array" ref="C954">IFERROR(INDEX(Portfolio!$B:$B, MATCH($B954, Portfolio!$A:$A, 0)),Transactions!$B954)</f>
        <v/>
      </c>
      <c r="D954" s="51" t="str">
        <f>IF($B954&lt;&gt;"",Transactions!$E954*1,)</f>
        <v/>
      </c>
      <c r="E954" s="51" t="str">
        <f>IF($B954&lt;&gt;"",Transactions!$F954*1,)</f>
        <v/>
      </c>
      <c r="F954" s="42" t="str">
        <f>IF(Transactions!$G954&lt;&gt;"",Transactions!$H954&amp;" "&amp;Transactions!$G954,)</f>
        <v/>
      </c>
    </row>
    <row r="955">
      <c r="A955" s="55" t="str">
        <f>IF(Transactions!$B955&lt;&gt;"",DATE(LEFT(Transactions!$B955,4),MID(Transactions!$B955,6,2),MID(Transactions!$B955,9,2)),)</f>
        <v/>
      </c>
      <c r="B955" s="56" t="str">
        <f>Transactions!$C955</f>
        <v/>
      </c>
      <c r="C955" s="51" t="str">
        <f t="array" ref="C955">IFERROR(INDEX(Portfolio!$B:$B, MATCH($B955, Portfolio!$A:$A, 0)),Transactions!$B955)</f>
        <v/>
      </c>
      <c r="D955" s="51" t="str">
        <f>IF($B955&lt;&gt;"",Transactions!$E955*1,)</f>
        <v/>
      </c>
      <c r="E955" s="51" t="str">
        <f>IF($B955&lt;&gt;"",Transactions!$F955*1,)</f>
        <v/>
      </c>
      <c r="F955" s="42" t="str">
        <f>IF(Transactions!$G955&lt;&gt;"",Transactions!$H955&amp;" "&amp;Transactions!$G955,)</f>
        <v/>
      </c>
    </row>
    <row r="956">
      <c r="A956" s="55" t="str">
        <f>IF(Transactions!$B956&lt;&gt;"",DATE(LEFT(Transactions!$B956,4),MID(Transactions!$B956,6,2),MID(Transactions!$B956,9,2)),)</f>
        <v/>
      </c>
      <c r="B956" s="56" t="str">
        <f>Transactions!$C956</f>
        <v/>
      </c>
      <c r="C956" s="51" t="str">
        <f t="array" ref="C956">IFERROR(INDEX(Portfolio!$B:$B, MATCH($B956, Portfolio!$A:$A, 0)),Transactions!$B956)</f>
        <v/>
      </c>
      <c r="D956" s="51" t="str">
        <f>IF($B956&lt;&gt;"",Transactions!$E956*1,)</f>
        <v/>
      </c>
      <c r="E956" s="51" t="str">
        <f>IF($B956&lt;&gt;"",Transactions!$F956*1,)</f>
        <v/>
      </c>
      <c r="F956" s="42" t="str">
        <f>IF(Transactions!$G956&lt;&gt;"",Transactions!$H956&amp;" "&amp;Transactions!$G956,)</f>
        <v/>
      </c>
    </row>
    <row r="957">
      <c r="A957" s="55" t="str">
        <f>IF(Transactions!$B957&lt;&gt;"",DATE(LEFT(Transactions!$B957,4),MID(Transactions!$B957,6,2),MID(Transactions!$B957,9,2)),)</f>
        <v/>
      </c>
      <c r="B957" s="56" t="str">
        <f>Transactions!$C957</f>
        <v/>
      </c>
      <c r="C957" s="51" t="str">
        <f t="array" ref="C957">IFERROR(INDEX(Portfolio!$B:$B, MATCH($B957, Portfolio!$A:$A, 0)),Transactions!$B957)</f>
        <v/>
      </c>
      <c r="D957" s="51" t="str">
        <f>IF($B957&lt;&gt;"",Transactions!$E957*1,)</f>
        <v/>
      </c>
      <c r="E957" s="51" t="str">
        <f>IF($B957&lt;&gt;"",Transactions!$F957*1,)</f>
        <v/>
      </c>
      <c r="F957" s="42" t="str">
        <f>IF(Transactions!$G957&lt;&gt;"",Transactions!$H957&amp;" "&amp;Transactions!$G957,)</f>
        <v/>
      </c>
    </row>
    <row r="958">
      <c r="A958" s="55" t="str">
        <f>IF(Transactions!$B958&lt;&gt;"",DATE(LEFT(Transactions!$B958,4),MID(Transactions!$B958,6,2),MID(Transactions!$B958,9,2)),)</f>
        <v/>
      </c>
      <c r="B958" s="56" t="str">
        <f>Transactions!$C958</f>
        <v/>
      </c>
      <c r="C958" s="51" t="str">
        <f t="array" ref="C958">IFERROR(INDEX(Portfolio!$B:$B, MATCH($B958, Portfolio!$A:$A, 0)),Transactions!$B958)</f>
        <v/>
      </c>
      <c r="D958" s="51" t="str">
        <f>IF($B958&lt;&gt;"",Transactions!$E958*1,)</f>
        <v/>
      </c>
      <c r="E958" s="51" t="str">
        <f>IF($B958&lt;&gt;"",Transactions!$F958*1,)</f>
        <v/>
      </c>
      <c r="F958" s="42" t="str">
        <f>IF(Transactions!$G958&lt;&gt;"",Transactions!$H958&amp;" "&amp;Transactions!$G958,)</f>
        <v/>
      </c>
    </row>
    <row r="959">
      <c r="A959" s="55" t="str">
        <f>IF(Transactions!$B959&lt;&gt;"",DATE(LEFT(Transactions!$B959,4),MID(Transactions!$B959,6,2),MID(Transactions!$B959,9,2)),)</f>
        <v/>
      </c>
      <c r="B959" s="56" t="str">
        <f>Transactions!$C959</f>
        <v/>
      </c>
      <c r="C959" s="51" t="str">
        <f t="array" ref="C959">IFERROR(INDEX(Portfolio!$B:$B, MATCH($B959, Portfolio!$A:$A, 0)),Transactions!$B959)</f>
        <v/>
      </c>
      <c r="D959" s="51" t="str">
        <f>IF($B959&lt;&gt;"",Transactions!$E959*1,)</f>
        <v/>
      </c>
      <c r="E959" s="51" t="str">
        <f>IF($B959&lt;&gt;"",Transactions!$F959*1,)</f>
        <v/>
      </c>
      <c r="F959" s="42" t="str">
        <f>IF(Transactions!$G959&lt;&gt;"",Transactions!$H959&amp;" "&amp;Transactions!$G959,)</f>
        <v/>
      </c>
    </row>
    <row r="960">
      <c r="A960" s="55" t="str">
        <f>IF(Transactions!$B960&lt;&gt;"",DATE(LEFT(Transactions!$B960,4),MID(Transactions!$B960,6,2),MID(Transactions!$B960,9,2)),)</f>
        <v/>
      </c>
      <c r="B960" s="56" t="str">
        <f>Transactions!$C960</f>
        <v/>
      </c>
      <c r="C960" s="51" t="str">
        <f t="array" ref="C960">IFERROR(INDEX(Portfolio!$B:$B, MATCH($B960, Portfolio!$A:$A, 0)),Transactions!$B960)</f>
        <v/>
      </c>
      <c r="D960" s="51" t="str">
        <f>IF($B960&lt;&gt;"",Transactions!$E960*1,)</f>
        <v/>
      </c>
      <c r="E960" s="51" t="str">
        <f>IF($B960&lt;&gt;"",Transactions!$F960*1,)</f>
        <v/>
      </c>
      <c r="F960" s="42" t="str">
        <f>IF(Transactions!$G960&lt;&gt;"",Transactions!$H960&amp;" "&amp;Transactions!$G960,)</f>
        <v/>
      </c>
    </row>
    <row r="961">
      <c r="A961" s="55" t="str">
        <f>IF(Transactions!$B961&lt;&gt;"",DATE(LEFT(Transactions!$B961,4),MID(Transactions!$B961,6,2),MID(Transactions!$B961,9,2)),)</f>
        <v/>
      </c>
      <c r="B961" s="56" t="str">
        <f>Transactions!$C961</f>
        <v/>
      </c>
      <c r="C961" s="51" t="str">
        <f t="array" ref="C961">IFERROR(INDEX(Portfolio!$B:$B, MATCH($B961, Portfolio!$A:$A, 0)),Transactions!$B961)</f>
        <v/>
      </c>
      <c r="D961" s="51" t="str">
        <f>IF($B961&lt;&gt;"",Transactions!$E961*1,)</f>
        <v/>
      </c>
      <c r="E961" s="51" t="str">
        <f>IF($B961&lt;&gt;"",Transactions!$F961*1,)</f>
        <v/>
      </c>
      <c r="F961" s="42" t="str">
        <f>IF(Transactions!$G961&lt;&gt;"",Transactions!$H961&amp;" "&amp;Transactions!$G961,)</f>
        <v/>
      </c>
    </row>
    <row r="962">
      <c r="A962" s="55" t="str">
        <f>IF(Transactions!$B962&lt;&gt;"",DATE(LEFT(Transactions!$B962,4),MID(Transactions!$B962,6,2),MID(Transactions!$B962,9,2)),)</f>
        <v/>
      </c>
      <c r="B962" s="56" t="str">
        <f>Transactions!$C962</f>
        <v/>
      </c>
      <c r="C962" s="51" t="str">
        <f t="array" ref="C962">IFERROR(INDEX(Portfolio!$B:$B, MATCH($B962, Portfolio!$A:$A, 0)),Transactions!$B962)</f>
        <v/>
      </c>
      <c r="D962" s="51" t="str">
        <f>IF($B962&lt;&gt;"",Transactions!$E962*1,)</f>
        <v/>
      </c>
      <c r="E962" s="51" t="str">
        <f>IF($B962&lt;&gt;"",Transactions!$F962*1,)</f>
        <v/>
      </c>
      <c r="F962" s="42" t="str">
        <f>IF(Transactions!$G962&lt;&gt;"",Transactions!$H962&amp;" "&amp;Transactions!$G962,)</f>
        <v/>
      </c>
    </row>
    <row r="963">
      <c r="A963" s="55" t="str">
        <f>IF(Transactions!$B963&lt;&gt;"",DATE(LEFT(Transactions!$B963,4),MID(Transactions!$B963,6,2),MID(Transactions!$B963,9,2)),)</f>
        <v/>
      </c>
      <c r="B963" s="56" t="str">
        <f>Transactions!$C963</f>
        <v/>
      </c>
      <c r="C963" s="51" t="str">
        <f t="array" ref="C963">IFERROR(INDEX(Portfolio!$B:$B, MATCH($B963, Portfolio!$A:$A, 0)),Transactions!$B963)</f>
        <v/>
      </c>
      <c r="D963" s="51" t="str">
        <f>IF($B963&lt;&gt;"",Transactions!$E963*1,)</f>
        <v/>
      </c>
      <c r="E963" s="51" t="str">
        <f>IF($B963&lt;&gt;"",Transactions!$F963*1,)</f>
        <v/>
      </c>
      <c r="F963" s="42" t="str">
        <f>IF(Transactions!$G963&lt;&gt;"",Transactions!$H963&amp;" "&amp;Transactions!$G963,)</f>
        <v/>
      </c>
    </row>
    <row r="964">
      <c r="A964" s="55" t="str">
        <f>IF(Transactions!$B964&lt;&gt;"",DATE(LEFT(Transactions!$B964,4),MID(Transactions!$B964,6,2),MID(Transactions!$B964,9,2)),)</f>
        <v/>
      </c>
      <c r="B964" s="56" t="str">
        <f>Transactions!$C964</f>
        <v/>
      </c>
      <c r="C964" s="51" t="str">
        <f t="array" ref="C964">IFERROR(INDEX(Portfolio!$B:$B, MATCH($B964, Portfolio!$A:$A, 0)),Transactions!$B964)</f>
        <v/>
      </c>
      <c r="D964" s="51" t="str">
        <f>IF($B964&lt;&gt;"",Transactions!$E964*1,)</f>
        <v/>
      </c>
      <c r="E964" s="51" t="str">
        <f>IF($B964&lt;&gt;"",Transactions!$F964*1,)</f>
        <v/>
      </c>
      <c r="F964" s="42" t="str">
        <f>IF(Transactions!$G964&lt;&gt;"",Transactions!$H964&amp;" "&amp;Transactions!$G964,)</f>
        <v/>
      </c>
    </row>
    <row r="965">
      <c r="A965" s="55" t="str">
        <f>IF(Transactions!$B965&lt;&gt;"",DATE(LEFT(Transactions!$B965,4),MID(Transactions!$B965,6,2),MID(Transactions!$B965,9,2)),)</f>
        <v/>
      </c>
      <c r="B965" s="56" t="str">
        <f>Transactions!$C965</f>
        <v/>
      </c>
      <c r="C965" s="51" t="str">
        <f t="array" ref="C965">IFERROR(INDEX(Portfolio!$B:$B, MATCH($B965, Portfolio!$A:$A, 0)),Transactions!$B965)</f>
        <v/>
      </c>
      <c r="D965" s="51" t="str">
        <f>IF($B965&lt;&gt;"",Transactions!$E965*1,)</f>
        <v/>
      </c>
      <c r="E965" s="51" t="str">
        <f>IF($B965&lt;&gt;"",Transactions!$F965*1,)</f>
        <v/>
      </c>
      <c r="F965" s="42" t="str">
        <f>IF(Transactions!$G965&lt;&gt;"",Transactions!$H965&amp;" "&amp;Transactions!$G965,)</f>
        <v/>
      </c>
    </row>
    <row r="966">
      <c r="A966" s="55" t="str">
        <f>IF(Transactions!$B966&lt;&gt;"",DATE(LEFT(Transactions!$B966,4),MID(Transactions!$B966,6,2),MID(Transactions!$B966,9,2)),)</f>
        <v/>
      </c>
      <c r="B966" s="56" t="str">
        <f>Transactions!$C966</f>
        <v/>
      </c>
      <c r="C966" s="51" t="str">
        <f t="array" ref="C966">IFERROR(INDEX(Portfolio!$B:$B, MATCH($B966, Portfolio!$A:$A, 0)),Transactions!$B966)</f>
        <v/>
      </c>
      <c r="D966" s="51" t="str">
        <f>IF($B966&lt;&gt;"",Transactions!$E966*1,)</f>
        <v/>
      </c>
      <c r="E966" s="51" t="str">
        <f>IF($B966&lt;&gt;"",Transactions!$F966*1,)</f>
        <v/>
      </c>
      <c r="F966" s="42" t="str">
        <f>IF(Transactions!$G966&lt;&gt;"",Transactions!$H966&amp;" "&amp;Transactions!$G966,)</f>
        <v/>
      </c>
    </row>
    <row r="967">
      <c r="A967" s="55" t="str">
        <f>IF(Transactions!$B967&lt;&gt;"",DATE(LEFT(Transactions!$B967,4),MID(Transactions!$B967,6,2),MID(Transactions!$B967,9,2)),)</f>
        <v/>
      </c>
      <c r="B967" s="56" t="str">
        <f>Transactions!$C967</f>
        <v/>
      </c>
      <c r="C967" s="51" t="str">
        <f t="array" ref="C967">IFERROR(INDEX(Portfolio!$B:$B, MATCH($B967, Portfolio!$A:$A, 0)),Transactions!$B967)</f>
        <v/>
      </c>
      <c r="D967" s="51" t="str">
        <f>IF($B967&lt;&gt;"",Transactions!$E967*1,)</f>
        <v/>
      </c>
      <c r="E967" s="51" t="str">
        <f>IF($B967&lt;&gt;"",Transactions!$F967*1,)</f>
        <v/>
      </c>
      <c r="F967" s="42" t="str">
        <f>IF(Transactions!$G967&lt;&gt;"",Transactions!$H967&amp;" "&amp;Transactions!$G967,)</f>
        <v/>
      </c>
    </row>
    <row r="968">
      <c r="A968" s="55" t="str">
        <f>IF(Transactions!$B968&lt;&gt;"",DATE(LEFT(Transactions!$B968,4),MID(Transactions!$B968,6,2),MID(Transactions!$B968,9,2)),)</f>
        <v/>
      </c>
      <c r="B968" s="56" t="str">
        <f>Transactions!$C968</f>
        <v/>
      </c>
      <c r="C968" s="51" t="str">
        <f t="array" ref="C968">IFERROR(INDEX(Portfolio!$B:$B, MATCH($B968, Portfolio!$A:$A, 0)),Transactions!$B968)</f>
        <v/>
      </c>
      <c r="D968" s="51" t="str">
        <f>IF($B968&lt;&gt;"",Transactions!$E968*1,)</f>
        <v/>
      </c>
      <c r="E968" s="51" t="str">
        <f>IF($B968&lt;&gt;"",Transactions!$F968*1,)</f>
        <v/>
      </c>
      <c r="F968" s="42" t="str">
        <f>IF(Transactions!$G968&lt;&gt;"",Transactions!$H968&amp;" "&amp;Transactions!$G968,)</f>
        <v/>
      </c>
    </row>
    <row r="969">
      <c r="A969" s="55" t="str">
        <f>IF(Transactions!$B969&lt;&gt;"",DATE(LEFT(Transactions!$B969,4),MID(Transactions!$B969,6,2),MID(Transactions!$B969,9,2)),)</f>
        <v/>
      </c>
      <c r="B969" s="56" t="str">
        <f>Transactions!$C969</f>
        <v/>
      </c>
      <c r="C969" s="51" t="str">
        <f t="array" ref="C969">IFERROR(INDEX(Portfolio!$B:$B, MATCH($B969, Portfolio!$A:$A, 0)),Transactions!$B969)</f>
        <v/>
      </c>
      <c r="D969" s="51" t="str">
        <f>IF($B969&lt;&gt;"",Transactions!$E969*1,)</f>
        <v/>
      </c>
      <c r="E969" s="51" t="str">
        <f>IF($B969&lt;&gt;"",Transactions!$F969*1,)</f>
        <v/>
      </c>
      <c r="F969" s="42" t="str">
        <f>IF(Transactions!$G969&lt;&gt;"",Transactions!$H969&amp;" "&amp;Transactions!$G969,)</f>
        <v/>
      </c>
    </row>
    <row r="970">
      <c r="A970" s="55" t="str">
        <f>IF(Transactions!$B970&lt;&gt;"",DATE(LEFT(Transactions!$B970,4),MID(Transactions!$B970,6,2),MID(Transactions!$B970,9,2)),)</f>
        <v/>
      </c>
      <c r="B970" s="56" t="str">
        <f>Transactions!$C970</f>
        <v/>
      </c>
      <c r="C970" s="51" t="str">
        <f t="array" ref="C970">IFERROR(INDEX(Portfolio!$B:$B, MATCH($B970, Portfolio!$A:$A, 0)),Transactions!$B970)</f>
        <v/>
      </c>
      <c r="D970" s="51" t="str">
        <f>IF($B970&lt;&gt;"",Transactions!$E970*1,)</f>
        <v/>
      </c>
      <c r="E970" s="51" t="str">
        <f>IF($B970&lt;&gt;"",Transactions!$F970*1,)</f>
        <v/>
      </c>
      <c r="F970" s="42" t="str">
        <f>IF(Transactions!$G970&lt;&gt;"",Transactions!$H970&amp;" "&amp;Transactions!$G970,)</f>
        <v/>
      </c>
    </row>
    <row r="971">
      <c r="A971" s="55" t="str">
        <f>IF(Transactions!$B971&lt;&gt;"",DATE(LEFT(Transactions!$B971,4),MID(Transactions!$B971,6,2),MID(Transactions!$B971,9,2)),)</f>
        <v/>
      </c>
      <c r="B971" s="56" t="str">
        <f>Transactions!$C971</f>
        <v/>
      </c>
      <c r="C971" s="51" t="str">
        <f t="array" ref="C971">IFERROR(INDEX(Portfolio!$B:$B, MATCH($B971, Portfolio!$A:$A, 0)),Transactions!$B971)</f>
        <v/>
      </c>
      <c r="D971" s="51" t="str">
        <f>IF($B971&lt;&gt;"",Transactions!$E971*1,)</f>
        <v/>
      </c>
      <c r="E971" s="51" t="str">
        <f>IF($B971&lt;&gt;"",Transactions!$F971*1,)</f>
        <v/>
      </c>
      <c r="F971" s="42" t="str">
        <f>IF(Transactions!$G971&lt;&gt;"",Transactions!$H971&amp;" "&amp;Transactions!$G971,)</f>
        <v/>
      </c>
    </row>
    <row r="972">
      <c r="A972" s="55" t="str">
        <f>IF(Transactions!$B972&lt;&gt;"",DATE(LEFT(Transactions!$B972,4),MID(Transactions!$B972,6,2),MID(Transactions!$B972,9,2)),)</f>
        <v/>
      </c>
      <c r="B972" s="56" t="str">
        <f>Transactions!$C972</f>
        <v/>
      </c>
      <c r="C972" s="51" t="str">
        <f t="array" ref="C972">IFERROR(INDEX(Portfolio!$B:$B, MATCH($B972, Portfolio!$A:$A, 0)),Transactions!$B972)</f>
        <v/>
      </c>
      <c r="D972" s="51" t="str">
        <f>IF($B972&lt;&gt;"",Transactions!$E972*1,)</f>
        <v/>
      </c>
      <c r="E972" s="51" t="str">
        <f>IF($B972&lt;&gt;"",Transactions!$F972*1,)</f>
        <v/>
      </c>
      <c r="F972" s="42" t="str">
        <f>IF(Transactions!$G972&lt;&gt;"",Transactions!$H972&amp;" "&amp;Transactions!$G972,)</f>
        <v/>
      </c>
    </row>
    <row r="973">
      <c r="A973" s="55" t="str">
        <f>IF(Transactions!$B973&lt;&gt;"",DATE(LEFT(Transactions!$B973,4),MID(Transactions!$B973,6,2),MID(Transactions!$B973,9,2)),)</f>
        <v/>
      </c>
      <c r="B973" s="56" t="str">
        <f>Transactions!$C973</f>
        <v/>
      </c>
      <c r="C973" s="51" t="str">
        <f t="array" ref="C973">IFERROR(INDEX(Portfolio!$B:$B, MATCH($B973, Portfolio!$A:$A, 0)),Transactions!$B973)</f>
        <v/>
      </c>
      <c r="D973" s="51" t="str">
        <f>IF($B973&lt;&gt;"",Transactions!$E973*1,)</f>
        <v/>
      </c>
      <c r="E973" s="51" t="str">
        <f>IF($B973&lt;&gt;"",Transactions!$F973*1,)</f>
        <v/>
      </c>
      <c r="F973" s="42" t="str">
        <f>IF(Transactions!$G973&lt;&gt;"",Transactions!$H973&amp;" "&amp;Transactions!$G973,)</f>
        <v/>
      </c>
    </row>
    <row r="974">
      <c r="A974" s="55" t="str">
        <f>IF(Transactions!$B974&lt;&gt;"",DATE(LEFT(Transactions!$B974,4),MID(Transactions!$B974,6,2),MID(Transactions!$B974,9,2)),)</f>
        <v/>
      </c>
      <c r="B974" s="56" t="str">
        <f>Transactions!$C974</f>
        <v/>
      </c>
      <c r="C974" s="51" t="str">
        <f t="array" ref="C974">IFERROR(INDEX(Portfolio!$B:$B, MATCH($B974, Portfolio!$A:$A, 0)),Transactions!$B974)</f>
        <v/>
      </c>
      <c r="D974" s="51" t="str">
        <f>IF($B974&lt;&gt;"",Transactions!$E974*1,)</f>
        <v/>
      </c>
      <c r="E974" s="51" t="str">
        <f>IF($B974&lt;&gt;"",Transactions!$F974*1,)</f>
        <v/>
      </c>
      <c r="F974" s="42" t="str">
        <f>IF(Transactions!$G974&lt;&gt;"",Transactions!$H974&amp;" "&amp;Transactions!$G974,)</f>
        <v/>
      </c>
    </row>
    <row r="975">
      <c r="A975" s="55" t="str">
        <f>IF(Transactions!$B975&lt;&gt;"",DATE(LEFT(Transactions!$B975,4),MID(Transactions!$B975,6,2),MID(Transactions!$B975,9,2)),)</f>
        <v/>
      </c>
      <c r="B975" s="56" t="str">
        <f>Transactions!$C975</f>
        <v/>
      </c>
      <c r="C975" s="51" t="str">
        <f t="array" ref="C975">IFERROR(INDEX(Portfolio!$B:$B, MATCH($B975, Portfolio!$A:$A, 0)),Transactions!$B975)</f>
        <v/>
      </c>
      <c r="D975" s="51" t="str">
        <f>IF($B975&lt;&gt;"",Transactions!$E975*1,)</f>
        <v/>
      </c>
      <c r="E975" s="51" t="str">
        <f>IF($B975&lt;&gt;"",Transactions!$F975*1,)</f>
        <v/>
      </c>
      <c r="F975" s="42" t="str">
        <f>IF(Transactions!$G975&lt;&gt;"",Transactions!$H975&amp;" "&amp;Transactions!$G975,)</f>
        <v/>
      </c>
    </row>
    <row r="976">
      <c r="A976" s="55" t="str">
        <f>IF(Transactions!$B976&lt;&gt;"",DATE(LEFT(Transactions!$B976,4),MID(Transactions!$B976,6,2),MID(Transactions!$B976,9,2)),)</f>
        <v/>
      </c>
      <c r="B976" s="56" t="str">
        <f>Transactions!$C976</f>
        <v/>
      </c>
      <c r="C976" s="51" t="str">
        <f t="array" ref="C976">IFERROR(INDEX(Portfolio!$B:$B, MATCH($B976, Portfolio!$A:$A, 0)),Transactions!$B976)</f>
        <v/>
      </c>
      <c r="D976" s="51" t="str">
        <f>IF($B976&lt;&gt;"",Transactions!$E976*1,)</f>
        <v/>
      </c>
      <c r="E976" s="51" t="str">
        <f>IF($B976&lt;&gt;"",Transactions!$F976*1,)</f>
        <v/>
      </c>
      <c r="F976" s="42" t="str">
        <f>IF(Transactions!$G976&lt;&gt;"",Transactions!$H976&amp;" "&amp;Transactions!$G976,)</f>
        <v/>
      </c>
    </row>
    <row r="977">
      <c r="A977" s="55" t="str">
        <f>IF(Transactions!$B977&lt;&gt;"",DATE(LEFT(Transactions!$B977,4),MID(Transactions!$B977,6,2),MID(Transactions!$B977,9,2)),)</f>
        <v/>
      </c>
      <c r="B977" s="56" t="str">
        <f>Transactions!$C977</f>
        <v/>
      </c>
      <c r="C977" s="51" t="str">
        <f t="array" ref="C977">IFERROR(INDEX(Portfolio!$B:$B, MATCH($B977, Portfolio!$A:$A, 0)),Transactions!$B977)</f>
        <v/>
      </c>
      <c r="D977" s="51" t="str">
        <f>IF($B977&lt;&gt;"",Transactions!$E977*1,)</f>
        <v/>
      </c>
      <c r="E977" s="51" t="str">
        <f>IF($B977&lt;&gt;"",Transactions!$F977*1,)</f>
        <v/>
      </c>
      <c r="F977" s="42" t="str">
        <f>IF(Transactions!$G977&lt;&gt;"",Transactions!$H977&amp;" "&amp;Transactions!$G977,)</f>
        <v/>
      </c>
    </row>
    <row r="978">
      <c r="A978" s="55" t="str">
        <f>IF(Transactions!$B978&lt;&gt;"",DATE(LEFT(Transactions!$B978,4),MID(Transactions!$B978,6,2),MID(Transactions!$B978,9,2)),)</f>
        <v/>
      </c>
      <c r="B978" s="56" t="str">
        <f>Transactions!$C978</f>
        <v/>
      </c>
      <c r="C978" s="51" t="str">
        <f t="array" ref="C978">IFERROR(INDEX(Portfolio!$B:$B, MATCH($B978, Portfolio!$A:$A, 0)),Transactions!$B978)</f>
        <v/>
      </c>
      <c r="D978" s="51" t="str">
        <f>IF($B978&lt;&gt;"",Transactions!$E978*1,)</f>
        <v/>
      </c>
      <c r="E978" s="51" t="str">
        <f>IF($B978&lt;&gt;"",Transactions!$F978*1,)</f>
        <v/>
      </c>
      <c r="F978" s="42" t="str">
        <f>IF(Transactions!$G978&lt;&gt;"",Transactions!$H978&amp;" "&amp;Transactions!$G978,)</f>
        <v/>
      </c>
    </row>
    <row r="979">
      <c r="A979" s="55" t="str">
        <f>IF(Transactions!$B979&lt;&gt;"",DATE(LEFT(Transactions!$B979,4),MID(Transactions!$B979,6,2),MID(Transactions!$B979,9,2)),)</f>
        <v/>
      </c>
      <c r="B979" s="56" t="str">
        <f>Transactions!$C979</f>
        <v/>
      </c>
      <c r="C979" s="51" t="str">
        <f t="array" ref="C979">IFERROR(INDEX(Portfolio!$B:$B, MATCH($B979, Portfolio!$A:$A, 0)),Transactions!$B979)</f>
        <v/>
      </c>
      <c r="D979" s="51" t="str">
        <f>IF($B979&lt;&gt;"",Transactions!$E979*1,)</f>
        <v/>
      </c>
      <c r="E979" s="51" t="str">
        <f>IF($B979&lt;&gt;"",Transactions!$F979*1,)</f>
        <v/>
      </c>
      <c r="F979" s="42" t="str">
        <f>IF(Transactions!$G979&lt;&gt;"",Transactions!$H979&amp;" "&amp;Transactions!$G979,)</f>
        <v/>
      </c>
    </row>
    <row r="980">
      <c r="A980" s="55" t="str">
        <f>IF(Transactions!$B980&lt;&gt;"",DATE(LEFT(Transactions!$B980,4),MID(Transactions!$B980,6,2),MID(Transactions!$B980,9,2)),)</f>
        <v/>
      </c>
      <c r="B980" s="56" t="str">
        <f>Transactions!$C980</f>
        <v/>
      </c>
      <c r="C980" s="51" t="str">
        <f t="array" ref="C980">IFERROR(INDEX(Portfolio!$B:$B, MATCH($B980, Portfolio!$A:$A, 0)),Transactions!$B980)</f>
        <v/>
      </c>
      <c r="D980" s="51" t="str">
        <f>IF($B980&lt;&gt;"",Transactions!$E980*1,)</f>
        <v/>
      </c>
      <c r="E980" s="51" t="str">
        <f>IF($B980&lt;&gt;"",Transactions!$F980*1,)</f>
        <v/>
      </c>
      <c r="F980" s="42" t="str">
        <f>IF(Transactions!$G980&lt;&gt;"",Transactions!$H980&amp;" "&amp;Transactions!$G980,)</f>
        <v/>
      </c>
    </row>
    <row r="981">
      <c r="A981" s="55" t="str">
        <f>IF(Transactions!$B981&lt;&gt;"",DATE(LEFT(Transactions!$B981,4),MID(Transactions!$B981,6,2),MID(Transactions!$B981,9,2)),)</f>
        <v/>
      </c>
      <c r="B981" s="56" t="str">
        <f>Transactions!$C981</f>
        <v/>
      </c>
      <c r="C981" s="51" t="str">
        <f t="array" ref="C981">IFERROR(INDEX(Portfolio!$B:$B, MATCH($B981, Portfolio!$A:$A, 0)),Transactions!$B981)</f>
        <v/>
      </c>
      <c r="D981" s="51" t="str">
        <f>IF($B981&lt;&gt;"",Transactions!$E981*1,)</f>
        <v/>
      </c>
      <c r="E981" s="51" t="str">
        <f>IF($B981&lt;&gt;"",Transactions!$F981*1,)</f>
        <v/>
      </c>
      <c r="F981" s="42" t="str">
        <f>IF(Transactions!$G981&lt;&gt;"",Transactions!$H981&amp;" "&amp;Transactions!$G981,)</f>
        <v/>
      </c>
    </row>
    <row r="982">
      <c r="A982" s="55" t="str">
        <f>IF(Transactions!$B982&lt;&gt;"",DATE(LEFT(Transactions!$B982,4),MID(Transactions!$B982,6,2),MID(Transactions!$B982,9,2)),)</f>
        <v/>
      </c>
      <c r="B982" s="56" t="str">
        <f>Transactions!$C982</f>
        <v/>
      </c>
      <c r="C982" s="51" t="str">
        <f t="array" ref="C982">IFERROR(INDEX(Portfolio!$B:$B, MATCH($B982, Portfolio!$A:$A, 0)),Transactions!$B982)</f>
        <v/>
      </c>
      <c r="D982" s="51" t="str">
        <f>IF($B982&lt;&gt;"",Transactions!$E982*1,)</f>
        <v/>
      </c>
      <c r="E982" s="51" t="str">
        <f>IF($B982&lt;&gt;"",Transactions!$F982*1,)</f>
        <v/>
      </c>
      <c r="F982" s="42" t="str">
        <f>IF(Transactions!$G982&lt;&gt;"",Transactions!$H982&amp;" "&amp;Transactions!$G982,)</f>
        <v/>
      </c>
    </row>
    <row r="983">
      <c r="A983" s="55" t="str">
        <f>IF(Transactions!$B983&lt;&gt;"",DATE(LEFT(Transactions!$B983,4),MID(Transactions!$B983,6,2),MID(Transactions!$B983,9,2)),)</f>
        <v/>
      </c>
      <c r="B983" s="56" t="str">
        <f>Transactions!$C983</f>
        <v/>
      </c>
      <c r="C983" s="51" t="str">
        <f t="array" ref="C983">IFERROR(INDEX(Portfolio!$B:$B, MATCH($B983, Portfolio!$A:$A, 0)),Transactions!$B983)</f>
        <v/>
      </c>
      <c r="D983" s="51" t="str">
        <f>IF($B983&lt;&gt;"",Transactions!$E983*1,)</f>
        <v/>
      </c>
      <c r="E983" s="51" t="str">
        <f>IF($B983&lt;&gt;"",Transactions!$F983*1,)</f>
        <v/>
      </c>
      <c r="F983" s="42" t="str">
        <f>IF(Transactions!$G983&lt;&gt;"",Transactions!$H983&amp;" "&amp;Transactions!$G983,)</f>
        <v/>
      </c>
    </row>
    <row r="984">
      <c r="A984" s="55" t="str">
        <f>IF(Transactions!$B984&lt;&gt;"",DATE(LEFT(Transactions!$B984,4),MID(Transactions!$B984,6,2),MID(Transactions!$B984,9,2)),)</f>
        <v/>
      </c>
      <c r="B984" s="56" t="str">
        <f>Transactions!$C984</f>
        <v/>
      </c>
      <c r="C984" s="51" t="str">
        <f t="array" ref="C984">IFERROR(INDEX(Portfolio!$B:$B, MATCH($B984, Portfolio!$A:$A, 0)),Transactions!$B984)</f>
        <v/>
      </c>
      <c r="D984" s="51" t="str">
        <f>IF($B984&lt;&gt;"",Transactions!$E984*1,)</f>
        <v/>
      </c>
      <c r="E984" s="51" t="str">
        <f>IF($B984&lt;&gt;"",Transactions!$F984*1,)</f>
        <v/>
      </c>
      <c r="F984" s="42" t="str">
        <f>IF(Transactions!$G984&lt;&gt;"",Transactions!$H984&amp;" "&amp;Transactions!$G984,)</f>
        <v/>
      </c>
    </row>
    <row r="985">
      <c r="A985" s="55" t="str">
        <f>IF(Transactions!$B985&lt;&gt;"",DATE(LEFT(Transactions!$B985,4),MID(Transactions!$B985,6,2),MID(Transactions!$B985,9,2)),)</f>
        <v/>
      </c>
      <c r="B985" s="56" t="str">
        <f>Transactions!$C985</f>
        <v/>
      </c>
      <c r="C985" s="51" t="str">
        <f t="array" ref="C985">IFERROR(INDEX(Portfolio!$B:$B, MATCH($B985, Portfolio!$A:$A, 0)),Transactions!$B985)</f>
        <v/>
      </c>
      <c r="D985" s="51" t="str">
        <f>IF($B985&lt;&gt;"",Transactions!$E985*1,)</f>
        <v/>
      </c>
      <c r="E985" s="51" t="str">
        <f>IF($B985&lt;&gt;"",Transactions!$F985*1,)</f>
        <v/>
      </c>
      <c r="F985" s="42" t="str">
        <f>IF(Transactions!$G985&lt;&gt;"",Transactions!$H985&amp;" "&amp;Transactions!$G985,)</f>
        <v/>
      </c>
    </row>
    <row r="986">
      <c r="A986" s="55" t="str">
        <f>IF(Transactions!$B986&lt;&gt;"",DATE(LEFT(Transactions!$B986,4),MID(Transactions!$B986,6,2),MID(Transactions!$B986,9,2)),)</f>
        <v/>
      </c>
      <c r="B986" s="56" t="str">
        <f>Transactions!$C986</f>
        <v/>
      </c>
      <c r="C986" s="51" t="str">
        <f t="array" ref="C986">IFERROR(INDEX(Portfolio!$B:$B, MATCH($B986, Portfolio!$A:$A, 0)),Transactions!$B986)</f>
        <v/>
      </c>
      <c r="D986" s="51" t="str">
        <f>IF($B986&lt;&gt;"",Transactions!$E986*1,)</f>
        <v/>
      </c>
      <c r="E986" s="51" t="str">
        <f>IF($B986&lt;&gt;"",Transactions!$F986*1,)</f>
        <v/>
      </c>
      <c r="F986" s="42" t="str">
        <f>IF(Transactions!$G986&lt;&gt;"",Transactions!$H986&amp;" "&amp;Transactions!$G986,)</f>
        <v/>
      </c>
    </row>
    <row r="987">
      <c r="A987" s="55" t="str">
        <f>IF(Transactions!$B987&lt;&gt;"",DATE(LEFT(Transactions!$B987,4),MID(Transactions!$B987,6,2),MID(Transactions!$B987,9,2)),)</f>
        <v/>
      </c>
      <c r="B987" s="56" t="str">
        <f>Transactions!$C987</f>
        <v/>
      </c>
      <c r="C987" s="51" t="str">
        <f t="array" ref="C987">IFERROR(INDEX(Portfolio!$B:$B, MATCH($B987, Portfolio!$A:$A, 0)),Transactions!$B987)</f>
        <v/>
      </c>
      <c r="D987" s="51" t="str">
        <f>IF($B987&lt;&gt;"",Transactions!$E987*1,)</f>
        <v/>
      </c>
      <c r="E987" s="51" t="str">
        <f>IF($B987&lt;&gt;"",Transactions!$F987*1,)</f>
        <v/>
      </c>
      <c r="F987" s="42" t="str">
        <f>IF(Transactions!$G987&lt;&gt;"",Transactions!$H987&amp;" "&amp;Transactions!$G987,)</f>
        <v/>
      </c>
    </row>
    <row r="988">
      <c r="A988" s="55" t="str">
        <f>IF(Transactions!$B988&lt;&gt;"",DATE(LEFT(Transactions!$B988,4),MID(Transactions!$B988,6,2),MID(Transactions!$B988,9,2)),)</f>
        <v/>
      </c>
      <c r="B988" s="56" t="str">
        <f>Transactions!$C988</f>
        <v/>
      </c>
      <c r="C988" s="51" t="str">
        <f t="array" ref="C988">IFERROR(INDEX(Portfolio!$B:$B, MATCH($B988, Portfolio!$A:$A, 0)),Transactions!$B988)</f>
        <v/>
      </c>
      <c r="D988" s="51" t="str">
        <f>IF($B988&lt;&gt;"",Transactions!$E988*1,)</f>
        <v/>
      </c>
      <c r="E988" s="51" t="str">
        <f>IF($B988&lt;&gt;"",Transactions!$F988*1,)</f>
        <v/>
      </c>
      <c r="F988" s="42" t="str">
        <f>IF(Transactions!$G988&lt;&gt;"",Transactions!$H988&amp;" "&amp;Transactions!$G988,)</f>
        <v/>
      </c>
    </row>
    <row r="989">
      <c r="A989" s="55" t="str">
        <f>IF(Transactions!$B989&lt;&gt;"",DATE(LEFT(Transactions!$B989,4),MID(Transactions!$B989,6,2),MID(Transactions!$B989,9,2)),)</f>
        <v/>
      </c>
      <c r="B989" s="56" t="str">
        <f>Transactions!$C989</f>
        <v/>
      </c>
      <c r="C989" s="51" t="str">
        <f t="array" ref="C989">IFERROR(INDEX(Portfolio!$B:$B, MATCH($B989, Portfolio!$A:$A, 0)),Transactions!$B989)</f>
        <v/>
      </c>
      <c r="D989" s="51" t="str">
        <f>IF($B989&lt;&gt;"",Transactions!$E989*1,)</f>
        <v/>
      </c>
      <c r="E989" s="51" t="str">
        <f>IF($B989&lt;&gt;"",Transactions!$F989*1,)</f>
        <v/>
      </c>
      <c r="F989" s="42" t="str">
        <f>IF(Transactions!$G989&lt;&gt;"",Transactions!$H989&amp;" "&amp;Transactions!$G989,)</f>
        <v/>
      </c>
    </row>
    <row r="990">
      <c r="A990" s="55" t="str">
        <f>IF(Transactions!$B990&lt;&gt;"",DATE(LEFT(Transactions!$B990,4),MID(Transactions!$B990,6,2),MID(Transactions!$B990,9,2)),)</f>
        <v/>
      </c>
      <c r="B990" s="56" t="str">
        <f>Transactions!$C990</f>
        <v/>
      </c>
      <c r="C990" s="51" t="str">
        <f t="array" ref="C990">IFERROR(INDEX(Portfolio!$B:$B, MATCH($B990, Portfolio!$A:$A, 0)),Transactions!$B990)</f>
        <v/>
      </c>
      <c r="D990" s="51" t="str">
        <f>IF($B990&lt;&gt;"",Transactions!$E990*1,)</f>
        <v/>
      </c>
      <c r="E990" s="51" t="str">
        <f>IF($B990&lt;&gt;"",Transactions!$F990*1,)</f>
        <v/>
      </c>
      <c r="F990" s="42" t="str">
        <f>IF(Transactions!$G990&lt;&gt;"",Transactions!$H990&amp;" "&amp;Transactions!$G990,)</f>
        <v/>
      </c>
    </row>
    <row r="991">
      <c r="A991" s="55" t="str">
        <f>IF(Transactions!$B991&lt;&gt;"",DATE(LEFT(Transactions!$B991,4),MID(Transactions!$B991,6,2),MID(Transactions!$B991,9,2)),)</f>
        <v/>
      </c>
      <c r="B991" s="56" t="str">
        <f>Transactions!$C991</f>
        <v/>
      </c>
      <c r="C991" s="51" t="str">
        <f t="array" ref="C991">IFERROR(INDEX(Portfolio!$B:$B, MATCH($B991, Portfolio!$A:$A, 0)),Transactions!$B991)</f>
        <v/>
      </c>
      <c r="D991" s="51" t="str">
        <f>IF($B991&lt;&gt;"",Transactions!$E991*1,)</f>
        <v/>
      </c>
      <c r="E991" s="51" t="str">
        <f>IF($B991&lt;&gt;"",Transactions!$F991*1,)</f>
        <v/>
      </c>
      <c r="F991" s="42" t="str">
        <f>IF(Transactions!$G991&lt;&gt;"",Transactions!$H991&amp;" "&amp;Transactions!$G991,)</f>
        <v/>
      </c>
    </row>
    <row r="992">
      <c r="A992" s="55" t="str">
        <f>IF(Transactions!$B992&lt;&gt;"",DATE(LEFT(Transactions!$B992,4),MID(Transactions!$B992,6,2),MID(Transactions!$B992,9,2)),)</f>
        <v/>
      </c>
      <c r="B992" s="56" t="str">
        <f>Transactions!$C992</f>
        <v/>
      </c>
      <c r="C992" s="51" t="str">
        <f t="array" ref="C992">IFERROR(INDEX(Portfolio!$B:$B, MATCH($B992, Portfolio!$A:$A, 0)),Transactions!$B992)</f>
        <v/>
      </c>
      <c r="D992" s="51" t="str">
        <f>IF($B992&lt;&gt;"",Transactions!$E992*1,)</f>
        <v/>
      </c>
      <c r="E992" s="51" t="str">
        <f>IF($B992&lt;&gt;"",Transactions!$F992*1,)</f>
        <v/>
      </c>
      <c r="F992" s="42" t="str">
        <f>IF(Transactions!$G992&lt;&gt;"",Transactions!$H992&amp;" "&amp;Transactions!$G992,)</f>
        <v/>
      </c>
    </row>
    <row r="993">
      <c r="A993" s="55" t="str">
        <f>IF(Transactions!$B993&lt;&gt;"",DATE(LEFT(Transactions!$B993,4),MID(Transactions!$B993,6,2),MID(Transactions!$B993,9,2)),)</f>
        <v/>
      </c>
      <c r="B993" s="56" t="str">
        <f>Transactions!$C993</f>
        <v/>
      </c>
      <c r="C993" s="51" t="str">
        <f t="array" ref="C993">IFERROR(INDEX(Portfolio!$B:$B, MATCH($B993, Portfolio!$A:$A, 0)),Transactions!$B993)</f>
        <v/>
      </c>
      <c r="D993" s="51" t="str">
        <f>IF($B993&lt;&gt;"",Transactions!$E993*1,)</f>
        <v/>
      </c>
      <c r="E993" s="51" t="str">
        <f>IF($B993&lt;&gt;"",Transactions!$F993*1,)</f>
        <v/>
      </c>
      <c r="F993" s="42" t="str">
        <f>IF(Transactions!$G993&lt;&gt;"",Transactions!$H993&amp;" "&amp;Transactions!$G993,)</f>
        <v/>
      </c>
    </row>
    <row r="994">
      <c r="A994" s="55" t="str">
        <f>IF(Transactions!$B994&lt;&gt;"",DATE(LEFT(Transactions!$B994,4),MID(Transactions!$B994,6,2),MID(Transactions!$B994,9,2)),)</f>
        <v/>
      </c>
      <c r="B994" s="56" t="str">
        <f>Transactions!$C994</f>
        <v/>
      </c>
      <c r="C994" s="51" t="str">
        <f t="array" ref="C994">IFERROR(INDEX(Portfolio!$B:$B, MATCH($B994, Portfolio!$A:$A, 0)),Transactions!$B994)</f>
        <v/>
      </c>
      <c r="D994" s="51" t="str">
        <f>IF($B994&lt;&gt;"",Transactions!$E994*1,)</f>
        <v/>
      </c>
      <c r="E994" s="51" t="str">
        <f>IF($B994&lt;&gt;"",Transactions!$F994*1,)</f>
        <v/>
      </c>
      <c r="F994" s="42" t="str">
        <f>IF(Transactions!$G994&lt;&gt;"",Transactions!$H994&amp;" "&amp;Transactions!$G994,)</f>
        <v/>
      </c>
    </row>
    <row r="995">
      <c r="A995" s="55" t="str">
        <f>IF(Transactions!$B995&lt;&gt;"",DATE(LEFT(Transactions!$B995,4),MID(Transactions!$B995,6,2),MID(Transactions!$B995,9,2)),)</f>
        <v/>
      </c>
      <c r="B995" s="56" t="str">
        <f>Transactions!$C995</f>
        <v/>
      </c>
      <c r="C995" s="51" t="str">
        <f t="array" ref="C995">IFERROR(INDEX(Portfolio!$B:$B, MATCH($B995, Portfolio!$A:$A, 0)),Transactions!$B995)</f>
        <v/>
      </c>
      <c r="D995" s="51" t="str">
        <f>IF($B995&lt;&gt;"",Transactions!$E995*1,)</f>
        <v/>
      </c>
      <c r="E995" s="51" t="str">
        <f>IF($B995&lt;&gt;"",Transactions!$F995*1,)</f>
        <v/>
      </c>
      <c r="F995" s="42" t="str">
        <f>IF(Transactions!$G995&lt;&gt;"",Transactions!$H995&amp;" "&amp;Transactions!$G995,)</f>
        <v/>
      </c>
    </row>
    <row r="996">
      <c r="A996" s="55" t="str">
        <f>IF(Transactions!$B996&lt;&gt;"",DATE(LEFT(Transactions!$B996,4),MID(Transactions!$B996,6,2),MID(Transactions!$B996,9,2)),)</f>
        <v/>
      </c>
      <c r="B996" s="56" t="str">
        <f>Transactions!$C996</f>
        <v/>
      </c>
      <c r="C996" s="51" t="str">
        <f t="array" ref="C996">IFERROR(INDEX(Portfolio!$B:$B, MATCH($B996, Portfolio!$A:$A, 0)),Transactions!$B996)</f>
        <v/>
      </c>
      <c r="D996" s="51" t="str">
        <f>IF($B996&lt;&gt;"",Transactions!$E996*1,)</f>
        <v/>
      </c>
      <c r="E996" s="51" t="str">
        <f>IF($B996&lt;&gt;"",Transactions!$F996*1,)</f>
        <v/>
      </c>
      <c r="F996" s="42" t="str">
        <f>IF(Transactions!$G996&lt;&gt;"",Transactions!$H996&amp;" "&amp;Transactions!$G996,)</f>
        <v/>
      </c>
    </row>
    <row r="997">
      <c r="A997" s="55" t="str">
        <f>IF(Transactions!$B997&lt;&gt;"",DATE(LEFT(Transactions!$B997,4),MID(Transactions!$B997,6,2),MID(Transactions!$B997,9,2)),)</f>
        <v/>
      </c>
      <c r="B997" s="56" t="str">
        <f>Transactions!$C997</f>
        <v/>
      </c>
      <c r="C997" s="51" t="str">
        <f t="array" ref="C997">IFERROR(INDEX(Portfolio!$B:$B, MATCH($B997, Portfolio!$A:$A, 0)),Transactions!$B997)</f>
        <v/>
      </c>
      <c r="D997" s="51" t="str">
        <f>IF($B997&lt;&gt;"",Transactions!$E997*1,)</f>
        <v/>
      </c>
      <c r="E997" s="51" t="str">
        <f>IF($B997&lt;&gt;"",Transactions!$F997*1,)</f>
        <v/>
      </c>
      <c r="F997" s="42" t="str">
        <f>IF(Transactions!$G997&lt;&gt;"",Transactions!$H997&amp;" "&amp;Transactions!$G997,)</f>
        <v/>
      </c>
    </row>
    <row r="998">
      <c r="A998" s="55" t="str">
        <f>IF(Transactions!$B998&lt;&gt;"",DATE(LEFT(Transactions!$B998,4),MID(Transactions!$B998,6,2),MID(Transactions!$B998,9,2)),)</f>
        <v/>
      </c>
      <c r="B998" s="56" t="str">
        <f>Transactions!$C998</f>
        <v/>
      </c>
      <c r="C998" s="51" t="str">
        <f t="array" ref="C998">IFERROR(INDEX(Portfolio!$B:$B, MATCH($B998, Portfolio!$A:$A, 0)),Transactions!$B998)</f>
        <v/>
      </c>
      <c r="D998" s="51" t="str">
        <f>IF($B998&lt;&gt;"",Transactions!$E998*1,)</f>
        <v/>
      </c>
      <c r="E998" s="51" t="str">
        <f>IF($B998&lt;&gt;"",Transactions!$F998*1,)</f>
        <v/>
      </c>
      <c r="F998" s="42" t="str">
        <f>IF(Transactions!$G998&lt;&gt;"",Transactions!$H998&amp;" "&amp;Transactions!$G998,)</f>
        <v/>
      </c>
    </row>
    <row r="999">
      <c r="A999" s="55" t="str">
        <f>IF(Transactions!$B999&lt;&gt;"",DATE(LEFT(Transactions!$B999,4),MID(Transactions!$B999,6,2),MID(Transactions!$B999,9,2)),)</f>
        <v/>
      </c>
      <c r="B999" s="56" t="str">
        <f>Transactions!$C999</f>
        <v/>
      </c>
      <c r="C999" s="51" t="str">
        <f t="array" ref="C999">IFERROR(INDEX(Portfolio!$B:$B, MATCH($B999, Portfolio!$A:$A, 0)),Transactions!$B999)</f>
        <v/>
      </c>
      <c r="D999" s="51" t="str">
        <f>IF($B999&lt;&gt;"",Transactions!$E999*1,)</f>
        <v/>
      </c>
      <c r="E999" s="51" t="str">
        <f>IF($B999&lt;&gt;"",Transactions!$F999*1,)</f>
        <v/>
      </c>
      <c r="F999" s="42" t="str">
        <f>IF(Transactions!$G999&lt;&gt;"",Transactions!$H999&amp;" "&amp;Transactions!$G999,)</f>
        <v/>
      </c>
    </row>
    <row r="1000">
      <c r="A1000" s="55" t="str">
        <f>IF(Transactions!$B1000&lt;&gt;"",DATE(LEFT(Transactions!$B1000,4),MID(Transactions!$B1000,6,2),MID(Transactions!$B1000,9,2)),)</f>
        <v/>
      </c>
      <c r="B1000" s="56" t="str">
        <f>Transactions!$C1000</f>
        <v/>
      </c>
      <c r="C1000" s="51" t="str">
        <f t="array" ref="C1000">IFERROR(INDEX(Portfolio!$B:$B, MATCH($B1000, Portfolio!$A:$A, 0)),Transactions!$B1000)</f>
        <v/>
      </c>
      <c r="D1000" s="51" t="str">
        <f>IF($B1000&lt;&gt;"",Transactions!$E1000*1,)</f>
        <v/>
      </c>
      <c r="E1000" s="51" t="str">
        <f>IF($B1000&lt;&gt;"",Transactions!$F1000*1,)</f>
        <v/>
      </c>
      <c r="F1000" s="42" t="str">
        <f>IF(Transactions!$G1000&lt;&gt;"",Transactions!$H1000&amp;" "&amp;Transactions!$G1000,)</f>
        <v/>
      </c>
    </row>
    <row r="1001">
      <c r="A1001" s="55" t="str">
        <f>IF(Transactions!$B1001&lt;&gt;"",DATE(LEFT(Transactions!$B1001,4),MID(Transactions!$B1001,6,2),MID(Transactions!$B1001,9,2)),)</f>
        <v/>
      </c>
      <c r="B1001" s="56" t="str">
        <f>Transactions!$C1001</f>
        <v/>
      </c>
      <c r="C1001" s="51" t="str">
        <f t="array" ref="C1001">IFERROR(INDEX(Portfolio!$B:$B, MATCH($B1001, Portfolio!$A:$A, 0)),Transactions!$B1001)</f>
        <v/>
      </c>
      <c r="D1001" s="51" t="str">
        <f>IF($B1001&lt;&gt;"",Transactions!$E1001*1,)</f>
        <v/>
      </c>
      <c r="E1001" s="51" t="str">
        <f>IF($B1001&lt;&gt;"",Transactions!$F1001*1,)</f>
        <v/>
      </c>
      <c r="F1001" s="42" t="str">
        <f>IF(Transactions!$G1001&lt;&gt;"",Transactions!$H1001&amp;" "&amp;Transactions!$G1001,)</f>
        <v/>
      </c>
    </row>
    <row r="1002">
      <c r="A1002" s="55" t="str">
        <f>IF(Transactions!$B1002&lt;&gt;"",DATE(LEFT(Transactions!$B1002,4),MID(Transactions!$B1002,6,2),MID(Transactions!$B1002,9,2)),)</f>
        <v/>
      </c>
      <c r="B1002" s="56" t="str">
        <f>Transactions!$C1002</f>
        <v/>
      </c>
      <c r="C1002" s="51" t="str">
        <f t="array" ref="C1002">IFERROR(INDEX(Portfolio!$B:$B, MATCH($B1002, Portfolio!$A:$A, 0)),Transactions!$B1002)</f>
        <v/>
      </c>
      <c r="D1002" s="51" t="str">
        <f>IF($B1002&lt;&gt;"",Transactions!$E1002*1,)</f>
        <v/>
      </c>
      <c r="E1002" s="51" t="str">
        <f>IF($B1002&lt;&gt;"",Transactions!$F1002*1,)</f>
        <v/>
      </c>
      <c r="F1002" s="42" t="str">
        <f>IF(Transactions!$G1002&lt;&gt;"",Transactions!$H1002&amp;" "&amp;Transactions!$G1002,)</f>
        <v/>
      </c>
    </row>
    <row r="1003">
      <c r="A1003" s="55" t="str">
        <f>IF(Transactions!$B1003&lt;&gt;"",DATE(LEFT(Transactions!$B1003,4),MID(Transactions!$B1003,6,2),MID(Transactions!$B1003,9,2)),)</f>
        <v/>
      </c>
      <c r="B1003" s="56" t="str">
        <f>Transactions!$C1003</f>
        <v/>
      </c>
      <c r="C1003" s="51" t="str">
        <f t="array" ref="C1003">IFERROR(INDEX(Portfolio!$B:$B, MATCH($B1003, Portfolio!$A:$A, 0)),Transactions!$B1003)</f>
        <v/>
      </c>
      <c r="D1003" s="51" t="str">
        <f>IF($B1003&lt;&gt;"",Transactions!$E1003*1,)</f>
        <v/>
      </c>
      <c r="E1003" s="51" t="str">
        <f>IF($B1003&lt;&gt;"",Transactions!$F1003*1,)</f>
        <v/>
      </c>
      <c r="F1003" s="42" t="str">
        <f>IF(Transactions!$G1003&lt;&gt;"",Transactions!$H1003&amp;" "&amp;Transactions!$G1003,)</f>
        <v/>
      </c>
    </row>
    <row r="1004">
      <c r="A1004" s="55" t="str">
        <f>IF(Transactions!$B1004&lt;&gt;"",DATE(LEFT(Transactions!$B1004,4),MID(Transactions!$B1004,6,2),MID(Transactions!$B1004,9,2)),)</f>
        <v/>
      </c>
      <c r="B1004" s="56" t="str">
        <f>Transactions!$C1004</f>
        <v/>
      </c>
      <c r="C1004" s="51" t="str">
        <f t="array" ref="C1004">IFERROR(INDEX(Portfolio!$B:$B, MATCH($B1004, Portfolio!$A:$A, 0)),Transactions!$B1004)</f>
        <v/>
      </c>
      <c r="D1004" s="51" t="str">
        <f>IF($B1004&lt;&gt;"",Transactions!$E1004*1,)</f>
        <v/>
      </c>
      <c r="E1004" s="51" t="str">
        <f>IF($B1004&lt;&gt;"",Transactions!$F1004*1,)</f>
        <v/>
      </c>
      <c r="F1004" s="42" t="str">
        <f>IF(Transactions!$G1004&lt;&gt;"",Transactions!$H1004&amp;" "&amp;Transactions!$G1004,)</f>
        <v/>
      </c>
    </row>
    <row r="1005">
      <c r="A1005" s="55" t="str">
        <f>IF(Transactions!$B1005&lt;&gt;"",DATE(LEFT(Transactions!$B1005,4),MID(Transactions!$B1005,6,2),MID(Transactions!$B1005,9,2)),)</f>
        <v/>
      </c>
      <c r="B1005" s="56" t="str">
        <f>Transactions!$C1005</f>
        <v/>
      </c>
      <c r="C1005" s="51" t="str">
        <f t="array" ref="C1005">IFERROR(INDEX(Portfolio!$B:$B, MATCH($B1005, Portfolio!$A:$A, 0)),Transactions!$B1005)</f>
        <v/>
      </c>
      <c r="D1005" s="51" t="str">
        <f>IF($B1005&lt;&gt;"",Transactions!$E1005*1,)</f>
        <v/>
      </c>
      <c r="E1005" s="51" t="str">
        <f>IF($B1005&lt;&gt;"",Transactions!$F1005*1,)</f>
        <v/>
      </c>
      <c r="F1005" s="42" t="str">
        <f>IF(Transactions!$G1005&lt;&gt;"",Transactions!$H1005&amp;" "&amp;Transactions!$G1005,)</f>
        <v/>
      </c>
    </row>
    <row r="1006">
      <c r="A1006" s="55" t="str">
        <f>IF(Transactions!$B1006&lt;&gt;"",DATE(LEFT(Transactions!$B1006,4),MID(Transactions!$B1006,6,2),MID(Transactions!$B1006,9,2)),)</f>
        <v/>
      </c>
      <c r="B1006" s="56" t="str">
        <f>Transactions!$C1006</f>
        <v/>
      </c>
      <c r="C1006" s="51" t="str">
        <f t="array" ref="C1006">IFERROR(INDEX(Portfolio!$B:$B, MATCH($B1006, Portfolio!$A:$A, 0)),Transactions!$B1006)</f>
        <v/>
      </c>
      <c r="D1006" s="51" t="str">
        <f>IF($B1006&lt;&gt;"",Transactions!$E1006*1,)</f>
        <v/>
      </c>
      <c r="E1006" s="51" t="str">
        <f>IF($B1006&lt;&gt;"",Transactions!$F1006*1,)</f>
        <v/>
      </c>
      <c r="F1006" s="42" t="str">
        <f>IF(Transactions!$G1006&lt;&gt;"",Transactions!$H1006&amp;" "&amp;Transactions!$G1006,)</f>
        <v/>
      </c>
    </row>
    <row r="1007">
      <c r="A1007" s="55" t="str">
        <f>IF(Transactions!$B1007&lt;&gt;"",DATE(LEFT(Transactions!$B1007,4),MID(Transactions!$B1007,6,2),MID(Transactions!$B1007,9,2)),)</f>
        <v/>
      </c>
      <c r="B1007" s="56" t="str">
        <f>Transactions!$C1007</f>
        <v/>
      </c>
      <c r="C1007" s="51" t="str">
        <f t="array" ref="C1007">IFERROR(INDEX(Portfolio!$B:$B, MATCH($B1007, Portfolio!$A:$A, 0)),Transactions!$B1007)</f>
        <v/>
      </c>
      <c r="D1007" s="51" t="str">
        <f>IF($B1007&lt;&gt;"",Transactions!$E1007*1,)</f>
        <v/>
      </c>
      <c r="E1007" s="51" t="str">
        <f>IF($B1007&lt;&gt;"",Transactions!$F1007*1,)</f>
        <v/>
      </c>
      <c r="F1007" s="42" t="str">
        <f>IF(Transactions!$G1007&lt;&gt;"",Transactions!$H1007&amp;" "&amp;Transactions!$G1007,)</f>
        <v/>
      </c>
    </row>
    <row r="1008">
      <c r="A1008" s="55" t="str">
        <f>IF(Transactions!$B1008&lt;&gt;"",DATE(LEFT(Transactions!$B1008,4),MID(Transactions!$B1008,6,2),MID(Transactions!$B1008,9,2)),)</f>
        <v/>
      </c>
      <c r="B1008" s="56" t="str">
        <f>Transactions!$C1008</f>
        <v/>
      </c>
      <c r="C1008" s="51" t="str">
        <f t="array" ref="C1008">IFERROR(INDEX(Portfolio!$B:$B, MATCH($B1008, Portfolio!$A:$A, 0)),Transactions!$B1008)</f>
        <v/>
      </c>
      <c r="D1008" s="51" t="str">
        <f>IF($B1008&lt;&gt;"",Transactions!$E1008*1,)</f>
        <v/>
      </c>
      <c r="E1008" s="51" t="str">
        <f>IF($B1008&lt;&gt;"",Transactions!$F1008*1,)</f>
        <v/>
      </c>
      <c r="F1008" s="42" t="str">
        <f>IF(Transactions!$G1008&lt;&gt;"",Transactions!$H1008&amp;" "&amp;Transactions!$G1008,)</f>
        <v/>
      </c>
    </row>
    <row r="1009">
      <c r="A1009" s="55" t="str">
        <f>IF(Transactions!$B1009&lt;&gt;"",DATE(LEFT(Transactions!$B1009,4),MID(Transactions!$B1009,6,2),MID(Transactions!$B1009,9,2)),)</f>
        <v/>
      </c>
      <c r="B1009" s="56" t="str">
        <f>Transactions!$C1009</f>
        <v/>
      </c>
      <c r="C1009" s="51" t="str">
        <f t="array" ref="C1009">IFERROR(INDEX(Portfolio!$B:$B, MATCH($B1009, Portfolio!$A:$A, 0)),Transactions!$B1009)</f>
        <v/>
      </c>
      <c r="D1009" s="51" t="str">
        <f>IF($B1009&lt;&gt;"",Transactions!$E1009*1,)</f>
        <v/>
      </c>
      <c r="E1009" s="51" t="str">
        <f>IF($B1009&lt;&gt;"",Transactions!$F1009*1,)</f>
        <v/>
      </c>
      <c r="F1009" s="42" t="str">
        <f>IF(Transactions!$G1009&lt;&gt;"",Transactions!$H1009&amp;" "&amp;Transactions!$G1009,)</f>
        <v/>
      </c>
    </row>
    <row r="1010">
      <c r="A1010" s="55" t="str">
        <f>IF(Transactions!$B1010&lt;&gt;"",DATE(LEFT(Transactions!$B1010,4),MID(Transactions!$B1010,6,2),MID(Transactions!$B1010,9,2)),)</f>
        <v/>
      </c>
      <c r="B1010" s="56" t="str">
        <f>Transactions!$C1010</f>
        <v/>
      </c>
      <c r="C1010" s="51" t="str">
        <f t="array" ref="C1010">IFERROR(INDEX(Portfolio!$B:$B, MATCH($B1010, Portfolio!$A:$A, 0)),Transactions!$B1010)</f>
        <v/>
      </c>
      <c r="D1010" s="51" t="str">
        <f>IF($B1010&lt;&gt;"",Transactions!$E1010*1,)</f>
        <v/>
      </c>
      <c r="E1010" s="51" t="str">
        <f>IF($B1010&lt;&gt;"",Transactions!$F1010*1,)</f>
        <v/>
      </c>
      <c r="F1010" s="42" t="str">
        <f>IF(Transactions!$G1010&lt;&gt;"",Transactions!$H1010&amp;" "&amp;Transactions!$G1010,)</f>
        <v/>
      </c>
    </row>
    <row r="1011">
      <c r="A1011" s="55" t="str">
        <f>IF(Transactions!$B1011&lt;&gt;"",DATE(LEFT(Transactions!$B1011,4),MID(Transactions!$B1011,6,2),MID(Transactions!$B1011,9,2)),)</f>
        <v/>
      </c>
      <c r="B1011" s="56" t="str">
        <f>Transactions!$C1011</f>
        <v/>
      </c>
      <c r="C1011" s="51" t="str">
        <f t="array" ref="C1011">IFERROR(INDEX(Portfolio!$B:$B, MATCH($B1011, Portfolio!$A:$A, 0)),Transactions!$B1011)</f>
        <v/>
      </c>
      <c r="D1011" s="51" t="str">
        <f>IF($B1011&lt;&gt;"",Transactions!$E1011*1,)</f>
        <v/>
      </c>
      <c r="E1011" s="51" t="str">
        <f>IF($B1011&lt;&gt;"",Transactions!$F1011*1,)</f>
        <v/>
      </c>
      <c r="F1011" s="42" t="str">
        <f>IF(Transactions!$G1011&lt;&gt;"",Transactions!$H1011&amp;" "&amp;Transactions!$G1011,)</f>
        <v/>
      </c>
    </row>
    <row r="1012">
      <c r="A1012" s="55" t="str">
        <f>IF(Transactions!$B1012&lt;&gt;"",DATE(LEFT(Transactions!$B1012,4),MID(Transactions!$B1012,6,2),MID(Transactions!$B1012,9,2)),)</f>
        <v/>
      </c>
      <c r="B1012" s="56" t="str">
        <f>Transactions!$C1012</f>
        <v/>
      </c>
      <c r="C1012" s="51" t="str">
        <f t="array" ref="C1012">IFERROR(INDEX(Portfolio!$B:$B, MATCH($B1012, Portfolio!$A:$A, 0)),Transactions!$B1012)</f>
        <v/>
      </c>
      <c r="D1012" s="51" t="str">
        <f>IF($B1012&lt;&gt;"",Transactions!$E1012*1,)</f>
        <v/>
      </c>
      <c r="E1012" s="51" t="str">
        <f>IF($B1012&lt;&gt;"",Transactions!$F1012*1,)</f>
        <v/>
      </c>
      <c r="F1012" s="42" t="str">
        <f>IF(Transactions!$G1012&lt;&gt;"",Transactions!$H1012&amp;" "&amp;Transactions!$G1012,)</f>
        <v/>
      </c>
    </row>
    <row r="1013">
      <c r="A1013" s="55" t="str">
        <f>IF(Transactions!$B1013&lt;&gt;"",DATE(LEFT(Transactions!$B1013,4),MID(Transactions!$B1013,6,2),MID(Transactions!$B1013,9,2)),)</f>
        <v/>
      </c>
      <c r="B1013" s="56" t="str">
        <f>Transactions!$C1013</f>
        <v/>
      </c>
      <c r="C1013" s="51" t="str">
        <f t="array" ref="C1013">IFERROR(INDEX(Portfolio!$B:$B, MATCH($B1013, Portfolio!$A:$A, 0)),Transactions!$B1013)</f>
        <v/>
      </c>
      <c r="D1013" s="51" t="str">
        <f>IF($B1013&lt;&gt;"",Transactions!$E1013*1,)</f>
        <v/>
      </c>
      <c r="E1013" s="51" t="str">
        <f>IF($B1013&lt;&gt;"",Transactions!$F1013*1,)</f>
        <v/>
      </c>
      <c r="F1013" s="42" t="str">
        <f>IF(Transactions!$G1013&lt;&gt;"",Transactions!$H1013&amp;" "&amp;Transactions!$G1013,)</f>
        <v/>
      </c>
    </row>
    <row r="1014">
      <c r="A1014" s="55" t="str">
        <f>IF(Transactions!$B1014&lt;&gt;"",DATE(LEFT(Transactions!$B1014,4),MID(Transactions!$B1014,6,2),MID(Transactions!$B1014,9,2)),)</f>
        <v/>
      </c>
      <c r="B1014" s="56" t="str">
        <f>Transactions!$C1014</f>
        <v/>
      </c>
      <c r="C1014" s="51" t="str">
        <f t="array" ref="C1014">IFERROR(INDEX(Portfolio!$B:$B, MATCH($B1014, Portfolio!$A:$A, 0)),Transactions!$B1014)</f>
        <v/>
      </c>
      <c r="D1014" s="51" t="str">
        <f>IF($B1014&lt;&gt;"",Transactions!$E1014*1,)</f>
        <v/>
      </c>
      <c r="E1014" s="51" t="str">
        <f>IF($B1014&lt;&gt;"",Transactions!$F1014*1,)</f>
        <v/>
      </c>
      <c r="F1014" s="42" t="str">
        <f>IF(Transactions!$G1014&lt;&gt;"",Transactions!$H1014&amp;" "&amp;Transactions!$G1014,)</f>
        <v/>
      </c>
    </row>
    <row r="1015">
      <c r="A1015" s="55" t="str">
        <f>IF(Transactions!$B1015&lt;&gt;"",DATE(LEFT(Transactions!$B1015,4),MID(Transactions!$B1015,6,2),MID(Transactions!$B1015,9,2)),)</f>
        <v/>
      </c>
      <c r="B1015" s="56" t="str">
        <f>Transactions!$C1015</f>
        <v/>
      </c>
      <c r="C1015" s="51" t="str">
        <f t="array" ref="C1015">IFERROR(INDEX(Portfolio!$B:$B, MATCH($B1015, Portfolio!$A:$A, 0)),Transactions!$B1015)</f>
        <v/>
      </c>
      <c r="D1015" s="51" t="str">
        <f>IF($B1015&lt;&gt;"",Transactions!$E1015*1,)</f>
        <v/>
      </c>
      <c r="E1015" s="51" t="str">
        <f>IF($B1015&lt;&gt;"",Transactions!$F1015*1,)</f>
        <v/>
      </c>
      <c r="F1015" s="42" t="str">
        <f>IF(Transactions!$G1015&lt;&gt;"",Transactions!$H1015&amp;" "&amp;Transactions!$G1015,)</f>
        <v/>
      </c>
    </row>
    <row r="1016">
      <c r="A1016" s="55" t="str">
        <f>IF(Transactions!$B1016&lt;&gt;"",DATE(LEFT(Transactions!$B1016,4),MID(Transactions!$B1016,6,2),MID(Transactions!$B1016,9,2)),)</f>
        <v/>
      </c>
      <c r="B1016" s="56" t="str">
        <f>Transactions!$C1016</f>
        <v/>
      </c>
      <c r="C1016" s="51" t="str">
        <f t="array" ref="C1016">IFERROR(INDEX(Portfolio!$B:$B, MATCH($B1016, Portfolio!$A:$A, 0)),Transactions!$B1016)</f>
        <v/>
      </c>
      <c r="D1016" s="51" t="str">
        <f>IF($B1016&lt;&gt;"",Transactions!$E1016*1,)</f>
        <v/>
      </c>
      <c r="E1016" s="51" t="str">
        <f>IF($B1016&lt;&gt;"",Transactions!$F1016*1,)</f>
        <v/>
      </c>
      <c r="F1016" s="42" t="str">
        <f>IF(Transactions!$G1016&lt;&gt;"",Transactions!$H1016&amp;" "&amp;Transactions!$G1016,)</f>
        <v/>
      </c>
    </row>
    <row r="1017">
      <c r="A1017" s="55" t="str">
        <f>IF(Transactions!$B1017&lt;&gt;"",DATE(LEFT(Transactions!$B1017,4),MID(Transactions!$B1017,6,2),MID(Transactions!$B1017,9,2)),)</f>
        <v/>
      </c>
      <c r="B1017" s="56" t="str">
        <f>Transactions!$C1017</f>
        <v/>
      </c>
      <c r="C1017" s="51" t="str">
        <f t="array" ref="C1017">IFERROR(INDEX(Portfolio!$B:$B, MATCH($B1017, Portfolio!$A:$A, 0)),Transactions!$B1017)</f>
        <v/>
      </c>
      <c r="D1017" s="51" t="str">
        <f>IF($B1017&lt;&gt;"",Transactions!$E1017*1,)</f>
        <v/>
      </c>
      <c r="E1017" s="51" t="str">
        <f>IF($B1017&lt;&gt;"",Transactions!$F1017*1,)</f>
        <v/>
      </c>
      <c r="F1017" s="42" t="str">
        <f>IF(Transactions!$G1017&lt;&gt;"",Transactions!$H1017&amp;" "&amp;Transactions!$G1017,)</f>
        <v/>
      </c>
    </row>
    <row r="1018">
      <c r="A1018" s="55" t="str">
        <f>IF(Transactions!$B1018&lt;&gt;"",DATE(LEFT(Transactions!$B1018,4),MID(Transactions!$B1018,6,2),MID(Transactions!$B1018,9,2)),)</f>
        <v/>
      </c>
      <c r="B1018" s="56" t="str">
        <f>Transactions!$C1018</f>
        <v/>
      </c>
      <c r="C1018" s="51" t="str">
        <f t="array" ref="C1018">IFERROR(INDEX(Portfolio!$B:$B, MATCH($B1018, Portfolio!$A:$A, 0)),Transactions!$B1018)</f>
        <v/>
      </c>
      <c r="D1018" s="51" t="str">
        <f>IF($B1018&lt;&gt;"",Transactions!$E1018*1,)</f>
        <v/>
      </c>
      <c r="E1018" s="51" t="str">
        <f>IF($B1018&lt;&gt;"",Transactions!$F1018*1,)</f>
        <v/>
      </c>
      <c r="F1018" s="42" t="str">
        <f>IF(Transactions!$G1018&lt;&gt;"",Transactions!$H1018&amp;" "&amp;Transactions!$G1018,)</f>
        <v/>
      </c>
    </row>
    <row r="1019">
      <c r="A1019" s="55" t="str">
        <f>IF(Transactions!$B1019&lt;&gt;"",DATE(LEFT(Transactions!$B1019,4),MID(Transactions!$B1019,6,2),MID(Transactions!$B1019,9,2)),)</f>
        <v/>
      </c>
      <c r="B1019" s="56" t="str">
        <f>Transactions!$C1019</f>
        <v/>
      </c>
      <c r="C1019" s="51" t="str">
        <f t="array" ref="C1019">IFERROR(INDEX(Portfolio!$B:$B, MATCH($B1019, Portfolio!$A:$A, 0)),Transactions!$B1019)</f>
        <v/>
      </c>
      <c r="D1019" s="51" t="str">
        <f>IF($B1019&lt;&gt;"",Transactions!$E1019*1,)</f>
        <v/>
      </c>
      <c r="E1019" s="51" t="str">
        <f>IF($B1019&lt;&gt;"",Transactions!$F1019*1,)</f>
        <v/>
      </c>
      <c r="F1019" s="42" t="str">
        <f>IF(Transactions!$G1019&lt;&gt;"",Transactions!$H1019&amp;" "&amp;Transactions!$G1019,)</f>
        <v/>
      </c>
    </row>
    <row r="1020">
      <c r="A1020" s="55" t="str">
        <f>IF(Transactions!$B1020&lt;&gt;"",DATE(LEFT(Transactions!$B1020,4),MID(Transactions!$B1020,6,2),MID(Transactions!$B1020,9,2)),)</f>
        <v/>
      </c>
      <c r="B1020" s="56" t="str">
        <f>Transactions!$C1020</f>
        <v/>
      </c>
      <c r="C1020" s="51" t="str">
        <f t="array" ref="C1020">IFERROR(INDEX(Portfolio!$B:$B, MATCH($B1020, Portfolio!$A:$A, 0)),Transactions!$B1020)</f>
        <v/>
      </c>
      <c r="D1020" s="51" t="str">
        <f>IF($B1020&lt;&gt;"",Transactions!$E1020*1,)</f>
        <v/>
      </c>
      <c r="E1020" s="51" t="str">
        <f>IF($B1020&lt;&gt;"",Transactions!$F1020*1,)</f>
        <v/>
      </c>
      <c r="F1020" s="42" t="str">
        <f>IF(Transactions!$G1020&lt;&gt;"",Transactions!$H1020&amp;" "&amp;Transactions!$G1020,)</f>
        <v/>
      </c>
    </row>
    <row r="1021">
      <c r="A1021" s="55" t="str">
        <f>IF(Transactions!$B1021&lt;&gt;"",DATE(LEFT(Transactions!$B1021,4),MID(Transactions!$B1021,6,2),MID(Transactions!$B1021,9,2)),)</f>
        <v/>
      </c>
      <c r="B1021" s="56" t="str">
        <f>Transactions!$C1021</f>
        <v/>
      </c>
      <c r="C1021" s="51" t="str">
        <f t="array" ref="C1021">IFERROR(INDEX(Portfolio!$B:$B, MATCH($B1021, Portfolio!$A:$A, 0)),Transactions!$B1021)</f>
        <v/>
      </c>
      <c r="D1021" s="51" t="str">
        <f>IF($B1021&lt;&gt;"",Transactions!$E1021*1,)</f>
        <v/>
      </c>
      <c r="E1021" s="51" t="str">
        <f>IF($B1021&lt;&gt;"",Transactions!$F1021*1,)</f>
        <v/>
      </c>
      <c r="F1021" s="42" t="str">
        <f>IF(Transactions!$G1021&lt;&gt;"",Transactions!$H1021&amp;" "&amp;Transactions!$G1021,)</f>
        <v/>
      </c>
    </row>
    <row r="1022">
      <c r="A1022" s="55" t="str">
        <f>IF(Transactions!$B1022&lt;&gt;"",DATE(LEFT(Transactions!$B1022,4),MID(Transactions!$B1022,6,2),MID(Transactions!$B1022,9,2)),)</f>
        <v/>
      </c>
      <c r="B1022" s="56" t="str">
        <f>Transactions!$C1022</f>
        <v/>
      </c>
      <c r="C1022" s="51" t="str">
        <f t="array" ref="C1022">IFERROR(INDEX(Portfolio!$B:$B, MATCH($B1022, Portfolio!$A:$A, 0)),Transactions!$B1022)</f>
        <v/>
      </c>
      <c r="D1022" s="51" t="str">
        <f>IF($B1022&lt;&gt;"",Transactions!$E1022*1,)</f>
        <v/>
      </c>
      <c r="E1022" s="51" t="str">
        <f>IF($B1022&lt;&gt;"",Transactions!$F1022*1,)</f>
        <v/>
      </c>
      <c r="F1022" s="42" t="str">
        <f>IF(Transactions!$G1022&lt;&gt;"",Transactions!$H1022&amp;" "&amp;Transactions!$G1022,)</f>
        <v/>
      </c>
    </row>
    <row r="1023">
      <c r="A1023" s="55" t="str">
        <f>IF(Transactions!$B1023&lt;&gt;"",DATE(LEFT(Transactions!$B1023,4),MID(Transactions!$B1023,6,2),MID(Transactions!$B1023,9,2)),)</f>
        <v/>
      </c>
      <c r="B1023" s="56" t="str">
        <f>Transactions!$C1023</f>
        <v/>
      </c>
      <c r="C1023" s="51" t="str">
        <f t="array" ref="C1023">IFERROR(INDEX(Portfolio!$B:$B, MATCH($B1023, Portfolio!$A:$A, 0)),Transactions!$B1023)</f>
        <v/>
      </c>
      <c r="D1023" s="51" t="str">
        <f>IF($B1023&lt;&gt;"",Transactions!$E1023*1,)</f>
        <v/>
      </c>
      <c r="E1023" s="51" t="str">
        <f>IF($B1023&lt;&gt;"",Transactions!$F1023*1,)</f>
        <v/>
      </c>
      <c r="F1023" s="42" t="str">
        <f>IF(Transactions!$G1023&lt;&gt;"",Transactions!$H1023&amp;" "&amp;Transactions!$G1023,)</f>
        <v/>
      </c>
    </row>
    <row r="1024">
      <c r="A1024" s="55" t="str">
        <f>IF(Transactions!$B1024&lt;&gt;"",DATE(LEFT(Transactions!$B1024,4),MID(Transactions!$B1024,6,2),MID(Transactions!$B1024,9,2)),)</f>
        <v/>
      </c>
      <c r="B1024" s="56" t="str">
        <f>Transactions!$C1024</f>
        <v/>
      </c>
      <c r="C1024" s="51" t="str">
        <f t="array" ref="C1024">IFERROR(INDEX(Portfolio!$B:$B, MATCH($B1024, Portfolio!$A:$A, 0)),Transactions!$B1024)</f>
        <v/>
      </c>
      <c r="D1024" s="51" t="str">
        <f>IF($B1024&lt;&gt;"",Transactions!$E1024*1,)</f>
        <v/>
      </c>
      <c r="E1024" s="51" t="str">
        <f>IF($B1024&lt;&gt;"",Transactions!$F1024*1,)</f>
        <v/>
      </c>
      <c r="F1024" s="42" t="str">
        <f>IF(Transactions!$G1024&lt;&gt;"",Transactions!$H1024&amp;" "&amp;Transactions!$G1024,)</f>
        <v/>
      </c>
    </row>
    <row r="1025">
      <c r="A1025" s="55" t="str">
        <f>IF(Transactions!$B1025&lt;&gt;"",DATE(LEFT(Transactions!$B1025,4),MID(Transactions!$B1025,6,2),MID(Transactions!$B1025,9,2)),)</f>
        <v/>
      </c>
      <c r="B1025" s="56" t="str">
        <f>Transactions!$C1025</f>
        <v/>
      </c>
      <c r="C1025" s="51" t="str">
        <f t="array" ref="C1025">IFERROR(INDEX(Portfolio!$B:$B, MATCH($B1025, Portfolio!$A:$A, 0)),Transactions!$B1025)</f>
        <v/>
      </c>
      <c r="D1025" s="51" t="str">
        <f>IF($B1025&lt;&gt;"",Transactions!$E1025*1,)</f>
        <v/>
      </c>
      <c r="E1025" s="51" t="str">
        <f>IF($B1025&lt;&gt;"",Transactions!$F1025*1,)</f>
        <v/>
      </c>
      <c r="F1025" s="42" t="str">
        <f>IF(Transactions!$G1025&lt;&gt;"",Transactions!$H1025&amp;" "&amp;Transactions!$G1025,)</f>
        <v/>
      </c>
    </row>
    <row r="1026">
      <c r="A1026" s="55" t="str">
        <f>IF(Transactions!$B1026&lt;&gt;"",DATE(LEFT(Transactions!$B1026,4),MID(Transactions!$B1026,6,2),MID(Transactions!$B1026,9,2)),)</f>
        <v/>
      </c>
      <c r="B1026" s="56" t="str">
        <f>Transactions!$C1026</f>
        <v/>
      </c>
      <c r="C1026" s="51" t="str">
        <f t="array" ref="C1026">IFERROR(INDEX(Portfolio!$B:$B, MATCH($B1026, Portfolio!$A:$A, 0)),Transactions!$B1026)</f>
        <v/>
      </c>
      <c r="D1026" s="51" t="str">
        <f>IF($B1026&lt;&gt;"",Transactions!$E1026*1,)</f>
        <v/>
      </c>
      <c r="E1026" s="51" t="str">
        <f>IF($B1026&lt;&gt;"",Transactions!$F1026*1,)</f>
        <v/>
      </c>
      <c r="F1026" s="42" t="str">
        <f>IF(Transactions!$G1026&lt;&gt;"",Transactions!$H1026&amp;" "&amp;Transactions!$G1026,)</f>
        <v/>
      </c>
    </row>
    <row r="1027">
      <c r="A1027" s="55" t="str">
        <f>IF(Transactions!$B1027&lt;&gt;"",DATE(LEFT(Transactions!$B1027,4),MID(Transactions!$B1027,6,2),MID(Transactions!$B1027,9,2)),)</f>
        <v/>
      </c>
      <c r="B1027" s="56" t="str">
        <f>Transactions!$C1027</f>
        <v/>
      </c>
      <c r="C1027" s="51" t="str">
        <f t="array" ref="C1027">IFERROR(INDEX(Portfolio!$B:$B, MATCH($B1027, Portfolio!$A:$A, 0)),Transactions!$B1027)</f>
        <v/>
      </c>
      <c r="D1027" s="51" t="str">
        <f>IF($B1027&lt;&gt;"",Transactions!$E1027*1,)</f>
        <v/>
      </c>
      <c r="E1027" s="51" t="str">
        <f>IF($B1027&lt;&gt;"",Transactions!$F1027*1,)</f>
        <v/>
      </c>
      <c r="F1027" s="42" t="str">
        <f>IF(Transactions!$G1027&lt;&gt;"",Transactions!$H1027&amp;" "&amp;Transactions!$G1027,)</f>
        <v/>
      </c>
    </row>
    <row r="1028">
      <c r="A1028" s="55" t="str">
        <f>IF(Transactions!$B1028&lt;&gt;"",DATE(LEFT(Transactions!$B1028,4),MID(Transactions!$B1028,6,2),MID(Transactions!$B1028,9,2)),)</f>
        <v/>
      </c>
      <c r="B1028" s="56" t="str">
        <f>Transactions!$C1028</f>
        <v/>
      </c>
      <c r="C1028" s="51" t="str">
        <f t="array" ref="C1028">IFERROR(INDEX(Portfolio!$B:$B, MATCH($B1028, Portfolio!$A:$A, 0)),Transactions!$B1028)</f>
        <v/>
      </c>
      <c r="D1028" s="51" t="str">
        <f>IF($B1028&lt;&gt;"",Transactions!$E1028*1,)</f>
        <v/>
      </c>
      <c r="E1028" s="51" t="str">
        <f>IF($B1028&lt;&gt;"",Transactions!$F1028*1,)</f>
        <v/>
      </c>
      <c r="F1028" s="42" t="str">
        <f>IF(Transactions!$G1028&lt;&gt;"",Transactions!$H1028&amp;" "&amp;Transactions!$G1028,)</f>
        <v/>
      </c>
    </row>
    <row r="1029">
      <c r="A1029" s="55" t="str">
        <f>IF(Transactions!$B1029&lt;&gt;"",DATE(LEFT(Transactions!$B1029,4),MID(Transactions!$B1029,6,2),MID(Transactions!$B1029,9,2)),)</f>
        <v/>
      </c>
      <c r="B1029" s="56" t="str">
        <f>Transactions!$C1029</f>
        <v/>
      </c>
      <c r="C1029" s="51" t="str">
        <f t="array" ref="C1029">IFERROR(INDEX(Portfolio!$B:$B, MATCH($B1029, Portfolio!$A:$A, 0)),Transactions!$B1029)</f>
        <v/>
      </c>
      <c r="D1029" s="51" t="str">
        <f>IF($B1029&lt;&gt;"",Transactions!$E1029*1,)</f>
        <v/>
      </c>
      <c r="E1029" s="51" t="str">
        <f>IF($B1029&lt;&gt;"",Transactions!$F1029*1,)</f>
        <v/>
      </c>
      <c r="F1029" s="42" t="str">
        <f>IF(Transactions!$G1029&lt;&gt;"",Transactions!$H1029&amp;" "&amp;Transactions!$G1029,)</f>
        <v/>
      </c>
    </row>
    <row r="1030">
      <c r="A1030" s="55" t="str">
        <f>IF(Transactions!$B1030&lt;&gt;"",DATE(LEFT(Transactions!$B1030,4),MID(Transactions!$B1030,6,2),MID(Transactions!$B1030,9,2)),)</f>
        <v/>
      </c>
      <c r="B1030" s="56" t="str">
        <f>Transactions!$C1030</f>
        <v/>
      </c>
      <c r="C1030" s="51" t="str">
        <f t="array" ref="C1030">IFERROR(INDEX(Portfolio!$B:$B, MATCH($B1030, Portfolio!$A:$A, 0)),Transactions!$B1030)</f>
        <v/>
      </c>
      <c r="D1030" s="51" t="str">
        <f>IF($B1030&lt;&gt;"",Transactions!$E1030*1,)</f>
        <v/>
      </c>
      <c r="E1030" s="51" t="str">
        <f>IF($B1030&lt;&gt;"",Transactions!$F1030*1,)</f>
        <v/>
      </c>
      <c r="F1030" s="42" t="str">
        <f>IF(Transactions!$G1030&lt;&gt;"",Transactions!$H1030&amp;" "&amp;Transactions!$G1030,)</f>
        <v/>
      </c>
    </row>
    <row r="1031">
      <c r="A1031" s="55" t="str">
        <f>IF(Transactions!$B1031&lt;&gt;"",DATE(LEFT(Transactions!$B1031,4),MID(Transactions!$B1031,6,2),MID(Transactions!$B1031,9,2)),)</f>
        <v/>
      </c>
      <c r="B1031" s="56" t="str">
        <f>Transactions!$C1031</f>
        <v/>
      </c>
      <c r="C1031" s="51" t="str">
        <f t="array" ref="C1031">IFERROR(INDEX(Portfolio!$B:$B, MATCH($B1031, Portfolio!$A:$A, 0)),Transactions!$B1031)</f>
        <v/>
      </c>
      <c r="D1031" s="51" t="str">
        <f>IF($B1031&lt;&gt;"",Transactions!$E1031*1,)</f>
        <v/>
      </c>
      <c r="E1031" s="51" t="str">
        <f>IF($B1031&lt;&gt;"",Transactions!$F1031*1,)</f>
        <v/>
      </c>
      <c r="F1031" s="42" t="str">
        <f>IF(Transactions!$G1031&lt;&gt;"",Transactions!$H1031&amp;" "&amp;Transactions!$G1031,)</f>
        <v/>
      </c>
    </row>
    <row r="1032">
      <c r="A1032" s="55" t="str">
        <f>IF(Transactions!$B1032&lt;&gt;"",DATE(LEFT(Transactions!$B1032,4),MID(Transactions!$B1032,6,2),MID(Transactions!$B1032,9,2)),)</f>
        <v/>
      </c>
      <c r="B1032" s="56" t="str">
        <f>Transactions!$C1032</f>
        <v/>
      </c>
      <c r="C1032" s="51" t="str">
        <f t="array" ref="C1032">IFERROR(INDEX(Portfolio!$B:$B, MATCH($B1032, Portfolio!$A:$A, 0)),Transactions!$B1032)</f>
        <v/>
      </c>
      <c r="D1032" s="51" t="str">
        <f>IF($B1032&lt;&gt;"",Transactions!$E1032*1,)</f>
        <v/>
      </c>
      <c r="E1032" s="51" t="str">
        <f>IF($B1032&lt;&gt;"",Transactions!$F1032*1,)</f>
        <v/>
      </c>
      <c r="F1032" s="42" t="str">
        <f>IF(Transactions!$G1032&lt;&gt;"",Transactions!$H1032&amp;" "&amp;Transactions!$G1032,)</f>
        <v/>
      </c>
    </row>
    <row r="1033">
      <c r="A1033" s="55" t="str">
        <f>IF(Transactions!$B1033&lt;&gt;"",DATE(LEFT(Transactions!$B1033,4),MID(Transactions!$B1033,6,2),MID(Transactions!$B1033,9,2)),)</f>
        <v/>
      </c>
      <c r="B1033" s="56" t="str">
        <f>Transactions!$C1033</f>
        <v/>
      </c>
      <c r="C1033" s="51" t="str">
        <f t="array" ref="C1033">IFERROR(INDEX(Portfolio!$B:$B, MATCH($B1033, Portfolio!$A:$A, 0)),Transactions!$B1033)</f>
        <v/>
      </c>
      <c r="D1033" s="51" t="str">
        <f>IF($B1033&lt;&gt;"",Transactions!$E1033*1,)</f>
        <v/>
      </c>
      <c r="E1033" s="51" t="str">
        <f>IF($B1033&lt;&gt;"",Transactions!$F1033*1,)</f>
        <v/>
      </c>
      <c r="F1033" s="42" t="str">
        <f>IF(Transactions!$G1033&lt;&gt;"",Transactions!$H1033&amp;" "&amp;Transactions!$G1033,)</f>
        <v/>
      </c>
    </row>
    <row r="1034">
      <c r="A1034" s="55" t="str">
        <f>IF(Transactions!$B1034&lt;&gt;"",DATE(LEFT(Transactions!$B1034,4),MID(Transactions!$B1034,6,2),MID(Transactions!$B1034,9,2)),)</f>
        <v/>
      </c>
      <c r="B1034" s="56" t="str">
        <f>Transactions!$C1034</f>
        <v/>
      </c>
      <c r="C1034" s="51" t="str">
        <f t="array" ref="C1034">IFERROR(INDEX(Portfolio!$B:$B, MATCH($B1034, Portfolio!$A:$A, 0)),Transactions!$B1034)</f>
        <v/>
      </c>
      <c r="D1034" s="51" t="str">
        <f>IF($B1034&lt;&gt;"",Transactions!$E1034*1,)</f>
        <v/>
      </c>
      <c r="E1034" s="51" t="str">
        <f>IF($B1034&lt;&gt;"",Transactions!$F1034*1,)</f>
        <v/>
      </c>
      <c r="F1034" s="42" t="str">
        <f>IF(Transactions!$G1034&lt;&gt;"",Transactions!$H1034&amp;" "&amp;Transactions!$G1034,)</f>
        <v/>
      </c>
    </row>
    <row r="1035">
      <c r="A1035" s="55" t="str">
        <f>IF(Transactions!$B1035&lt;&gt;"",DATE(LEFT(Transactions!$B1035,4),MID(Transactions!$B1035,6,2),MID(Transactions!$B1035,9,2)),)</f>
        <v/>
      </c>
      <c r="B1035" s="56" t="str">
        <f>Transactions!$C1035</f>
        <v/>
      </c>
      <c r="C1035" s="51" t="str">
        <f t="array" ref="C1035">IFERROR(INDEX(Portfolio!$B:$B, MATCH($B1035, Portfolio!$A:$A, 0)),Transactions!$B1035)</f>
        <v/>
      </c>
      <c r="D1035" s="51" t="str">
        <f>IF($B1035&lt;&gt;"",Transactions!$E1035*1,)</f>
        <v/>
      </c>
      <c r="E1035" s="51" t="str">
        <f>IF($B1035&lt;&gt;"",Transactions!$F1035*1,)</f>
        <v/>
      </c>
      <c r="F1035" s="42" t="str">
        <f>IF(Transactions!$G1035&lt;&gt;"",Transactions!$H1035&amp;" "&amp;Transactions!$G1035,)</f>
        <v/>
      </c>
    </row>
    <row r="1036">
      <c r="A1036" s="55" t="str">
        <f>IF(Transactions!$B1036&lt;&gt;"",DATE(LEFT(Transactions!$B1036,4),MID(Transactions!$B1036,6,2),MID(Transactions!$B1036,9,2)),)</f>
        <v/>
      </c>
      <c r="B1036" s="56" t="str">
        <f>Transactions!$C1036</f>
        <v/>
      </c>
      <c r="C1036" s="51" t="str">
        <f t="array" ref="C1036">IFERROR(INDEX(Portfolio!$B:$B, MATCH($B1036, Portfolio!$A:$A, 0)),Transactions!$B1036)</f>
        <v/>
      </c>
      <c r="D1036" s="51" t="str">
        <f>IF($B1036&lt;&gt;"",Transactions!$E1036*1,)</f>
        <v/>
      </c>
      <c r="E1036" s="51" t="str">
        <f>IF($B1036&lt;&gt;"",Transactions!$F1036*1,)</f>
        <v/>
      </c>
      <c r="F1036" s="42" t="str">
        <f>IF(Transactions!$G1036&lt;&gt;"",Transactions!$H1036&amp;" "&amp;Transactions!$G1036,)</f>
        <v/>
      </c>
    </row>
    <row r="1037">
      <c r="A1037" s="55" t="str">
        <f>IF(Transactions!$B1037&lt;&gt;"",DATE(LEFT(Transactions!$B1037,4),MID(Transactions!$B1037,6,2),MID(Transactions!$B1037,9,2)),)</f>
        <v/>
      </c>
      <c r="B1037" s="56" t="str">
        <f>Transactions!$C1037</f>
        <v/>
      </c>
      <c r="C1037" s="51" t="str">
        <f t="array" ref="C1037">IFERROR(INDEX(Portfolio!$B:$B, MATCH($B1037, Portfolio!$A:$A, 0)),Transactions!$B1037)</f>
        <v/>
      </c>
      <c r="D1037" s="51" t="str">
        <f>IF($B1037&lt;&gt;"",Transactions!$E1037*1,)</f>
        <v/>
      </c>
      <c r="E1037" s="51" t="str">
        <f>IF($B1037&lt;&gt;"",Transactions!$F1037*1,)</f>
        <v/>
      </c>
      <c r="F1037" s="42" t="str">
        <f>IF(Transactions!$G1037&lt;&gt;"",Transactions!$H1037&amp;" "&amp;Transactions!$G1037,)</f>
        <v/>
      </c>
    </row>
    <row r="1038">
      <c r="A1038" s="55" t="str">
        <f>IF(Transactions!$B1038&lt;&gt;"",DATE(LEFT(Transactions!$B1038,4),MID(Transactions!$B1038,6,2),MID(Transactions!$B1038,9,2)),)</f>
        <v/>
      </c>
      <c r="B1038" s="56" t="str">
        <f>Transactions!$C1038</f>
        <v/>
      </c>
      <c r="C1038" s="51" t="str">
        <f t="array" ref="C1038">IFERROR(INDEX(Portfolio!$B:$B, MATCH($B1038, Portfolio!$A:$A, 0)),Transactions!$B1038)</f>
        <v/>
      </c>
      <c r="D1038" s="51" t="str">
        <f>IF($B1038&lt;&gt;"",Transactions!$E1038*1,)</f>
        <v/>
      </c>
      <c r="E1038" s="51" t="str">
        <f>IF($B1038&lt;&gt;"",Transactions!$F1038*1,)</f>
        <v/>
      </c>
      <c r="F1038" s="42" t="str">
        <f>IF(Transactions!$G1038&lt;&gt;"",Transactions!$H1038&amp;" "&amp;Transactions!$G1038,)</f>
        <v/>
      </c>
    </row>
    <row r="1039">
      <c r="A1039" s="55" t="str">
        <f>IF(Transactions!$B1039&lt;&gt;"",DATE(LEFT(Transactions!$B1039,4),MID(Transactions!$B1039,6,2),MID(Transactions!$B1039,9,2)),)</f>
        <v/>
      </c>
      <c r="B1039" s="56" t="str">
        <f>Transactions!$C1039</f>
        <v/>
      </c>
      <c r="C1039" s="51" t="str">
        <f t="array" ref="C1039">IFERROR(INDEX(Portfolio!$B:$B, MATCH($B1039, Portfolio!$A:$A, 0)),Transactions!$B1039)</f>
        <v/>
      </c>
      <c r="D1039" s="51" t="str">
        <f>IF($B1039&lt;&gt;"",Transactions!$E1039*1,)</f>
        <v/>
      </c>
      <c r="E1039" s="51" t="str">
        <f>IF($B1039&lt;&gt;"",Transactions!$F1039*1,)</f>
        <v/>
      </c>
      <c r="F1039" s="42" t="str">
        <f>IF(Transactions!$G1039&lt;&gt;"",Transactions!$H1039&amp;" "&amp;Transactions!$G1039,)</f>
        <v/>
      </c>
    </row>
    <row r="1040">
      <c r="A1040" s="55" t="str">
        <f>IF(Transactions!$B1040&lt;&gt;"",DATE(LEFT(Transactions!$B1040,4),MID(Transactions!$B1040,6,2),MID(Transactions!$B1040,9,2)),)</f>
        <v/>
      </c>
      <c r="B1040" s="56" t="str">
        <f>Transactions!$C1040</f>
        <v/>
      </c>
      <c r="C1040" s="51" t="str">
        <f t="array" ref="C1040">IFERROR(INDEX(Portfolio!$B:$B, MATCH($B1040, Portfolio!$A:$A, 0)),Transactions!$B1040)</f>
        <v/>
      </c>
      <c r="D1040" s="51" t="str">
        <f>IF($B1040&lt;&gt;"",Transactions!$E1040*1,)</f>
        <v/>
      </c>
      <c r="E1040" s="51" t="str">
        <f>IF($B1040&lt;&gt;"",Transactions!$F1040*1,)</f>
        <v/>
      </c>
      <c r="F1040" s="42" t="str">
        <f>IF(Transactions!$G1040&lt;&gt;"",Transactions!$H1040&amp;" "&amp;Transactions!$G1040,)</f>
        <v/>
      </c>
    </row>
    <row r="1041">
      <c r="A1041" s="55" t="str">
        <f>IF(Transactions!$B1041&lt;&gt;"",DATE(LEFT(Transactions!$B1041,4),MID(Transactions!$B1041,6,2),MID(Transactions!$B1041,9,2)),)</f>
        <v/>
      </c>
      <c r="B1041" s="56" t="str">
        <f>Transactions!$C1041</f>
        <v/>
      </c>
      <c r="C1041" s="51" t="str">
        <f t="array" ref="C1041">IFERROR(INDEX(Portfolio!$B:$B, MATCH($B1041, Portfolio!$A:$A, 0)),Transactions!$B1041)</f>
        <v/>
      </c>
      <c r="D1041" s="51" t="str">
        <f>IF($B1041&lt;&gt;"",Transactions!$E1041*1,)</f>
        <v/>
      </c>
      <c r="E1041" s="51" t="str">
        <f>IF($B1041&lt;&gt;"",Transactions!$F1041*1,)</f>
        <v/>
      </c>
      <c r="F1041" s="42" t="str">
        <f>IF(Transactions!$G1041&lt;&gt;"",Transactions!$H1041&amp;" "&amp;Transactions!$G1041,)</f>
        <v/>
      </c>
    </row>
    <row r="1042">
      <c r="A1042" s="55" t="str">
        <f>IF(Transactions!$B1042&lt;&gt;"",DATE(LEFT(Transactions!$B1042,4),MID(Transactions!$B1042,6,2),MID(Transactions!$B1042,9,2)),)</f>
        <v/>
      </c>
      <c r="B1042" s="56" t="str">
        <f>Transactions!$C1042</f>
        <v/>
      </c>
      <c r="C1042" s="51" t="str">
        <f t="array" ref="C1042">IFERROR(INDEX(Portfolio!$B:$B, MATCH($B1042, Portfolio!$A:$A, 0)),Transactions!$B1042)</f>
        <v/>
      </c>
      <c r="D1042" s="51" t="str">
        <f>IF($B1042&lt;&gt;"",Transactions!$E1042*1,)</f>
        <v/>
      </c>
      <c r="E1042" s="51" t="str">
        <f>IF($B1042&lt;&gt;"",Transactions!$F1042*1,)</f>
        <v/>
      </c>
      <c r="F1042" s="42" t="str">
        <f>IF(Transactions!$G1042&lt;&gt;"",Transactions!$H1042&amp;" "&amp;Transactions!$G1042,)</f>
        <v/>
      </c>
    </row>
    <row r="1043">
      <c r="A1043" s="55" t="str">
        <f>IF(Transactions!$B1043&lt;&gt;"",DATE(LEFT(Transactions!$B1043,4),MID(Transactions!$B1043,6,2),MID(Transactions!$B1043,9,2)),)</f>
        <v/>
      </c>
      <c r="B1043" s="56" t="str">
        <f>Transactions!$C1043</f>
        <v/>
      </c>
      <c r="C1043" s="51" t="str">
        <f t="array" ref="C1043">IFERROR(INDEX(Portfolio!$B:$B, MATCH($B1043, Portfolio!$A:$A, 0)),Transactions!$B1043)</f>
        <v/>
      </c>
      <c r="D1043" s="51" t="str">
        <f>IF($B1043&lt;&gt;"",Transactions!$E1043*1,)</f>
        <v/>
      </c>
      <c r="E1043" s="51" t="str">
        <f>IF($B1043&lt;&gt;"",Transactions!$F1043*1,)</f>
        <v/>
      </c>
      <c r="F1043" s="42" t="str">
        <f>IF(Transactions!$G1043&lt;&gt;"",Transactions!$H1043&amp;" "&amp;Transactions!$G1043,)</f>
        <v/>
      </c>
    </row>
    <row r="1044">
      <c r="A1044" s="55" t="str">
        <f>IF(Transactions!$B1044&lt;&gt;"",DATE(LEFT(Transactions!$B1044,4),MID(Transactions!$B1044,6,2),MID(Transactions!$B1044,9,2)),)</f>
        <v/>
      </c>
      <c r="B1044" s="56" t="str">
        <f>Transactions!$C1044</f>
        <v/>
      </c>
      <c r="C1044" s="51" t="str">
        <f t="array" ref="C1044">IFERROR(INDEX(Portfolio!$B:$B, MATCH($B1044, Portfolio!$A:$A, 0)),Transactions!$B1044)</f>
        <v/>
      </c>
      <c r="D1044" s="51" t="str">
        <f>IF($B1044&lt;&gt;"",Transactions!$E1044*1,)</f>
        <v/>
      </c>
      <c r="E1044" s="51" t="str">
        <f>IF($B1044&lt;&gt;"",Transactions!$F1044*1,)</f>
        <v/>
      </c>
      <c r="F1044" s="42" t="str">
        <f>IF(Transactions!$G1044&lt;&gt;"",Transactions!$H1044&amp;" "&amp;Transactions!$G1044,)</f>
        <v/>
      </c>
    </row>
    <row r="1045">
      <c r="A1045" s="55" t="str">
        <f>IF(Transactions!$B1045&lt;&gt;"",DATE(LEFT(Transactions!$B1045,4),MID(Transactions!$B1045,6,2),MID(Transactions!$B1045,9,2)),)</f>
        <v/>
      </c>
      <c r="B1045" s="56" t="str">
        <f>Transactions!$C1045</f>
        <v/>
      </c>
      <c r="C1045" s="51" t="str">
        <f t="array" ref="C1045">IFERROR(INDEX(Portfolio!$B:$B, MATCH($B1045, Portfolio!$A:$A, 0)),Transactions!$B1045)</f>
        <v/>
      </c>
      <c r="D1045" s="51" t="str">
        <f>IF($B1045&lt;&gt;"",Transactions!$E1045*1,)</f>
        <v/>
      </c>
      <c r="E1045" s="51" t="str">
        <f>IF($B1045&lt;&gt;"",Transactions!$F1045*1,)</f>
        <v/>
      </c>
      <c r="F1045" s="42" t="str">
        <f>IF(Transactions!$G1045&lt;&gt;"",Transactions!$H1045&amp;" "&amp;Transactions!$G1045,)</f>
        <v/>
      </c>
    </row>
    <row r="1046">
      <c r="A1046" s="55" t="str">
        <f>IF(Transactions!$B1046&lt;&gt;"",DATE(LEFT(Transactions!$B1046,4),MID(Transactions!$B1046,6,2),MID(Transactions!$B1046,9,2)),)</f>
        <v/>
      </c>
      <c r="B1046" s="56" t="str">
        <f>Transactions!$C1046</f>
        <v/>
      </c>
      <c r="C1046" s="51" t="str">
        <f t="array" ref="C1046">IFERROR(INDEX(Portfolio!$B:$B, MATCH($B1046, Portfolio!$A:$A, 0)),Transactions!$B1046)</f>
        <v/>
      </c>
      <c r="D1046" s="51" t="str">
        <f>IF($B1046&lt;&gt;"",Transactions!$E1046*1,)</f>
        <v/>
      </c>
      <c r="E1046" s="51" t="str">
        <f>IF($B1046&lt;&gt;"",Transactions!$F1046*1,)</f>
        <v/>
      </c>
      <c r="F1046" s="42" t="str">
        <f>IF(Transactions!$G1046&lt;&gt;"",Transactions!$H1046&amp;" "&amp;Transactions!$G1046,)</f>
        <v/>
      </c>
    </row>
    <row r="1047">
      <c r="A1047" s="55" t="str">
        <f>IF(Transactions!$B1047&lt;&gt;"",DATE(LEFT(Transactions!$B1047,4),MID(Transactions!$B1047,6,2),MID(Transactions!$B1047,9,2)),)</f>
        <v/>
      </c>
      <c r="B1047" s="56" t="str">
        <f>Transactions!$C1047</f>
        <v/>
      </c>
      <c r="C1047" s="51" t="str">
        <f t="array" ref="C1047">IFERROR(INDEX(Portfolio!$B:$B, MATCH($B1047, Portfolio!$A:$A, 0)),Transactions!$B1047)</f>
        <v/>
      </c>
      <c r="D1047" s="51" t="str">
        <f>IF($B1047&lt;&gt;"",Transactions!$E1047*1,)</f>
        <v/>
      </c>
      <c r="E1047" s="51" t="str">
        <f>IF($B1047&lt;&gt;"",Transactions!$F1047*1,)</f>
        <v/>
      </c>
      <c r="F1047" s="42" t="str">
        <f>IF(Transactions!$G1047&lt;&gt;"",Transactions!$H1047&amp;" "&amp;Transactions!$G1047,)</f>
        <v/>
      </c>
    </row>
    <row r="1048">
      <c r="A1048" s="55" t="str">
        <f>IF(Transactions!$B1048&lt;&gt;"",DATE(LEFT(Transactions!$B1048,4),MID(Transactions!$B1048,6,2),MID(Transactions!$B1048,9,2)),)</f>
        <v/>
      </c>
      <c r="B1048" s="56" t="str">
        <f>Transactions!$C1048</f>
        <v/>
      </c>
      <c r="C1048" s="51" t="str">
        <f t="array" ref="C1048">IFERROR(INDEX(Portfolio!$B:$B, MATCH($B1048, Portfolio!$A:$A, 0)),Transactions!$B1048)</f>
        <v/>
      </c>
      <c r="D1048" s="51" t="str">
        <f>IF($B1048&lt;&gt;"",Transactions!$E1048*1,)</f>
        <v/>
      </c>
      <c r="E1048" s="51" t="str">
        <f>IF($B1048&lt;&gt;"",Transactions!$F1048*1,)</f>
        <v/>
      </c>
      <c r="F1048" s="42" t="str">
        <f>IF(Transactions!$G1048&lt;&gt;"",Transactions!$H1048&amp;" "&amp;Transactions!$G1048,)</f>
        <v/>
      </c>
    </row>
    <row r="1049">
      <c r="A1049" s="55" t="str">
        <f>IF(Transactions!$B1049&lt;&gt;"",DATE(LEFT(Transactions!$B1049,4),MID(Transactions!$B1049,6,2),MID(Transactions!$B1049,9,2)),)</f>
        <v/>
      </c>
      <c r="B1049" s="56" t="str">
        <f>Transactions!$C1049</f>
        <v/>
      </c>
      <c r="C1049" s="51" t="str">
        <f t="array" ref="C1049">IFERROR(INDEX(Portfolio!$B:$B, MATCH($B1049, Portfolio!$A:$A, 0)),Transactions!$B1049)</f>
        <v/>
      </c>
      <c r="D1049" s="51" t="str">
        <f>IF($B1049&lt;&gt;"",Transactions!$E1049*1,)</f>
        <v/>
      </c>
      <c r="E1049" s="51" t="str">
        <f>IF($B1049&lt;&gt;"",Transactions!$F1049*1,)</f>
        <v/>
      </c>
      <c r="F1049" s="42" t="str">
        <f>IF(Transactions!$G1049&lt;&gt;"",Transactions!$H1049&amp;" "&amp;Transactions!$G1049,)</f>
        <v/>
      </c>
    </row>
    <row r="1050">
      <c r="A1050" s="55" t="str">
        <f>IF(Transactions!$B1050&lt;&gt;"",DATE(LEFT(Transactions!$B1050,4),MID(Transactions!$B1050,6,2),MID(Transactions!$B1050,9,2)),)</f>
        <v/>
      </c>
      <c r="B1050" s="56" t="str">
        <f>Transactions!$C1050</f>
        <v/>
      </c>
      <c r="C1050" s="51" t="str">
        <f t="array" ref="C1050">IFERROR(INDEX(Portfolio!$B:$B, MATCH($B1050, Portfolio!$A:$A, 0)),Transactions!$B1050)</f>
        <v/>
      </c>
      <c r="D1050" s="51" t="str">
        <f>IF($B1050&lt;&gt;"",Transactions!$E1050*1,)</f>
        <v/>
      </c>
      <c r="E1050" s="51" t="str">
        <f>IF($B1050&lt;&gt;"",Transactions!$F1050*1,)</f>
        <v/>
      </c>
      <c r="F1050" s="42" t="str">
        <f>IF(Transactions!$G1050&lt;&gt;"",Transactions!$H1050&amp;" "&amp;Transactions!$G1050,)</f>
        <v/>
      </c>
    </row>
    <row r="1051">
      <c r="A1051" s="55" t="str">
        <f>IF(Transactions!$B1051&lt;&gt;"",DATE(LEFT(Transactions!$B1051,4),MID(Transactions!$B1051,6,2),MID(Transactions!$B1051,9,2)),)</f>
        <v/>
      </c>
      <c r="B1051" s="56" t="str">
        <f>Transactions!$C1051</f>
        <v/>
      </c>
      <c r="C1051" s="51" t="str">
        <f t="array" ref="C1051">IFERROR(INDEX(Portfolio!$B:$B, MATCH($B1051, Portfolio!$A:$A, 0)),Transactions!$B1051)</f>
        <v/>
      </c>
      <c r="D1051" s="51" t="str">
        <f>IF($B1051&lt;&gt;"",Transactions!$E1051*1,)</f>
        <v/>
      </c>
      <c r="E1051" s="51" t="str">
        <f>IF($B1051&lt;&gt;"",Transactions!$F1051*1,)</f>
        <v/>
      </c>
      <c r="F1051" s="42" t="str">
        <f>IF(Transactions!$G1051&lt;&gt;"",Transactions!$H1051&amp;" "&amp;Transactions!$G1051,)</f>
        <v/>
      </c>
    </row>
    <row r="1052">
      <c r="A1052" s="55" t="str">
        <f>IF(Transactions!$B1052&lt;&gt;"",DATE(LEFT(Transactions!$B1052,4),MID(Transactions!$B1052,6,2),MID(Transactions!$B1052,9,2)),)</f>
        <v/>
      </c>
      <c r="B1052" s="56" t="str">
        <f>Transactions!$C1052</f>
        <v/>
      </c>
      <c r="C1052" s="51" t="str">
        <f t="array" ref="C1052">IFERROR(INDEX(Portfolio!$B:$B, MATCH($B1052, Portfolio!$A:$A, 0)),Transactions!$B1052)</f>
        <v/>
      </c>
      <c r="D1052" s="51" t="str">
        <f>IF($B1052&lt;&gt;"",Transactions!$E1052*1,)</f>
        <v/>
      </c>
      <c r="E1052" s="51" t="str">
        <f>IF($B1052&lt;&gt;"",Transactions!$F1052*1,)</f>
        <v/>
      </c>
      <c r="F1052" s="42" t="str">
        <f>IF(Transactions!$G1052&lt;&gt;"",Transactions!$H1052&amp;" "&amp;Transactions!$G1052,)</f>
        <v/>
      </c>
    </row>
    <row r="1053">
      <c r="A1053" s="55" t="str">
        <f>IF(Transactions!$B1053&lt;&gt;"",DATE(LEFT(Transactions!$B1053,4),MID(Transactions!$B1053,6,2),MID(Transactions!$B1053,9,2)),)</f>
        <v/>
      </c>
      <c r="B1053" s="56" t="str">
        <f>Transactions!$C1053</f>
        <v/>
      </c>
      <c r="C1053" s="51" t="str">
        <f t="array" ref="C1053">IFERROR(INDEX(Portfolio!$B:$B, MATCH($B1053, Portfolio!$A:$A, 0)),Transactions!$B1053)</f>
        <v/>
      </c>
      <c r="D1053" s="51" t="str">
        <f>IF($B1053&lt;&gt;"",Transactions!$E1053*1,)</f>
        <v/>
      </c>
      <c r="E1053" s="51" t="str">
        <f>IF($B1053&lt;&gt;"",Transactions!$F1053*1,)</f>
        <v/>
      </c>
      <c r="F1053" s="42" t="str">
        <f>IF(Transactions!$G1053&lt;&gt;"",Transactions!$H1053&amp;" "&amp;Transactions!$G1053,)</f>
        <v/>
      </c>
    </row>
    <row r="1054">
      <c r="A1054" s="55" t="str">
        <f>IF(Transactions!$B1054&lt;&gt;"",DATE(LEFT(Transactions!$B1054,4),MID(Transactions!$B1054,6,2),MID(Transactions!$B1054,9,2)),)</f>
        <v/>
      </c>
      <c r="B1054" s="56" t="str">
        <f>Transactions!$C1054</f>
        <v/>
      </c>
      <c r="C1054" s="51" t="str">
        <f t="array" ref="C1054">IFERROR(INDEX(Portfolio!$B:$B, MATCH($B1054, Portfolio!$A:$A, 0)),Transactions!$B1054)</f>
        <v/>
      </c>
      <c r="D1054" s="51" t="str">
        <f>IF($B1054&lt;&gt;"",Transactions!$E1054*1,)</f>
        <v/>
      </c>
      <c r="E1054" s="51" t="str">
        <f>IF($B1054&lt;&gt;"",Transactions!$F1054*1,)</f>
        <v/>
      </c>
      <c r="F1054" s="42" t="str">
        <f>IF(Transactions!$G1054&lt;&gt;"",Transactions!$H1054&amp;" "&amp;Transactions!$G1054,)</f>
        <v/>
      </c>
    </row>
    <row r="1055">
      <c r="A1055" s="55" t="str">
        <f>IF(Transactions!$B1055&lt;&gt;"",DATE(LEFT(Transactions!$B1055,4),MID(Transactions!$B1055,6,2),MID(Transactions!$B1055,9,2)),)</f>
        <v/>
      </c>
      <c r="B1055" s="56" t="str">
        <f>Transactions!$C1055</f>
        <v/>
      </c>
      <c r="C1055" s="51" t="str">
        <f t="array" ref="C1055">IFERROR(INDEX(Portfolio!$B:$B, MATCH($B1055, Portfolio!$A:$A, 0)),Transactions!$B1055)</f>
        <v/>
      </c>
      <c r="D1055" s="51" t="str">
        <f>IF($B1055&lt;&gt;"",Transactions!$E1055*1,)</f>
        <v/>
      </c>
      <c r="E1055" s="51" t="str">
        <f>IF($B1055&lt;&gt;"",Transactions!$F1055*1,)</f>
        <v/>
      </c>
      <c r="F1055" s="42" t="str">
        <f>IF(Transactions!$G1055&lt;&gt;"",Transactions!$H1055&amp;" "&amp;Transactions!$G1055,)</f>
        <v/>
      </c>
    </row>
    <row r="1056">
      <c r="A1056" s="55" t="str">
        <f>IF(Transactions!$B1056&lt;&gt;"",DATE(LEFT(Transactions!$B1056,4),MID(Transactions!$B1056,6,2),MID(Transactions!$B1056,9,2)),)</f>
        <v/>
      </c>
      <c r="B1056" s="56" t="str">
        <f>Transactions!$C1056</f>
        <v/>
      </c>
      <c r="C1056" s="51" t="str">
        <f t="array" ref="C1056">IFERROR(INDEX(Portfolio!$B:$B, MATCH($B1056, Portfolio!$A:$A, 0)),Transactions!$B1056)</f>
        <v/>
      </c>
      <c r="D1056" s="51" t="str">
        <f>IF($B1056&lt;&gt;"",Transactions!$E1056*1,)</f>
        <v/>
      </c>
      <c r="E1056" s="51" t="str">
        <f>IF($B1056&lt;&gt;"",Transactions!$F1056*1,)</f>
        <v/>
      </c>
      <c r="F1056" s="42" t="str">
        <f>IF(Transactions!$G1056&lt;&gt;"",Transactions!$H1056&amp;" "&amp;Transactions!$G1056,)</f>
        <v/>
      </c>
    </row>
    <row r="1057">
      <c r="A1057" s="55" t="str">
        <f>IF(Transactions!$B1057&lt;&gt;"",DATE(LEFT(Transactions!$B1057,4),MID(Transactions!$B1057,6,2),MID(Transactions!$B1057,9,2)),)</f>
        <v/>
      </c>
      <c r="B1057" s="56" t="str">
        <f>Transactions!$C1057</f>
        <v/>
      </c>
      <c r="C1057" s="51" t="str">
        <f t="array" ref="C1057">IFERROR(INDEX(Portfolio!$B:$B, MATCH($B1057, Portfolio!$A:$A, 0)),Transactions!$B1057)</f>
        <v/>
      </c>
      <c r="D1057" s="51" t="str">
        <f>IF($B1057&lt;&gt;"",Transactions!$E1057*1,)</f>
        <v/>
      </c>
      <c r="E1057" s="51" t="str">
        <f>IF($B1057&lt;&gt;"",Transactions!$F1057*1,)</f>
        <v/>
      </c>
      <c r="F1057" s="42" t="str">
        <f>IF(Transactions!$G1057&lt;&gt;"",Transactions!$H1057&amp;" "&amp;Transactions!$G1057,)</f>
        <v/>
      </c>
    </row>
    <row r="1058">
      <c r="A1058" s="55" t="str">
        <f>IF(Transactions!$B1058&lt;&gt;"",DATE(LEFT(Transactions!$B1058,4),MID(Transactions!$B1058,6,2),MID(Transactions!$B1058,9,2)),)</f>
        <v/>
      </c>
      <c r="B1058" s="56" t="str">
        <f>Transactions!$C1058</f>
        <v/>
      </c>
      <c r="C1058" s="51" t="str">
        <f t="array" ref="C1058">IFERROR(INDEX(Portfolio!$B:$B, MATCH($B1058, Portfolio!$A:$A, 0)),Transactions!$B1058)</f>
        <v/>
      </c>
      <c r="D1058" s="51" t="str">
        <f>IF($B1058&lt;&gt;"",Transactions!$E1058*1,)</f>
        <v/>
      </c>
      <c r="E1058" s="51" t="str">
        <f>IF($B1058&lt;&gt;"",Transactions!$F1058*1,)</f>
        <v/>
      </c>
      <c r="F1058" s="42" t="str">
        <f>IF(Transactions!$G1058&lt;&gt;"",Transactions!$H1058&amp;" "&amp;Transactions!$G1058,)</f>
        <v/>
      </c>
    </row>
    <row r="1059">
      <c r="A1059" s="55" t="str">
        <f>IF(Transactions!$B1059&lt;&gt;"",DATE(LEFT(Transactions!$B1059,4),MID(Transactions!$B1059,6,2),MID(Transactions!$B1059,9,2)),)</f>
        <v/>
      </c>
      <c r="B1059" s="56" t="str">
        <f>Transactions!$C1059</f>
        <v/>
      </c>
      <c r="C1059" s="51" t="str">
        <f t="array" ref="C1059">IFERROR(INDEX(Portfolio!$B:$B, MATCH($B1059, Portfolio!$A:$A, 0)),Transactions!$B1059)</f>
        <v/>
      </c>
      <c r="D1059" s="51" t="str">
        <f>IF($B1059&lt;&gt;"",Transactions!$E1059*1,)</f>
        <v/>
      </c>
      <c r="E1059" s="51" t="str">
        <f>IF($B1059&lt;&gt;"",Transactions!$F1059*1,)</f>
        <v/>
      </c>
      <c r="F1059" s="42" t="str">
        <f>IF(Transactions!$G1059&lt;&gt;"",Transactions!$H1059&amp;" "&amp;Transactions!$G1059,)</f>
        <v/>
      </c>
    </row>
    <row r="1060">
      <c r="A1060" s="55" t="str">
        <f>IF(Transactions!$B1060&lt;&gt;"",DATE(LEFT(Transactions!$B1060,4),MID(Transactions!$B1060,6,2),MID(Transactions!$B1060,9,2)),)</f>
        <v/>
      </c>
      <c r="B1060" s="56" t="str">
        <f>Transactions!$C1060</f>
        <v/>
      </c>
      <c r="C1060" s="51" t="str">
        <f t="array" ref="C1060">IFERROR(INDEX(Portfolio!$B:$B, MATCH($B1060, Portfolio!$A:$A, 0)),Transactions!$B1060)</f>
        <v/>
      </c>
      <c r="D1060" s="51" t="str">
        <f>IF($B1060&lt;&gt;"",Transactions!$E1060*1,)</f>
        <v/>
      </c>
      <c r="E1060" s="51" t="str">
        <f>IF($B1060&lt;&gt;"",Transactions!$F1060*1,)</f>
        <v/>
      </c>
      <c r="F1060" s="42" t="str">
        <f>IF(Transactions!$G1060&lt;&gt;"",Transactions!$H1060&amp;" "&amp;Transactions!$G1060,)</f>
        <v/>
      </c>
    </row>
    <row r="1061">
      <c r="A1061" s="55" t="str">
        <f>IF(Transactions!$B1061&lt;&gt;"",DATE(LEFT(Transactions!$B1061,4),MID(Transactions!$B1061,6,2),MID(Transactions!$B1061,9,2)),)</f>
        <v/>
      </c>
      <c r="B1061" s="56" t="str">
        <f>Transactions!$C1061</f>
        <v/>
      </c>
      <c r="C1061" s="51" t="str">
        <f t="array" ref="C1061">IFERROR(INDEX(Portfolio!$B:$B, MATCH($B1061, Portfolio!$A:$A, 0)),Transactions!$B1061)</f>
        <v/>
      </c>
      <c r="D1061" s="51" t="str">
        <f>IF($B1061&lt;&gt;"",Transactions!$E1061*1,)</f>
        <v/>
      </c>
      <c r="E1061" s="51" t="str">
        <f>IF($B1061&lt;&gt;"",Transactions!$F1061*1,)</f>
        <v/>
      </c>
      <c r="F1061" s="42" t="str">
        <f>IF(Transactions!$G1061&lt;&gt;"",Transactions!$H1061&amp;" "&amp;Transactions!$G1061,)</f>
        <v/>
      </c>
    </row>
    <row r="1062">
      <c r="A1062" s="55" t="str">
        <f>IF(Transactions!$B1062&lt;&gt;"",DATE(LEFT(Transactions!$B1062,4),MID(Transactions!$B1062,6,2),MID(Transactions!$B1062,9,2)),)</f>
        <v/>
      </c>
      <c r="B1062" s="56" t="str">
        <f>Transactions!$C1062</f>
        <v/>
      </c>
      <c r="C1062" s="51" t="str">
        <f t="array" ref="C1062">IFERROR(INDEX(Portfolio!$B:$B, MATCH($B1062, Portfolio!$A:$A, 0)),Transactions!$B1062)</f>
        <v/>
      </c>
      <c r="D1062" s="51" t="str">
        <f>IF($B1062&lt;&gt;"",Transactions!$E1062*1,)</f>
        <v/>
      </c>
      <c r="E1062" s="51" t="str">
        <f>IF($B1062&lt;&gt;"",Transactions!$F1062*1,)</f>
        <v/>
      </c>
      <c r="F1062" s="42" t="str">
        <f>IF(Transactions!$G1062&lt;&gt;"",Transactions!$H1062&amp;" "&amp;Transactions!$G1062,)</f>
        <v/>
      </c>
    </row>
    <row r="1063">
      <c r="A1063" s="55" t="str">
        <f>IF(Transactions!$B1063&lt;&gt;"",DATE(LEFT(Transactions!$B1063,4),MID(Transactions!$B1063,6,2),MID(Transactions!$B1063,9,2)),)</f>
        <v/>
      </c>
      <c r="B1063" s="56" t="str">
        <f>Transactions!$C1063</f>
        <v/>
      </c>
      <c r="C1063" s="51" t="str">
        <f t="array" ref="C1063">IFERROR(INDEX(Portfolio!$B:$B, MATCH($B1063, Portfolio!$A:$A, 0)),Transactions!$B1063)</f>
        <v/>
      </c>
      <c r="D1063" s="51" t="str">
        <f>IF($B1063&lt;&gt;"",Transactions!$E1063*1,)</f>
        <v/>
      </c>
      <c r="E1063" s="51" t="str">
        <f>IF($B1063&lt;&gt;"",Transactions!$F1063*1,)</f>
        <v/>
      </c>
      <c r="F1063" s="42" t="str">
        <f>IF(Transactions!$G1063&lt;&gt;"",Transactions!$H1063&amp;" "&amp;Transactions!$G1063,)</f>
        <v/>
      </c>
    </row>
    <row r="1064">
      <c r="A1064" s="55" t="str">
        <f>IF(Transactions!$B1064&lt;&gt;"",DATE(LEFT(Transactions!$B1064,4),MID(Transactions!$B1064,6,2),MID(Transactions!$B1064,9,2)),)</f>
        <v/>
      </c>
      <c r="B1064" s="56" t="str">
        <f>Transactions!$C1064</f>
        <v/>
      </c>
      <c r="C1064" s="51" t="str">
        <f t="array" ref="C1064">IFERROR(INDEX(Portfolio!$B:$B, MATCH($B1064, Portfolio!$A:$A, 0)),Transactions!$B1064)</f>
        <v/>
      </c>
      <c r="D1064" s="51" t="str">
        <f>IF($B1064&lt;&gt;"",Transactions!$E1064*1,)</f>
        <v/>
      </c>
      <c r="E1064" s="51" t="str">
        <f>IF($B1064&lt;&gt;"",Transactions!$F1064*1,)</f>
        <v/>
      </c>
      <c r="F1064" s="42" t="str">
        <f>IF(Transactions!$G1064&lt;&gt;"",Transactions!$H1064&amp;" "&amp;Transactions!$G1064,)</f>
        <v/>
      </c>
    </row>
    <row r="1065">
      <c r="A1065" s="55" t="str">
        <f>IF(Transactions!$B1065&lt;&gt;"",DATE(LEFT(Transactions!$B1065,4),MID(Transactions!$B1065,6,2),MID(Transactions!$B1065,9,2)),)</f>
        <v/>
      </c>
      <c r="B1065" s="56" t="str">
        <f>Transactions!$C1065</f>
        <v/>
      </c>
      <c r="C1065" s="51" t="str">
        <f t="array" ref="C1065">IFERROR(INDEX(Portfolio!$B:$B, MATCH($B1065, Portfolio!$A:$A, 0)),Transactions!$B1065)</f>
        <v/>
      </c>
      <c r="D1065" s="51" t="str">
        <f>IF($B1065&lt;&gt;"",Transactions!$E1065*1,)</f>
        <v/>
      </c>
      <c r="E1065" s="51" t="str">
        <f>IF($B1065&lt;&gt;"",Transactions!$F1065*1,)</f>
        <v/>
      </c>
      <c r="F1065" s="42" t="str">
        <f>IF(Transactions!$G1065&lt;&gt;"",Transactions!$H1065&amp;" "&amp;Transactions!$G1065,)</f>
        <v/>
      </c>
    </row>
    <row r="1066">
      <c r="A1066" s="55" t="str">
        <f>IF(Transactions!$B1066&lt;&gt;"",DATE(LEFT(Transactions!$B1066,4),MID(Transactions!$B1066,6,2),MID(Transactions!$B1066,9,2)),)</f>
        <v/>
      </c>
      <c r="B1066" s="56" t="str">
        <f>Transactions!$C1066</f>
        <v/>
      </c>
      <c r="C1066" s="51" t="str">
        <f t="array" ref="C1066">IFERROR(INDEX(Portfolio!$B:$B, MATCH($B1066, Portfolio!$A:$A, 0)),Transactions!$B1066)</f>
        <v/>
      </c>
      <c r="D1066" s="51" t="str">
        <f>IF($B1066&lt;&gt;"",Transactions!$E1066*1,)</f>
        <v/>
      </c>
      <c r="E1066" s="51" t="str">
        <f>IF($B1066&lt;&gt;"",Transactions!$F1066*1,)</f>
        <v/>
      </c>
      <c r="F1066" s="42" t="str">
        <f>IF(Transactions!$G1066&lt;&gt;"",Transactions!$H1066&amp;" "&amp;Transactions!$G1066,)</f>
        <v/>
      </c>
    </row>
    <row r="1067">
      <c r="A1067" s="55" t="str">
        <f>IF(Transactions!$B1067&lt;&gt;"",DATE(LEFT(Transactions!$B1067,4),MID(Transactions!$B1067,6,2),MID(Transactions!$B1067,9,2)),)</f>
        <v/>
      </c>
      <c r="B1067" s="56" t="str">
        <f>Transactions!$C1067</f>
        <v/>
      </c>
      <c r="C1067" s="51" t="str">
        <f t="array" ref="C1067">IFERROR(INDEX(Portfolio!$B:$B, MATCH($B1067, Portfolio!$A:$A, 0)),Transactions!$B1067)</f>
        <v/>
      </c>
      <c r="D1067" s="51" t="str">
        <f>IF($B1067&lt;&gt;"",Transactions!$E1067*1,)</f>
        <v/>
      </c>
      <c r="E1067" s="51" t="str">
        <f>IF($B1067&lt;&gt;"",Transactions!$F1067*1,)</f>
        <v/>
      </c>
      <c r="F1067" s="42" t="str">
        <f>IF(Transactions!$G1067&lt;&gt;"",Transactions!$H1067&amp;" "&amp;Transactions!$G1067,)</f>
        <v/>
      </c>
    </row>
    <row r="1068">
      <c r="A1068" s="55" t="str">
        <f>IF(Transactions!$B1068&lt;&gt;"",DATE(LEFT(Transactions!$B1068,4),MID(Transactions!$B1068,6,2),MID(Transactions!$B1068,9,2)),)</f>
        <v/>
      </c>
      <c r="B1068" s="56" t="str">
        <f>Transactions!$C1068</f>
        <v/>
      </c>
      <c r="C1068" s="51" t="str">
        <f t="array" ref="C1068">IFERROR(INDEX(Portfolio!$B:$B, MATCH($B1068, Portfolio!$A:$A, 0)),Transactions!$B1068)</f>
        <v/>
      </c>
      <c r="D1068" s="51" t="str">
        <f>IF($B1068&lt;&gt;"",Transactions!$E1068*1,)</f>
        <v/>
      </c>
      <c r="E1068" s="51" t="str">
        <f>IF($B1068&lt;&gt;"",Transactions!$F1068*1,)</f>
        <v/>
      </c>
      <c r="F1068" s="42" t="str">
        <f>IF(Transactions!$G1068&lt;&gt;"",Transactions!$H1068&amp;" "&amp;Transactions!$G1068,)</f>
        <v/>
      </c>
    </row>
    <row r="1069">
      <c r="A1069" s="55" t="str">
        <f>IF(Transactions!$B1069&lt;&gt;"",DATE(LEFT(Transactions!$B1069,4),MID(Transactions!$B1069,6,2),MID(Transactions!$B1069,9,2)),)</f>
        <v/>
      </c>
      <c r="B1069" s="56" t="str">
        <f>Transactions!$C1069</f>
        <v/>
      </c>
      <c r="C1069" s="51" t="str">
        <f t="array" ref="C1069">IFERROR(INDEX(Portfolio!$B:$B, MATCH($B1069, Portfolio!$A:$A, 0)),Transactions!$B1069)</f>
        <v/>
      </c>
      <c r="D1069" s="51" t="str">
        <f>IF($B1069&lt;&gt;"",Transactions!$E1069*1,)</f>
        <v/>
      </c>
      <c r="E1069" s="51" t="str">
        <f>IF($B1069&lt;&gt;"",Transactions!$F1069*1,)</f>
        <v/>
      </c>
      <c r="F1069" s="42" t="str">
        <f>IF(Transactions!$G1069&lt;&gt;"",Transactions!$H1069&amp;" "&amp;Transactions!$G1069,)</f>
        <v/>
      </c>
    </row>
    <row r="1070">
      <c r="A1070" s="55" t="str">
        <f>IF(Transactions!$B1070&lt;&gt;"",DATE(LEFT(Transactions!$B1070,4),MID(Transactions!$B1070,6,2),MID(Transactions!$B1070,9,2)),)</f>
        <v/>
      </c>
      <c r="B1070" s="56" t="str">
        <f>Transactions!$C1070</f>
        <v/>
      </c>
      <c r="C1070" s="51" t="str">
        <f t="array" ref="C1070">IFERROR(INDEX(Portfolio!$B:$B, MATCH($B1070, Portfolio!$A:$A, 0)),Transactions!$B1070)</f>
        <v/>
      </c>
      <c r="D1070" s="51" t="str">
        <f>IF($B1070&lt;&gt;"",Transactions!$E1070*1,)</f>
        <v/>
      </c>
      <c r="E1070" s="51" t="str">
        <f>IF($B1070&lt;&gt;"",Transactions!$F1070*1,)</f>
        <v/>
      </c>
      <c r="F1070" s="42" t="str">
        <f>IF(Transactions!$G1070&lt;&gt;"",Transactions!$H1070&amp;" "&amp;Transactions!$G1070,)</f>
        <v/>
      </c>
    </row>
    <row r="1071">
      <c r="A1071" s="55" t="str">
        <f>IF(Transactions!$B1071&lt;&gt;"",DATE(LEFT(Transactions!$B1071,4),MID(Transactions!$B1071,6,2),MID(Transactions!$B1071,9,2)),)</f>
        <v/>
      </c>
      <c r="B1071" s="56" t="str">
        <f>Transactions!$C1071</f>
        <v/>
      </c>
      <c r="C1071" s="51" t="str">
        <f t="array" ref="C1071">IFERROR(INDEX(Portfolio!$B:$B, MATCH($B1071, Portfolio!$A:$A, 0)),Transactions!$B1071)</f>
        <v/>
      </c>
      <c r="D1071" s="51" t="str">
        <f>IF($B1071&lt;&gt;"",Transactions!$E1071*1,)</f>
        <v/>
      </c>
      <c r="E1071" s="51" t="str">
        <f>IF($B1071&lt;&gt;"",Transactions!$F1071*1,)</f>
        <v/>
      </c>
      <c r="F1071" s="42" t="str">
        <f>IF(Transactions!$G1071&lt;&gt;"",Transactions!$H1071&amp;" "&amp;Transactions!$G1071,)</f>
        <v/>
      </c>
    </row>
    <row r="1072">
      <c r="A1072" s="55" t="str">
        <f>IF(Transactions!$B1072&lt;&gt;"",DATE(LEFT(Transactions!$B1072,4),MID(Transactions!$B1072,6,2),MID(Transactions!$B1072,9,2)),)</f>
        <v/>
      </c>
      <c r="B1072" s="56" t="str">
        <f>Transactions!$C1072</f>
        <v/>
      </c>
      <c r="C1072" s="51" t="str">
        <f t="array" ref="C1072">IFERROR(INDEX(Portfolio!$B:$B, MATCH($B1072, Portfolio!$A:$A, 0)),Transactions!$B1072)</f>
        <v/>
      </c>
      <c r="D1072" s="51" t="str">
        <f>IF($B1072&lt;&gt;"",Transactions!$E1072*1,)</f>
        <v/>
      </c>
      <c r="E1072" s="51" t="str">
        <f>IF($B1072&lt;&gt;"",Transactions!$F1072*1,)</f>
        <v/>
      </c>
      <c r="F1072" s="42" t="str">
        <f>IF(Transactions!$G1072&lt;&gt;"",Transactions!$H1072&amp;" "&amp;Transactions!$G1072,)</f>
        <v/>
      </c>
    </row>
    <row r="1073">
      <c r="A1073" s="55" t="str">
        <f>IF(Transactions!$B1073&lt;&gt;"",DATE(LEFT(Transactions!$B1073,4),MID(Transactions!$B1073,6,2),MID(Transactions!$B1073,9,2)),)</f>
        <v/>
      </c>
      <c r="B1073" s="56" t="str">
        <f>Transactions!$C1073</f>
        <v/>
      </c>
      <c r="C1073" s="51" t="str">
        <f t="array" ref="C1073">IFERROR(INDEX(Portfolio!$B:$B, MATCH($B1073, Portfolio!$A:$A, 0)),Transactions!$B1073)</f>
        <v/>
      </c>
      <c r="D1073" s="51" t="str">
        <f>IF($B1073&lt;&gt;"",Transactions!$E1073*1,)</f>
        <v/>
      </c>
      <c r="E1073" s="51" t="str">
        <f>IF($B1073&lt;&gt;"",Transactions!$F1073*1,)</f>
        <v/>
      </c>
      <c r="F1073" s="42" t="str">
        <f>IF(Transactions!$G1073&lt;&gt;"",Transactions!$H1073&amp;" "&amp;Transactions!$G1073,)</f>
        <v/>
      </c>
    </row>
    <row r="1074">
      <c r="A1074" s="55" t="str">
        <f>IF(Transactions!$B1074&lt;&gt;"",DATE(LEFT(Transactions!$B1074,4),MID(Transactions!$B1074,6,2),MID(Transactions!$B1074,9,2)),)</f>
        <v/>
      </c>
      <c r="B1074" s="56" t="str">
        <f>Transactions!$C1074</f>
        <v/>
      </c>
      <c r="C1074" s="51" t="str">
        <f t="array" ref="C1074">IFERROR(INDEX(Portfolio!$B:$B, MATCH($B1074, Portfolio!$A:$A, 0)),Transactions!$B1074)</f>
        <v/>
      </c>
      <c r="D1074" s="51" t="str">
        <f>IF($B1074&lt;&gt;"",Transactions!$E1074*1,)</f>
        <v/>
      </c>
      <c r="E1074" s="51" t="str">
        <f>IF($B1074&lt;&gt;"",Transactions!$F1074*1,)</f>
        <v/>
      </c>
      <c r="F1074" s="42" t="str">
        <f>IF(Transactions!$G1074&lt;&gt;"",Transactions!$H1074&amp;" "&amp;Transactions!$G1074,)</f>
        <v/>
      </c>
    </row>
    <row r="1075">
      <c r="A1075" s="55" t="str">
        <f>IF(Transactions!$B1075&lt;&gt;"",DATE(LEFT(Transactions!$B1075,4),MID(Transactions!$B1075,6,2),MID(Transactions!$B1075,9,2)),)</f>
        <v/>
      </c>
      <c r="B1075" s="56" t="str">
        <f>Transactions!$C1075</f>
        <v/>
      </c>
      <c r="C1075" s="51" t="str">
        <f t="array" ref="C1075">IFERROR(INDEX(Portfolio!$B:$B, MATCH($B1075, Portfolio!$A:$A, 0)),Transactions!$B1075)</f>
        <v/>
      </c>
      <c r="D1075" s="51" t="str">
        <f>IF($B1075&lt;&gt;"",Transactions!$E1075*1,)</f>
        <v/>
      </c>
      <c r="E1075" s="51" t="str">
        <f>IF($B1075&lt;&gt;"",Transactions!$F1075*1,)</f>
        <v/>
      </c>
      <c r="F1075" s="42" t="str">
        <f>IF(Transactions!$G1075&lt;&gt;"",Transactions!$H1075&amp;" "&amp;Transactions!$G1075,)</f>
        <v/>
      </c>
    </row>
    <row r="1076">
      <c r="A1076" s="55" t="str">
        <f>IF(Transactions!$B1076&lt;&gt;"",DATE(LEFT(Transactions!$B1076,4),MID(Transactions!$B1076,6,2),MID(Transactions!$B1076,9,2)),)</f>
        <v/>
      </c>
      <c r="B1076" s="56" t="str">
        <f>Transactions!$C1076</f>
        <v/>
      </c>
      <c r="C1076" s="51" t="str">
        <f t="array" ref="C1076">IFERROR(INDEX(Portfolio!$B:$B, MATCH($B1076, Portfolio!$A:$A, 0)),Transactions!$B1076)</f>
        <v/>
      </c>
      <c r="D1076" s="51" t="str">
        <f>IF($B1076&lt;&gt;"",Transactions!$E1076*1,)</f>
        <v/>
      </c>
      <c r="E1076" s="51" t="str">
        <f>IF($B1076&lt;&gt;"",Transactions!$F1076*1,)</f>
        <v/>
      </c>
      <c r="F1076" s="42" t="str">
        <f>IF(Transactions!$G1076&lt;&gt;"",Transactions!$H1076&amp;" "&amp;Transactions!$G1076,)</f>
        <v/>
      </c>
    </row>
    <row r="1077">
      <c r="A1077" s="55" t="str">
        <f>IF(Transactions!$B1077&lt;&gt;"",DATE(LEFT(Transactions!$B1077,4),MID(Transactions!$B1077,6,2),MID(Transactions!$B1077,9,2)),)</f>
        <v/>
      </c>
      <c r="B1077" s="56" t="str">
        <f>Transactions!$C1077</f>
        <v/>
      </c>
      <c r="C1077" s="51" t="str">
        <f t="array" ref="C1077">IFERROR(INDEX(Portfolio!$B:$B, MATCH($B1077, Portfolio!$A:$A, 0)),Transactions!$B1077)</f>
        <v/>
      </c>
      <c r="D1077" s="51" t="str">
        <f>IF($B1077&lt;&gt;"",Transactions!$E1077*1,)</f>
        <v/>
      </c>
      <c r="E1077" s="51" t="str">
        <f>IF($B1077&lt;&gt;"",Transactions!$F1077*1,)</f>
        <v/>
      </c>
      <c r="F1077" s="42" t="str">
        <f>IF(Transactions!$G1077&lt;&gt;"",Transactions!$H1077&amp;" "&amp;Transactions!$G1077,)</f>
        <v/>
      </c>
    </row>
    <row r="1078">
      <c r="A1078" s="55" t="str">
        <f>IF(Transactions!$B1078&lt;&gt;"",DATE(LEFT(Transactions!$B1078,4),MID(Transactions!$B1078,6,2),MID(Transactions!$B1078,9,2)),)</f>
        <v/>
      </c>
      <c r="B1078" s="56" t="str">
        <f>Transactions!$C1078</f>
        <v/>
      </c>
      <c r="C1078" s="51" t="str">
        <f t="array" ref="C1078">IFERROR(INDEX(Portfolio!$B:$B, MATCH($B1078, Portfolio!$A:$A, 0)),Transactions!$B1078)</f>
        <v/>
      </c>
      <c r="D1078" s="51" t="str">
        <f>IF($B1078&lt;&gt;"",Transactions!$E1078*1,)</f>
        <v/>
      </c>
      <c r="E1078" s="51" t="str">
        <f>IF($B1078&lt;&gt;"",Transactions!$F1078*1,)</f>
        <v/>
      </c>
      <c r="F1078" s="42" t="str">
        <f>IF(Transactions!$G1078&lt;&gt;"",Transactions!$H1078&amp;" "&amp;Transactions!$G1078,)</f>
        <v/>
      </c>
    </row>
    <row r="1079">
      <c r="A1079" s="55" t="str">
        <f>IF(Transactions!$B1079&lt;&gt;"",DATE(LEFT(Transactions!$B1079,4),MID(Transactions!$B1079,6,2),MID(Transactions!$B1079,9,2)),)</f>
        <v/>
      </c>
      <c r="B1079" s="56" t="str">
        <f>Transactions!$C1079</f>
        <v/>
      </c>
      <c r="C1079" s="51" t="str">
        <f t="array" ref="C1079">IFERROR(INDEX(Portfolio!$B:$B, MATCH($B1079, Portfolio!$A:$A, 0)),Transactions!$B1079)</f>
        <v/>
      </c>
      <c r="D1079" s="51" t="str">
        <f>IF($B1079&lt;&gt;"",Transactions!$E1079*1,)</f>
        <v/>
      </c>
      <c r="E1079" s="51" t="str">
        <f>IF($B1079&lt;&gt;"",Transactions!$F1079*1,)</f>
        <v/>
      </c>
      <c r="F1079" s="42" t="str">
        <f>IF(Transactions!$G1079&lt;&gt;"",Transactions!$H1079&amp;" "&amp;Transactions!$G1079,)</f>
        <v/>
      </c>
    </row>
    <row r="1080">
      <c r="A1080" s="55" t="str">
        <f>IF(Transactions!$B1080&lt;&gt;"",DATE(LEFT(Transactions!$B1080,4),MID(Transactions!$B1080,6,2),MID(Transactions!$B1080,9,2)),)</f>
        <v/>
      </c>
      <c r="B1080" s="56" t="str">
        <f>Transactions!$C1080</f>
        <v/>
      </c>
      <c r="C1080" s="51" t="str">
        <f t="array" ref="C1080">IFERROR(INDEX(Portfolio!$B:$B, MATCH($B1080, Portfolio!$A:$A, 0)),Transactions!$B1080)</f>
        <v/>
      </c>
      <c r="D1080" s="51" t="str">
        <f>IF($B1080&lt;&gt;"",Transactions!$E1080*1,)</f>
        <v/>
      </c>
      <c r="E1080" s="51" t="str">
        <f>IF($B1080&lt;&gt;"",Transactions!$F1080*1,)</f>
        <v/>
      </c>
      <c r="F1080" s="42" t="str">
        <f>IF(Transactions!$G1080&lt;&gt;"",Transactions!$H1080&amp;" "&amp;Transactions!$G1080,)</f>
        <v/>
      </c>
    </row>
    <row r="1081">
      <c r="A1081" s="55" t="str">
        <f>IF(Transactions!$B1081&lt;&gt;"",DATE(LEFT(Transactions!$B1081,4),MID(Transactions!$B1081,6,2),MID(Transactions!$B1081,9,2)),)</f>
        <v/>
      </c>
      <c r="B1081" s="56" t="str">
        <f>Transactions!$C1081</f>
        <v/>
      </c>
      <c r="C1081" s="51" t="str">
        <f t="array" ref="C1081">IFERROR(INDEX(Portfolio!$B:$B, MATCH($B1081, Portfolio!$A:$A, 0)),Transactions!$B1081)</f>
        <v/>
      </c>
      <c r="D1081" s="51" t="str">
        <f>IF($B1081&lt;&gt;"",Transactions!$E1081*1,)</f>
        <v/>
      </c>
      <c r="E1081" s="51" t="str">
        <f>IF($B1081&lt;&gt;"",Transactions!$F1081*1,)</f>
        <v/>
      </c>
      <c r="F1081" s="42" t="str">
        <f>IF(Transactions!$G1081&lt;&gt;"",Transactions!$H1081&amp;" "&amp;Transactions!$G1081,)</f>
        <v/>
      </c>
    </row>
    <row r="1082">
      <c r="A1082" s="55" t="str">
        <f>IF(Transactions!$B1082&lt;&gt;"",DATE(LEFT(Transactions!$B1082,4),MID(Transactions!$B1082,6,2),MID(Transactions!$B1082,9,2)),)</f>
        <v/>
      </c>
      <c r="B1082" s="56" t="str">
        <f>Transactions!$C1082</f>
        <v/>
      </c>
      <c r="C1082" s="51" t="str">
        <f t="array" ref="C1082">IFERROR(INDEX(Portfolio!$B:$B, MATCH($B1082, Portfolio!$A:$A, 0)),Transactions!$B1082)</f>
        <v/>
      </c>
      <c r="D1082" s="51" t="str">
        <f>IF($B1082&lt;&gt;"",Transactions!$E1082*1,)</f>
        <v/>
      </c>
      <c r="E1082" s="51" t="str">
        <f>IF($B1082&lt;&gt;"",Transactions!$F1082*1,)</f>
        <v/>
      </c>
      <c r="F1082" s="42" t="str">
        <f>IF(Transactions!$G1082&lt;&gt;"",Transactions!$H1082&amp;" "&amp;Transactions!$G1082,)</f>
        <v/>
      </c>
    </row>
    <row r="1083">
      <c r="A1083" s="55" t="str">
        <f>IF(Transactions!$B1083&lt;&gt;"",DATE(LEFT(Transactions!$B1083,4),MID(Transactions!$B1083,6,2),MID(Transactions!$B1083,9,2)),)</f>
        <v/>
      </c>
      <c r="B1083" s="56" t="str">
        <f>Transactions!$C1083</f>
        <v/>
      </c>
      <c r="C1083" s="51" t="str">
        <f t="array" ref="C1083">IFERROR(INDEX(Portfolio!$B:$B, MATCH($B1083, Portfolio!$A:$A, 0)),Transactions!$B1083)</f>
        <v/>
      </c>
      <c r="D1083" s="51" t="str">
        <f>IF($B1083&lt;&gt;"",Transactions!$E1083*1,)</f>
        <v/>
      </c>
      <c r="E1083" s="51" t="str">
        <f>IF($B1083&lt;&gt;"",Transactions!$F1083*1,)</f>
        <v/>
      </c>
      <c r="F1083" s="42" t="str">
        <f>IF(Transactions!$G1083&lt;&gt;"",Transactions!$H1083&amp;" "&amp;Transactions!$G1083,)</f>
        <v/>
      </c>
    </row>
    <row r="1084">
      <c r="A1084" s="55" t="str">
        <f>IF(Transactions!$B1084&lt;&gt;"",DATE(LEFT(Transactions!$B1084,4),MID(Transactions!$B1084,6,2),MID(Transactions!$B1084,9,2)),)</f>
        <v/>
      </c>
      <c r="B1084" s="56" t="str">
        <f>Transactions!$C1084</f>
        <v/>
      </c>
      <c r="C1084" s="51" t="str">
        <f t="array" ref="C1084">IFERROR(INDEX(Portfolio!$B:$B, MATCH($B1084, Portfolio!$A:$A, 0)),Transactions!$B1084)</f>
        <v/>
      </c>
      <c r="D1084" s="51" t="str">
        <f>IF($B1084&lt;&gt;"",Transactions!$E1084*1,)</f>
        <v/>
      </c>
      <c r="E1084" s="51" t="str">
        <f>IF($B1084&lt;&gt;"",Transactions!$F1084*1,)</f>
        <v/>
      </c>
      <c r="F1084" s="42" t="str">
        <f>IF(Transactions!$G1084&lt;&gt;"",Transactions!$H1084&amp;" "&amp;Transactions!$G1084,)</f>
        <v/>
      </c>
    </row>
    <row r="1085">
      <c r="A1085" s="55" t="str">
        <f>IF(Transactions!$B1085&lt;&gt;"",DATE(LEFT(Transactions!$B1085,4),MID(Transactions!$B1085,6,2),MID(Transactions!$B1085,9,2)),)</f>
        <v/>
      </c>
      <c r="B1085" s="56" t="str">
        <f>Transactions!$C1085</f>
        <v/>
      </c>
      <c r="C1085" s="51" t="str">
        <f t="array" ref="C1085">IFERROR(INDEX(Portfolio!$B:$B, MATCH($B1085, Portfolio!$A:$A, 0)),Transactions!$B1085)</f>
        <v/>
      </c>
      <c r="D1085" s="51" t="str">
        <f>IF($B1085&lt;&gt;"",Transactions!$E1085*1,)</f>
        <v/>
      </c>
      <c r="E1085" s="51" t="str">
        <f>IF($B1085&lt;&gt;"",Transactions!$F1085*1,)</f>
        <v/>
      </c>
      <c r="F1085" s="42" t="str">
        <f>IF(Transactions!$G1085&lt;&gt;"",Transactions!$H1085&amp;" "&amp;Transactions!$G1085,)</f>
        <v/>
      </c>
    </row>
    <row r="1086">
      <c r="A1086" s="55" t="str">
        <f>IF(Transactions!$B1086&lt;&gt;"",DATE(LEFT(Transactions!$B1086,4),MID(Transactions!$B1086,6,2),MID(Transactions!$B1086,9,2)),)</f>
        <v/>
      </c>
      <c r="B1086" s="56" t="str">
        <f>Transactions!$C1086</f>
        <v/>
      </c>
      <c r="C1086" s="51" t="str">
        <f t="array" ref="C1086">IFERROR(INDEX(Portfolio!$B:$B, MATCH($B1086, Portfolio!$A:$A, 0)),Transactions!$B1086)</f>
        <v/>
      </c>
      <c r="D1086" s="51" t="str">
        <f>IF($B1086&lt;&gt;"",Transactions!$E1086*1,)</f>
        <v/>
      </c>
      <c r="E1086" s="51" t="str">
        <f>IF($B1086&lt;&gt;"",Transactions!$F1086*1,)</f>
        <v/>
      </c>
      <c r="F1086" s="42" t="str">
        <f>IF(Transactions!$G1086&lt;&gt;"",Transactions!$H1086&amp;" "&amp;Transactions!$G1086,)</f>
        <v/>
      </c>
    </row>
    <row r="1087">
      <c r="A1087" s="55" t="str">
        <f>IF(Transactions!$B1087&lt;&gt;"",DATE(LEFT(Transactions!$B1087,4),MID(Transactions!$B1087,6,2),MID(Transactions!$B1087,9,2)),)</f>
        <v/>
      </c>
      <c r="B1087" s="56" t="str">
        <f>Transactions!$C1087</f>
        <v/>
      </c>
      <c r="C1087" s="51" t="str">
        <f t="array" ref="C1087">IFERROR(INDEX(Portfolio!$B:$B, MATCH($B1087, Portfolio!$A:$A, 0)),Transactions!$B1087)</f>
        <v/>
      </c>
      <c r="D1087" s="51" t="str">
        <f>IF($B1087&lt;&gt;"",Transactions!$E1087*1,)</f>
        <v/>
      </c>
      <c r="E1087" s="51" t="str">
        <f>IF($B1087&lt;&gt;"",Transactions!$F1087*1,)</f>
        <v/>
      </c>
      <c r="F1087" s="42" t="str">
        <f>IF(Transactions!$G1087&lt;&gt;"",Transactions!$H1087&amp;" "&amp;Transactions!$G1087,)</f>
        <v/>
      </c>
    </row>
    <row r="1088">
      <c r="A1088" s="55" t="str">
        <f>IF(Transactions!$B1088&lt;&gt;"",DATE(LEFT(Transactions!$B1088,4),MID(Transactions!$B1088,6,2),MID(Transactions!$B1088,9,2)),)</f>
        <v/>
      </c>
      <c r="B1088" s="56" t="str">
        <f>Transactions!$C1088</f>
        <v/>
      </c>
      <c r="C1088" s="51" t="str">
        <f t="array" ref="C1088">IFERROR(INDEX(Portfolio!$B:$B, MATCH($B1088, Portfolio!$A:$A, 0)),Transactions!$B1088)</f>
        <v/>
      </c>
      <c r="D1088" s="51" t="str">
        <f>IF($B1088&lt;&gt;"",Transactions!$E1088*1,)</f>
        <v/>
      </c>
      <c r="E1088" s="51" t="str">
        <f>IF($B1088&lt;&gt;"",Transactions!$F1088*1,)</f>
        <v/>
      </c>
      <c r="F1088" s="42" t="str">
        <f>IF(Transactions!$G1088&lt;&gt;"",Transactions!$H1088&amp;" "&amp;Transactions!$G1088,)</f>
        <v/>
      </c>
    </row>
    <row r="1089">
      <c r="A1089" s="55" t="str">
        <f>IF(Transactions!$B1089&lt;&gt;"",DATE(LEFT(Transactions!$B1089,4),MID(Transactions!$B1089,6,2),MID(Transactions!$B1089,9,2)),)</f>
        <v/>
      </c>
      <c r="B1089" s="56" t="str">
        <f>Transactions!$C1089</f>
        <v/>
      </c>
      <c r="C1089" s="51" t="str">
        <f t="array" ref="C1089">IFERROR(INDEX(Portfolio!$B:$B, MATCH($B1089, Portfolio!$A:$A, 0)),Transactions!$B1089)</f>
        <v/>
      </c>
      <c r="D1089" s="51" t="str">
        <f>IF($B1089&lt;&gt;"",Transactions!$E1089*1,)</f>
        <v/>
      </c>
      <c r="E1089" s="51" t="str">
        <f>IF($B1089&lt;&gt;"",Transactions!$F1089*1,)</f>
        <v/>
      </c>
      <c r="F1089" s="42" t="str">
        <f>IF(Transactions!$G1089&lt;&gt;"",Transactions!$H1089&amp;" "&amp;Transactions!$G1089,)</f>
        <v/>
      </c>
    </row>
    <row r="1090">
      <c r="A1090" s="55" t="str">
        <f>IF(Transactions!$B1090&lt;&gt;"",DATE(LEFT(Transactions!$B1090,4),MID(Transactions!$B1090,6,2),MID(Transactions!$B1090,9,2)),)</f>
        <v/>
      </c>
      <c r="B1090" s="56" t="str">
        <f>Transactions!$C1090</f>
        <v/>
      </c>
      <c r="C1090" s="51" t="str">
        <f t="array" ref="C1090">IFERROR(INDEX(Portfolio!$B:$B, MATCH($B1090, Portfolio!$A:$A, 0)),Transactions!$B1090)</f>
        <v/>
      </c>
      <c r="D1090" s="51" t="str">
        <f>IF($B1090&lt;&gt;"",Transactions!$E1090*1,)</f>
        <v/>
      </c>
      <c r="E1090" s="51" t="str">
        <f>IF($B1090&lt;&gt;"",Transactions!$F1090*1,)</f>
        <v/>
      </c>
      <c r="F1090" s="42" t="str">
        <f>IF(Transactions!$G1090&lt;&gt;"",Transactions!$H1090&amp;" "&amp;Transactions!$G1090,)</f>
        <v/>
      </c>
    </row>
    <row r="1091">
      <c r="A1091" s="55" t="str">
        <f>IF(Transactions!$B1091&lt;&gt;"",DATE(LEFT(Transactions!$B1091,4),MID(Transactions!$B1091,6,2),MID(Transactions!$B1091,9,2)),)</f>
        <v/>
      </c>
      <c r="B1091" s="56" t="str">
        <f>Transactions!$C1091</f>
        <v/>
      </c>
      <c r="C1091" s="51" t="str">
        <f t="array" ref="C1091">IFERROR(INDEX(Portfolio!$B:$B, MATCH($B1091, Portfolio!$A:$A, 0)),Transactions!$B1091)</f>
        <v/>
      </c>
      <c r="D1091" s="51" t="str">
        <f>IF($B1091&lt;&gt;"",Transactions!$E1091*1,)</f>
        <v/>
      </c>
      <c r="E1091" s="51" t="str">
        <f>IF($B1091&lt;&gt;"",Transactions!$F1091*1,)</f>
        <v/>
      </c>
      <c r="F1091" s="42" t="str">
        <f>IF(Transactions!$G1091&lt;&gt;"",Transactions!$H1091&amp;" "&amp;Transactions!$G1091,)</f>
        <v/>
      </c>
    </row>
    <row r="1092">
      <c r="A1092" s="55" t="str">
        <f>IF(Transactions!$B1092&lt;&gt;"",DATE(LEFT(Transactions!$B1092,4),MID(Transactions!$B1092,6,2),MID(Transactions!$B1092,9,2)),)</f>
        <v/>
      </c>
      <c r="B1092" s="56" t="str">
        <f>Transactions!$C1092</f>
        <v/>
      </c>
      <c r="C1092" s="51" t="str">
        <f t="array" ref="C1092">IFERROR(INDEX(Portfolio!$B:$B, MATCH($B1092, Portfolio!$A:$A, 0)),Transactions!$B1092)</f>
        <v/>
      </c>
      <c r="D1092" s="51" t="str">
        <f>IF($B1092&lt;&gt;"",Transactions!$E1092*1,)</f>
        <v/>
      </c>
      <c r="E1092" s="51" t="str">
        <f>IF($B1092&lt;&gt;"",Transactions!$F1092*1,)</f>
        <v/>
      </c>
      <c r="F1092" s="42" t="str">
        <f>IF(Transactions!$G1092&lt;&gt;"",Transactions!$H1092&amp;" "&amp;Transactions!$G1092,)</f>
        <v/>
      </c>
    </row>
    <row r="1093">
      <c r="A1093" s="55" t="str">
        <f>IF(Transactions!$B1093&lt;&gt;"",DATE(LEFT(Transactions!$B1093,4),MID(Transactions!$B1093,6,2),MID(Transactions!$B1093,9,2)),)</f>
        <v/>
      </c>
      <c r="B1093" s="56" t="str">
        <f>Transactions!$C1093</f>
        <v/>
      </c>
      <c r="C1093" s="51" t="str">
        <f t="array" ref="C1093">IFERROR(INDEX(Portfolio!$B:$B, MATCH($B1093, Portfolio!$A:$A, 0)),Transactions!$B1093)</f>
        <v/>
      </c>
      <c r="D1093" s="51" t="str">
        <f>IF($B1093&lt;&gt;"",Transactions!$E1093*1,)</f>
        <v/>
      </c>
      <c r="E1093" s="51" t="str">
        <f>IF($B1093&lt;&gt;"",Transactions!$F1093*1,)</f>
        <v/>
      </c>
      <c r="F1093" s="42" t="str">
        <f>IF(Transactions!$G1093&lt;&gt;"",Transactions!$H1093&amp;" "&amp;Transactions!$G1093,)</f>
        <v/>
      </c>
    </row>
    <row r="1094">
      <c r="A1094" s="55" t="str">
        <f>IF(Transactions!$B1094&lt;&gt;"",DATE(LEFT(Transactions!$B1094,4),MID(Transactions!$B1094,6,2),MID(Transactions!$B1094,9,2)),)</f>
        <v/>
      </c>
      <c r="B1094" s="56" t="str">
        <f>Transactions!$C1094</f>
        <v/>
      </c>
      <c r="C1094" s="51" t="str">
        <f t="array" ref="C1094">IFERROR(INDEX(Portfolio!$B:$B, MATCH($B1094, Portfolio!$A:$A, 0)),Transactions!$B1094)</f>
        <v/>
      </c>
      <c r="D1094" s="51" t="str">
        <f>IF($B1094&lt;&gt;"",Transactions!$E1094*1,)</f>
        <v/>
      </c>
      <c r="E1094" s="51" t="str">
        <f>IF($B1094&lt;&gt;"",Transactions!$F1094*1,)</f>
        <v/>
      </c>
      <c r="F1094" s="42" t="str">
        <f>IF(Transactions!$G1094&lt;&gt;"",Transactions!$H1094&amp;" "&amp;Transactions!$G1094,)</f>
        <v/>
      </c>
    </row>
    <row r="1095">
      <c r="A1095" s="55" t="str">
        <f>IF(Transactions!$B1095&lt;&gt;"",DATE(LEFT(Transactions!$B1095,4),MID(Transactions!$B1095,6,2),MID(Transactions!$B1095,9,2)),)</f>
        <v/>
      </c>
      <c r="B1095" s="56" t="str">
        <f>Transactions!$C1095</f>
        <v/>
      </c>
      <c r="C1095" s="51" t="str">
        <f t="array" ref="C1095">IFERROR(INDEX(Portfolio!$B:$B, MATCH($B1095, Portfolio!$A:$A, 0)),Transactions!$B1095)</f>
        <v/>
      </c>
      <c r="D1095" s="51" t="str">
        <f>IF($B1095&lt;&gt;"",Transactions!$E1095*1,)</f>
        <v/>
      </c>
      <c r="E1095" s="51" t="str">
        <f>IF($B1095&lt;&gt;"",Transactions!$F1095*1,)</f>
        <v/>
      </c>
      <c r="F1095" s="42" t="str">
        <f>IF(Transactions!$G1095&lt;&gt;"",Transactions!$H1095&amp;" "&amp;Transactions!$G1095,)</f>
        <v/>
      </c>
    </row>
    <row r="1096">
      <c r="A1096" s="55" t="str">
        <f>IF(Transactions!$B1096&lt;&gt;"",DATE(LEFT(Transactions!$B1096,4),MID(Transactions!$B1096,6,2),MID(Transactions!$B1096,9,2)),)</f>
        <v/>
      </c>
      <c r="B1096" s="56" t="str">
        <f>Transactions!$C1096</f>
        <v/>
      </c>
      <c r="C1096" s="51" t="str">
        <f t="array" ref="C1096">IFERROR(INDEX(Portfolio!$B:$B, MATCH($B1096, Portfolio!$A:$A, 0)),Transactions!$B1096)</f>
        <v/>
      </c>
      <c r="D1096" s="51" t="str">
        <f>IF($B1096&lt;&gt;"",Transactions!$E1096*1,)</f>
        <v/>
      </c>
      <c r="E1096" s="51" t="str">
        <f>IF($B1096&lt;&gt;"",Transactions!$F1096*1,)</f>
        <v/>
      </c>
      <c r="F1096" s="42" t="str">
        <f>IF(Transactions!$G1096&lt;&gt;"",Transactions!$H1096&amp;" "&amp;Transactions!$G1096,)</f>
        <v/>
      </c>
    </row>
    <row r="1097">
      <c r="A1097" s="55" t="str">
        <f>IF(Transactions!$B1097&lt;&gt;"",DATE(LEFT(Transactions!$B1097,4),MID(Transactions!$B1097,6,2),MID(Transactions!$B1097,9,2)),)</f>
        <v/>
      </c>
      <c r="B1097" s="56" t="str">
        <f>Transactions!$C1097</f>
        <v/>
      </c>
      <c r="C1097" s="51" t="str">
        <f t="array" ref="C1097">IFERROR(INDEX(Portfolio!$B:$B, MATCH($B1097, Portfolio!$A:$A, 0)),Transactions!$B1097)</f>
        <v/>
      </c>
      <c r="D1097" s="51" t="str">
        <f>IF($B1097&lt;&gt;"",Transactions!$E1097*1,)</f>
        <v/>
      </c>
      <c r="E1097" s="51" t="str">
        <f>IF($B1097&lt;&gt;"",Transactions!$F1097*1,)</f>
        <v/>
      </c>
      <c r="F1097" s="42" t="str">
        <f>IF(Transactions!$G1097&lt;&gt;"",Transactions!$H1097&amp;" "&amp;Transactions!$G1097,)</f>
        <v/>
      </c>
    </row>
    <row r="1098">
      <c r="A1098" s="55" t="str">
        <f>IF(Transactions!$B1098&lt;&gt;"",DATE(LEFT(Transactions!$B1098,4),MID(Transactions!$B1098,6,2),MID(Transactions!$B1098,9,2)),)</f>
        <v/>
      </c>
      <c r="B1098" s="56" t="str">
        <f>Transactions!$C1098</f>
        <v/>
      </c>
      <c r="C1098" s="51" t="str">
        <f t="array" ref="C1098">IFERROR(INDEX(Portfolio!$B:$B, MATCH($B1098, Portfolio!$A:$A, 0)),Transactions!$B1098)</f>
        <v/>
      </c>
      <c r="D1098" s="51" t="str">
        <f>IF($B1098&lt;&gt;"",Transactions!$E1098*1,)</f>
        <v/>
      </c>
      <c r="E1098" s="51" t="str">
        <f>IF($B1098&lt;&gt;"",Transactions!$F1098*1,)</f>
        <v/>
      </c>
      <c r="F1098" s="42" t="str">
        <f>IF(Transactions!$G1098&lt;&gt;"",Transactions!$H1098&amp;" "&amp;Transactions!$G1098,)</f>
        <v/>
      </c>
    </row>
    <row r="1099">
      <c r="A1099" s="55" t="str">
        <f>IF(Transactions!$B1099&lt;&gt;"",DATE(LEFT(Transactions!$B1099,4),MID(Transactions!$B1099,6,2),MID(Transactions!$B1099,9,2)),)</f>
        <v/>
      </c>
      <c r="B1099" s="56" t="str">
        <f>Transactions!$C1099</f>
        <v/>
      </c>
      <c r="C1099" s="51" t="str">
        <f t="array" ref="C1099">IFERROR(INDEX(Portfolio!$B:$B, MATCH($B1099, Portfolio!$A:$A, 0)),Transactions!$B1099)</f>
        <v/>
      </c>
      <c r="D1099" s="51" t="str">
        <f>IF($B1099&lt;&gt;"",Transactions!$E1099*1,)</f>
        <v/>
      </c>
      <c r="E1099" s="51" t="str">
        <f>IF($B1099&lt;&gt;"",Transactions!$F1099*1,)</f>
        <v/>
      </c>
      <c r="F1099" s="42" t="str">
        <f>IF(Transactions!$G1099&lt;&gt;"",Transactions!$H1099&amp;" "&amp;Transactions!$G1099,)</f>
        <v/>
      </c>
    </row>
    <row r="1100">
      <c r="A1100" s="55" t="str">
        <f>IF(Transactions!$B1100&lt;&gt;"",DATE(LEFT(Transactions!$B1100,4),MID(Transactions!$B1100,6,2),MID(Transactions!$B1100,9,2)),)</f>
        <v/>
      </c>
      <c r="B1100" s="56" t="str">
        <f>Transactions!$C1100</f>
        <v/>
      </c>
      <c r="C1100" s="51" t="str">
        <f t="array" ref="C1100">IFERROR(INDEX(Portfolio!$B:$B, MATCH($B1100, Portfolio!$A:$A, 0)),Transactions!$B1100)</f>
        <v/>
      </c>
      <c r="D1100" s="51" t="str">
        <f>IF($B1100&lt;&gt;"",Transactions!$E1100*1,)</f>
        <v/>
      </c>
      <c r="E1100" s="51" t="str">
        <f>IF($B1100&lt;&gt;"",Transactions!$F1100*1,)</f>
        <v/>
      </c>
      <c r="F1100" s="42" t="str">
        <f>IF(Transactions!$G1100&lt;&gt;"",Transactions!$H1100&amp;" "&amp;Transactions!$G1100,)</f>
        <v/>
      </c>
    </row>
    <row r="1101">
      <c r="A1101" s="55" t="str">
        <f>IF(Transactions!$B1101&lt;&gt;"",DATE(LEFT(Transactions!$B1101,4),MID(Transactions!$B1101,6,2),MID(Transactions!$B1101,9,2)),)</f>
        <v/>
      </c>
      <c r="B1101" s="56" t="str">
        <f>Transactions!$C1101</f>
        <v/>
      </c>
      <c r="C1101" s="51" t="str">
        <f t="array" ref="C1101">IFERROR(INDEX(Portfolio!$B:$B, MATCH($B1101, Portfolio!$A:$A, 0)),Transactions!$B1101)</f>
        <v/>
      </c>
      <c r="D1101" s="51" t="str">
        <f>IF($B1101&lt;&gt;"",Transactions!$E1101*1,)</f>
        <v/>
      </c>
      <c r="E1101" s="51" t="str">
        <f>IF($B1101&lt;&gt;"",Transactions!$F1101*1,)</f>
        <v/>
      </c>
      <c r="F1101" s="42" t="str">
        <f>IF(Transactions!$G1101&lt;&gt;"",Transactions!$H1101&amp;" "&amp;Transactions!$G1101,)</f>
        <v/>
      </c>
    </row>
    <row r="1102">
      <c r="A1102" s="55" t="str">
        <f>IF(Transactions!$B1102&lt;&gt;"",DATE(LEFT(Transactions!$B1102,4),MID(Transactions!$B1102,6,2),MID(Transactions!$B1102,9,2)),)</f>
        <v/>
      </c>
      <c r="B1102" s="56" t="str">
        <f>Transactions!$C1102</f>
        <v/>
      </c>
      <c r="C1102" s="51" t="str">
        <f t="array" ref="C1102">IFERROR(INDEX(Portfolio!$B:$B, MATCH($B1102, Portfolio!$A:$A, 0)),Transactions!$B1102)</f>
        <v/>
      </c>
      <c r="D1102" s="51" t="str">
        <f>IF($B1102&lt;&gt;"",Transactions!$E1102*1,)</f>
        <v/>
      </c>
      <c r="E1102" s="51" t="str">
        <f>IF($B1102&lt;&gt;"",Transactions!$F1102*1,)</f>
        <v/>
      </c>
      <c r="F1102" s="42" t="str">
        <f>IF(Transactions!$G1102&lt;&gt;"",Transactions!$H1102&amp;" "&amp;Transactions!$G1102,)</f>
        <v/>
      </c>
    </row>
    <row r="1103">
      <c r="A1103" s="55" t="str">
        <f>IF(Transactions!$B1103&lt;&gt;"",DATE(LEFT(Transactions!$B1103,4),MID(Transactions!$B1103,6,2),MID(Transactions!$B1103,9,2)),)</f>
        <v/>
      </c>
      <c r="B1103" s="56" t="str">
        <f>Transactions!$C1103</f>
        <v/>
      </c>
      <c r="C1103" s="51" t="str">
        <f t="array" ref="C1103">IFERROR(INDEX(Portfolio!$B:$B, MATCH($B1103, Portfolio!$A:$A, 0)),Transactions!$B1103)</f>
        <v/>
      </c>
      <c r="D1103" s="51" t="str">
        <f>IF($B1103&lt;&gt;"",Transactions!$E1103*1,)</f>
        <v/>
      </c>
      <c r="E1103" s="51" t="str">
        <f>IF($B1103&lt;&gt;"",Transactions!$F1103*1,)</f>
        <v/>
      </c>
      <c r="F1103" s="42" t="str">
        <f>IF(Transactions!$G1103&lt;&gt;"",Transactions!$H1103&amp;" "&amp;Transactions!$G1103,)</f>
        <v/>
      </c>
    </row>
    <row r="1104">
      <c r="A1104" s="55" t="str">
        <f>IF(Transactions!$B1104&lt;&gt;"",DATE(LEFT(Transactions!$B1104,4),MID(Transactions!$B1104,6,2),MID(Transactions!$B1104,9,2)),)</f>
        <v/>
      </c>
      <c r="B1104" s="56" t="str">
        <f>Transactions!$C1104</f>
        <v/>
      </c>
      <c r="C1104" s="51" t="str">
        <f t="array" ref="C1104">IFERROR(INDEX(Portfolio!$B:$B, MATCH($B1104, Portfolio!$A:$A, 0)),Transactions!$B1104)</f>
        <v/>
      </c>
      <c r="D1104" s="51" t="str">
        <f>IF($B1104&lt;&gt;"",Transactions!$E1104*1,)</f>
        <v/>
      </c>
      <c r="E1104" s="51" t="str">
        <f>IF($B1104&lt;&gt;"",Transactions!$F1104*1,)</f>
        <v/>
      </c>
      <c r="F1104" s="42" t="str">
        <f>IF(Transactions!$G1104&lt;&gt;"",Transactions!$H1104&amp;" "&amp;Transactions!$G1104,)</f>
        <v/>
      </c>
    </row>
    <row r="1105">
      <c r="A1105" s="55" t="str">
        <f>IF(Transactions!$B1105&lt;&gt;"",DATE(LEFT(Transactions!$B1105,4),MID(Transactions!$B1105,6,2),MID(Transactions!$B1105,9,2)),)</f>
        <v/>
      </c>
      <c r="B1105" s="56" t="str">
        <f>Transactions!$C1105</f>
        <v/>
      </c>
      <c r="C1105" s="51" t="str">
        <f t="array" ref="C1105">IFERROR(INDEX(Portfolio!$B:$B, MATCH($B1105, Portfolio!$A:$A, 0)),Transactions!$B1105)</f>
        <v/>
      </c>
      <c r="D1105" s="51" t="str">
        <f>IF($B1105&lt;&gt;"",Transactions!$E1105*1,)</f>
        <v/>
      </c>
      <c r="E1105" s="51" t="str">
        <f>IF($B1105&lt;&gt;"",Transactions!$F1105*1,)</f>
        <v/>
      </c>
      <c r="F1105" s="42" t="str">
        <f>IF(Transactions!$G1105&lt;&gt;"",Transactions!$H1105&amp;" "&amp;Transactions!$G1105,)</f>
        <v/>
      </c>
    </row>
    <row r="1106">
      <c r="A1106" s="55" t="str">
        <f>IF(Transactions!$B1106&lt;&gt;"",DATE(LEFT(Transactions!$B1106,4),MID(Transactions!$B1106,6,2),MID(Transactions!$B1106,9,2)),)</f>
        <v/>
      </c>
      <c r="B1106" s="56" t="str">
        <f>Transactions!$C1106</f>
        <v/>
      </c>
      <c r="C1106" s="51" t="str">
        <f t="array" ref="C1106">IFERROR(INDEX(Portfolio!$B:$B, MATCH($B1106, Portfolio!$A:$A, 0)),Transactions!$B1106)</f>
        <v/>
      </c>
      <c r="D1106" s="51" t="str">
        <f>IF($B1106&lt;&gt;"",Transactions!$E1106*1,)</f>
        <v/>
      </c>
      <c r="E1106" s="51" t="str">
        <f>IF($B1106&lt;&gt;"",Transactions!$F1106*1,)</f>
        <v/>
      </c>
      <c r="F1106" s="42" t="str">
        <f>IF(Transactions!$G1106&lt;&gt;"",Transactions!$H1106&amp;" "&amp;Transactions!$G1106,)</f>
        <v/>
      </c>
    </row>
    <row r="1107">
      <c r="A1107" s="55" t="str">
        <f>IF(Transactions!$B1107&lt;&gt;"",DATE(LEFT(Transactions!$B1107,4),MID(Transactions!$B1107,6,2),MID(Transactions!$B1107,9,2)),)</f>
        <v/>
      </c>
      <c r="B1107" s="56" t="str">
        <f>Transactions!$C1107</f>
        <v/>
      </c>
      <c r="C1107" s="51" t="str">
        <f t="array" ref="C1107">IFERROR(INDEX(Portfolio!$B:$B, MATCH($B1107, Portfolio!$A:$A, 0)),Transactions!$B1107)</f>
        <v/>
      </c>
      <c r="D1107" s="51" t="str">
        <f>IF($B1107&lt;&gt;"",Transactions!$E1107*1,)</f>
        <v/>
      </c>
      <c r="E1107" s="51" t="str">
        <f>IF($B1107&lt;&gt;"",Transactions!$F1107*1,)</f>
        <v/>
      </c>
      <c r="F1107" s="42" t="str">
        <f>IF(Transactions!$G1107&lt;&gt;"",Transactions!$H1107&amp;" "&amp;Transactions!$G1107,)</f>
        <v/>
      </c>
    </row>
    <row r="1108">
      <c r="A1108" s="55" t="str">
        <f>IF(Transactions!$B1108&lt;&gt;"",DATE(LEFT(Transactions!$B1108,4),MID(Transactions!$B1108,6,2),MID(Transactions!$B1108,9,2)),)</f>
        <v/>
      </c>
      <c r="B1108" s="56" t="str">
        <f>Transactions!$C1108</f>
        <v/>
      </c>
      <c r="C1108" s="51" t="str">
        <f t="array" ref="C1108">IFERROR(INDEX(Portfolio!$B:$B, MATCH($B1108, Portfolio!$A:$A, 0)),Transactions!$B1108)</f>
        <v/>
      </c>
      <c r="D1108" s="51" t="str">
        <f>IF($B1108&lt;&gt;"",Transactions!$E1108*1,)</f>
        <v/>
      </c>
      <c r="E1108" s="51" t="str">
        <f>IF($B1108&lt;&gt;"",Transactions!$F1108*1,)</f>
        <v/>
      </c>
      <c r="F1108" s="42" t="str">
        <f>IF(Transactions!$G1108&lt;&gt;"",Transactions!$H1108&amp;" "&amp;Transactions!$G1108,)</f>
        <v/>
      </c>
    </row>
    <row r="1109">
      <c r="A1109" s="55" t="str">
        <f>IF(Transactions!$B1109&lt;&gt;"",DATE(LEFT(Transactions!$B1109,4),MID(Transactions!$B1109,6,2),MID(Transactions!$B1109,9,2)),)</f>
        <v/>
      </c>
      <c r="B1109" s="56" t="str">
        <f>Transactions!$C1109</f>
        <v/>
      </c>
      <c r="C1109" s="51" t="str">
        <f t="array" ref="C1109">IFERROR(INDEX(Portfolio!$B:$B, MATCH($B1109, Portfolio!$A:$A, 0)),Transactions!$B1109)</f>
        <v/>
      </c>
      <c r="D1109" s="51" t="str">
        <f>IF($B1109&lt;&gt;"",Transactions!$E1109*1,)</f>
        <v/>
      </c>
      <c r="E1109" s="51" t="str">
        <f>IF($B1109&lt;&gt;"",Transactions!$F1109*1,)</f>
        <v/>
      </c>
      <c r="F1109" s="42" t="str">
        <f>IF(Transactions!$G1109&lt;&gt;"",Transactions!$H1109&amp;" "&amp;Transactions!$G1109,)</f>
        <v/>
      </c>
    </row>
    <row r="1110">
      <c r="A1110" s="55" t="str">
        <f>IF(Transactions!$B1110&lt;&gt;"",DATE(LEFT(Transactions!$B1110,4),MID(Transactions!$B1110,6,2),MID(Transactions!$B1110,9,2)),)</f>
        <v/>
      </c>
      <c r="B1110" s="56" t="str">
        <f>Transactions!$C1110</f>
        <v/>
      </c>
      <c r="C1110" s="51" t="str">
        <f t="array" ref="C1110">IFERROR(INDEX(Portfolio!$B:$B, MATCH($B1110, Portfolio!$A:$A, 0)),Transactions!$B1110)</f>
        <v/>
      </c>
      <c r="D1110" s="51" t="str">
        <f>IF($B1110&lt;&gt;"",Transactions!$E1110*1,)</f>
        <v/>
      </c>
      <c r="E1110" s="51" t="str">
        <f>IF($B1110&lt;&gt;"",Transactions!$F1110*1,)</f>
        <v/>
      </c>
      <c r="F1110" s="42" t="str">
        <f>IF(Transactions!$G1110&lt;&gt;"",Transactions!$H1110&amp;" "&amp;Transactions!$G1110,)</f>
        <v/>
      </c>
    </row>
    <row r="1111">
      <c r="A1111" s="55" t="str">
        <f>IF(Transactions!$B1111&lt;&gt;"",DATE(LEFT(Transactions!$B1111,4),MID(Transactions!$B1111,6,2),MID(Transactions!$B1111,9,2)),)</f>
        <v/>
      </c>
      <c r="B1111" s="56" t="str">
        <f>Transactions!$C1111</f>
        <v/>
      </c>
      <c r="C1111" s="51" t="str">
        <f t="array" ref="C1111">IFERROR(INDEX(Portfolio!$B:$B, MATCH($B1111, Portfolio!$A:$A, 0)),Transactions!$B1111)</f>
        <v/>
      </c>
      <c r="D1111" s="51" t="str">
        <f>IF($B1111&lt;&gt;"",Transactions!$E1111*1,)</f>
        <v/>
      </c>
      <c r="E1111" s="51" t="str">
        <f>IF($B1111&lt;&gt;"",Transactions!$F1111*1,)</f>
        <v/>
      </c>
      <c r="F1111" s="42" t="str">
        <f>IF(Transactions!$G1111&lt;&gt;"",Transactions!$H1111&amp;" "&amp;Transactions!$G1111,)</f>
        <v/>
      </c>
    </row>
    <row r="1112">
      <c r="A1112" s="55" t="str">
        <f>IF(Transactions!$B1112&lt;&gt;"",DATE(LEFT(Transactions!$B1112,4),MID(Transactions!$B1112,6,2),MID(Transactions!$B1112,9,2)),)</f>
        <v/>
      </c>
      <c r="B1112" s="56" t="str">
        <f>Transactions!$C1112</f>
        <v/>
      </c>
      <c r="C1112" s="51" t="str">
        <f t="array" ref="C1112">IFERROR(INDEX(Portfolio!$B:$B, MATCH($B1112, Portfolio!$A:$A, 0)),Transactions!$B1112)</f>
        <v/>
      </c>
      <c r="D1112" s="51" t="str">
        <f>IF($B1112&lt;&gt;"",Transactions!$E1112*1,)</f>
        <v/>
      </c>
      <c r="E1112" s="51" t="str">
        <f>IF($B1112&lt;&gt;"",Transactions!$F1112*1,)</f>
        <v/>
      </c>
      <c r="F1112" s="42" t="str">
        <f>IF(Transactions!$G1112&lt;&gt;"",Transactions!$H1112&amp;" "&amp;Transactions!$G1112,)</f>
        <v/>
      </c>
    </row>
    <row r="1113">
      <c r="A1113" s="55" t="str">
        <f>IF(Transactions!$B1113&lt;&gt;"",DATE(LEFT(Transactions!$B1113,4),MID(Transactions!$B1113,6,2),MID(Transactions!$B1113,9,2)),)</f>
        <v/>
      </c>
      <c r="B1113" s="56" t="str">
        <f>Transactions!$C1113</f>
        <v/>
      </c>
      <c r="C1113" s="51" t="str">
        <f t="array" ref="C1113">IFERROR(INDEX(Portfolio!$B:$B, MATCH($B1113, Portfolio!$A:$A, 0)),Transactions!$B1113)</f>
        <v/>
      </c>
      <c r="D1113" s="51" t="str">
        <f>IF($B1113&lt;&gt;"",Transactions!$E1113*1,)</f>
        <v/>
      </c>
      <c r="E1113" s="51" t="str">
        <f>IF($B1113&lt;&gt;"",Transactions!$F1113*1,)</f>
        <v/>
      </c>
      <c r="F1113" s="42" t="str">
        <f>IF(Transactions!$G1113&lt;&gt;"",Transactions!$H1113&amp;" "&amp;Transactions!$G1113,)</f>
        <v/>
      </c>
    </row>
    <row r="1114">
      <c r="A1114" s="55" t="str">
        <f>IF(Transactions!$B1114&lt;&gt;"",DATE(LEFT(Transactions!$B1114,4),MID(Transactions!$B1114,6,2),MID(Transactions!$B1114,9,2)),)</f>
        <v/>
      </c>
      <c r="B1114" s="56" t="str">
        <f>Transactions!$C1114</f>
        <v/>
      </c>
      <c r="C1114" s="51" t="str">
        <f t="array" ref="C1114">IFERROR(INDEX(Portfolio!$B:$B, MATCH($B1114, Portfolio!$A:$A, 0)),Transactions!$B1114)</f>
        <v/>
      </c>
      <c r="D1114" s="51" t="str">
        <f>IF($B1114&lt;&gt;"",Transactions!$E1114*1,)</f>
        <v/>
      </c>
      <c r="E1114" s="51" t="str">
        <f>IF($B1114&lt;&gt;"",Transactions!$F1114*1,)</f>
        <v/>
      </c>
      <c r="F1114" s="42" t="str">
        <f>IF(Transactions!$G1114&lt;&gt;"",Transactions!$H1114&amp;" "&amp;Transactions!$G1114,)</f>
        <v/>
      </c>
    </row>
    <row r="1115">
      <c r="A1115" s="55" t="str">
        <f>IF(Transactions!$B1115&lt;&gt;"",DATE(LEFT(Transactions!$B1115,4),MID(Transactions!$B1115,6,2),MID(Transactions!$B1115,9,2)),)</f>
        <v/>
      </c>
      <c r="B1115" s="56" t="str">
        <f>Transactions!$C1115</f>
        <v/>
      </c>
      <c r="C1115" s="51" t="str">
        <f t="array" ref="C1115">IFERROR(INDEX(Portfolio!$B:$B, MATCH($B1115, Portfolio!$A:$A, 0)),Transactions!$B1115)</f>
        <v/>
      </c>
      <c r="D1115" s="51" t="str">
        <f>IF($B1115&lt;&gt;"",Transactions!$E1115*1,)</f>
        <v/>
      </c>
      <c r="E1115" s="51" t="str">
        <f>IF($B1115&lt;&gt;"",Transactions!$F1115*1,)</f>
        <v/>
      </c>
      <c r="F1115" s="42" t="str">
        <f>IF(Transactions!$G1115&lt;&gt;"",Transactions!$H1115&amp;" "&amp;Transactions!$G1115,)</f>
        <v/>
      </c>
    </row>
    <row r="1116">
      <c r="A1116" s="55" t="str">
        <f>IF(Transactions!$B1116&lt;&gt;"",DATE(LEFT(Transactions!$B1116,4),MID(Transactions!$B1116,6,2),MID(Transactions!$B1116,9,2)),)</f>
        <v/>
      </c>
      <c r="B1116" s="56" t="str">
        <f>Transactions!$C1116</f>
        <v/>
      </c>
      <c r="C1116" s="51" t="str">
        <f t="array" ref="C1116">IFERROR(INDEX(Portfolio!$B:$B, MATCH($B1116, Portfolio!$A:$A, 0)),Transactions!$B1116)</f>
        <v/>
      </c>
      <c r="D1116" s="51" t="str">
        <f>IF($B1116&lt;&gt;"",Transactions!$E1116*1,)</f>
        <v/>
      </c>
      <c r="E1116" s="51" t="str">
        <f>IF($B1116&lt;&gt;"",Transactions!$F1116*1,)</f>
        <v/>
      </c>
      <c r="F1116" s="42" t="str">
        <f>IF(Transactions!$G1116&lt;&gt;"",Transactions!$H1116&amp;" "&amp;Transactions!$G1116,)</f>
        <v/>
      </c>
    </row>
    <row r="1117">
      <c r="A1117" s="55" t="str">
        <f>IF(Transactions!$B1117&lt;&gt;"",DATE(LEFT(Transactions!$B1117,4),MID(Transactions!$B1117,6,2),MID(Transactions!$B1117,9,2)),)</f>
        <v/>
      </c>
      <c r="B1117" s="56" t="str">
        <f>Transactions!$C1117</f>
        <v/>
      </c>
      <c r="C1117" s="51" t="str">
        <f t="array" ref="C1117">IFERROR(INDEX(Portfolio!$B:$B, MATCH($B1117, Portfolio!$A:$A, 0)),Transactions!$B1117)</f>
        <v/>
      </c>
      <c r="D1117" s="51" t="str">
        <f>IF($B1117&lt;&gt;"",Transactions!$E1117*1,)</f>
        <v/>
      </c>
      <c r="E1117" s="51" t="str">
        <f>IF($B1117&lt;&gt;"",Transactions!$F1117*1,)</f>
        <v/>
      </c>
      <c r="F1117" s="42" t="str">
        <f>IF(Transactions!$G1117&lt;&gt;"",Transactions!$H1117&amp;" "&amp;Transactions!$G1117,)</f>
        <v/>
      </c>
    </row>
    <row r="1118">
      <c r="A1118" s="55" t="str">
        <f>IF(Transactions!$B1118&lt;&gt;"",DATE(LEFT(Transactions!$B1118,4),MID(Transactions!$B1118,6,2),MID(Transactions!$B1118,9,2)),)</f>
        <v/>
      </c>
      <c r="B1118" s="56" t="str">
        <f>Transactions!$C1118</f>
        <v/>
      </c>
      <c r="C1118" s="51" t="str">
        <f t="array" ref="C1118">IFERROR(INDEX(Portfolio!$B:$B, MATCH($B1118, Portfolio!$A:$A, 0)),Transactions!$B1118)</f>
        <v/>
      </c>
      <c r="D1118" s="51" t="str">
        <f>IF($B1118&lt;&gt;"",Transactions!$E1118*1,)</f>
        <v/>
      </c>
      <c r="E1118" s="51" t="str">
        <f>IF($B1118&lt;&gt;"",Transactions!$F1118*1,)</f>
        <v/>
      </c>
      <c r="F1118" s="42" t="str">
        <f>IF(Transactions!$G1118&lt;&gt;"",Transactions!$H1118&amp;" "&amp;Transactions!$G1118,)</f>
        <v/>
      </c>
    </row>
    <row r="1119">
      <c r="A1119" s="55" t="str">
        <f>IF(Transactions!$B1119&lt;&gt;"",DATE(LEFT(Transactions!$B1119,4),MID(Transactions!$B1119,6,2),MID(Transactions!$B1119,9,2)),)</f>
        <v/>
      </c>
      <c r="B1119" s="56" t="str">
        <f>Transactions!$C1119</f>
        <v/>
      </c>
      <c r="C1119" s="51" t="str">
        <f t="array" ref="C1119">IFERROR(INDEX(Portfolio!$B:$B, MATCH($B1119, Portfolio!$A:$A, 0)),Transactions!$B1119)</f>
        <v/>
      </c>
      <c r="D1119" s="51" t="str">
        <f>IF($B1119&lt;&gt;"",Transactions!$E1119*1,)</f>
        <v/>
      </c>
      <c r="E1119" s="51" t="str">
        <f>IF($B1119&lt;&gt;"",Transactions!$F1119*1,)</f>
        <v/>
      </c>
      <c r="F1119" s="42" t="str">
        <f>IF(Transactions!$G1119&lt;&gt;"",Transactions!$H1119&amp;" "&amp;Transactions!$G1119,)</f>
        <v/>
      </c>
    </row>
    <row r="1120">
      <c r="A1120" s="55" t="str">
        <f>IF(Transactions!$B1120&lt;&gt;"",DATE(LEFT(Transactions!$B1120,4),MID(Transactions!$B1120,6,2),MID(Transactions!$B1120,9,2)),)</f>
        <v/>
      </c>
      <c r="B1120" s="56" t="str">
        <f>Transactions!$C1120</f>
        <v/>
      </c>
      <c r="C1120" s="51" t="str">
        <f t="array" ref="C1120">IFERROR(INDEX(Portfolio!$B:$B, MATCH($B1120, Portfolio!$A:$A, 0)),Transactions!$B1120)</f>
        <v/>
      </c>
      <c r="D1120" s="51" t="str">
        <f>IF($B1120&lt;&gt;"",Transactions!$E1120*1,)</f>
        <v/>
      </c>
      <c r="E1120" s="51" t="str">
        <f>IF($B1120&lt;&gt;"",Transactions!$F1120*1,)</f>
        <v/>
      </c>
      <c r="F1120" s="42" t="str">
        <f>IF(Transactions!$G1120&lt;&gt;"",Transactions!$H1120&amp;" "&amp;Transactions!$G1120,)</f>
        <v/>
      </c>
    </row>
    <row r="1121">
      <c r="A1121" s="55" t="str">
        <f>IF(Transactions!$B1121&lt;&gt;"",DATE(LEFT(Transactions!$B1121,4),MID(Transactions!$B1121,6,2),MID(Transactions!$B1121,9,2)),)</f>
        <v/>
      </c>
      <c r="B1121" s="56" t="str">
        <f>Transactions!$C1121</f>
        <v/>
      </c>
      <c r="C1121" s="51" t="str">
        <f t="array" ref="C1121">IFERROR(INDEX(Portfolio!$B:$B, MATCH($B1121, Portfolio!$A:$A, 0)),Transactions!$B1121)</f>
        <v/>
      </c>
      <c r="D1121" s="51" t="str">
        <f>IF($B1121&lt;&gt;"",Transactions!$E1121*1,)</f>
        <v/>
      </c>
      <c r="E1121" s="51" t="str">
        <f>IF($B1121&lt;&gt;"",Transactions!$F1121*1,)</f>
        <v/>
      </c>
      <c r="F1121" s="42" t="str">
        <f>IF(Transactions!$G1121&lt;&gt;"",Transactions!$H1121&amp;" "&amp;Transactions!$G1121,)</f>
        <v/>
      </c>
    </row>
    <row r="1122">
      <c r="A1122" s="55" t="str">
        <f>IF(Transactions!$B1122&lt;&gt;"",DATE(LEFT(Transactions!$B1122,4),MID(Transactions!$B1122,6,2),MID(Transactions!$B1122,9,2)),)</f>
        <v/>
      </c>
      <c r="B1122" s="56" t="str">
        <f>Transactions!$C1122</f>
        <v/>
      </c>
      <c r="C1122" s="51" t="str">
        <f t="array" ref="C1122">IFERROR(INDEX(Portfolio!$B:$B, MATCH($B1122, Portfolio!$A:$A, 0)),Transactions!$B1122)</f>
        <v/>
      </c>
      <c r="D1122" s="51" t="str">
        <f>IF($B1122&lt;&gt;"",Transactions!$E1122*1,)</f>
        <v/>
      </c>
      <c r="E1122" s="51" t="str">
        <f>IF($B1122&lt;&gt;"",Transactions!$F1122*1,)</f>
        <v/>
      </c>
      <c r="F1122" s="42" t="str">
        <f>IF(Transactions!$G1122&lt;&gt;"",Transactions!$H1122&amp;" "&amp;Transactions!$G1122,)</f>
        <v/>
      </c>
    </row>
    <row r="1123">
      <c r="A1123" s="55" t="str">
        <f>IF(Transactions!$B1123&lt;&gt;"",DATE(LEFT(Transactions!$B1123,4),MID(Transactions!$B1123,6,2),MID(Transactions!$B1123,9,2)),)</f>
        <v/>
      </c>
      <c r="B1123" s="56" t="str">
        <f>Transactions!$C1123</f>
        <v/>
      </c>
      <c r="C1123" s="51" t="str">
        <f t="array" ref="C1123">IFERROR(INDEX(Portfolio!$B:$B, MATCH($B1123, Portfolio!$A:$A, 0)),Transactions!$B1123)</f>
        <v/>
      </c>
      <c r="D1123" s="51" t="str">
        <f>IF($B1123&lt;&gt;"",Transactions!$E1123*1,)</f>
        <v/>
      </c>
      <c r="E1123" s="51" t="str">
        <f>IF($B1123&lt;&gt;"",Transactions!$F1123*1,)</f>
        <v/>
      </c>
      <c r="F1123" s="42" t="str">
        <f>IF(Transactions!$G1123&lt;&gt;"",Transactions!$H1123&amp;" "&amp;Transactions!$G1123,)</f>
        <v/>
      </c>
    </row>
    <row r="1124">
      <c r="A1124" s="55" t="str">
        <f>IF(Transactions!$B1124&lt;&gt;"",DATE(LEFT(Transactions!$B1124,4),MID(Transactions!$B1124,6,2),MID(Transactions!$B1124,9,2)),)</f>
        <v/>
      </c>
      <c r="B1124" s="56" t="str">
        <f>Transactions!$C1124</f>
        <v/>
      </c>
      <c r="C1124" s="51" t="str">
        <f t="array" ref="C1124">IFERROR(INDEX(Portfolio!$B:$B, MATCH($B1124, Portfolio!$A:$A, 0)),Transactions!$B1124)</f>
        <v/>
      </c>
      <c r="D1124" s="51" t="str">
        <f>IF($B1124&lt;&gt;"",Transactions!$E1124*1,)</f>
        <v/>
      </c>
      <c r="E1124" s="51" t="str">
        <f>IF($B1124&lt;&gt;"",Transactions!$F1124*1,)</f>
        <v/>
      </c>
      <c r="F1124" s="42" t="str">
        <f>IF(Transactions!$G1124&lt;&gt;"",Transactions!$H1124&amp;" "&amp;Transactions!$G1124,)</f>
        <v/>
      </c>
    </row>
    <row r="1125">
      <c r="A1125" s="55" t="str">
        <f>IF(Transactions!$B1125&lt;&gt;"",DATE(LEFT(Transactions!$B1125,4),MID(Transactions!$B1125,6,2),MID(Transactions!$B1125,9,2)),)</f>
        <v/>
      </c>
      <c r="B1125" s="56" t="str">
        <f>Transactions!$C1125</f>
        <v/>
      </c>
      <c r="C1125" s="51" t="str">
        <f t="array" ref="C1125">IFERROR(INDEX(Portfolio!$B:$B, MATCH($B1125, Portfolio!$A:$A, 0)),Transactions!$B1125)</f>
        <v/>
      </c>
      <c r="D1125" s="51" t="str">
        <f>IF($B1125&lt;&gt;"",Transactions!$E1125*1,)</f>
        <v/>
      </c>
      <c r="E1125" s="51" t="str">
        <f>IF($B1125&lt;&gt;"",Transactions!$F1125*1,)</f>
        <v/>
      </c>
      <c r="F1125" s="42" t="str">
        <f>IF(Transactions!$G1125&lt;&gt;"",Transactions!$H1125&amp;" "&amp;Transactions!$G1125,)</f>
        <v/>
      </c>
    </row>
    <row r="1126">
      <c r="A1126" s="55" t="str">
        <f>IF(Transactions!$B1126&lt;&gt;"",DATE(LEFT(Transactions!$B1126,4),MID(Transactions!$B1126,6,2),MID(Transactions!$B1126,9,2)),)</f>
        <v/>
      </c>
      <c r="B1126" s="56" t="str">
        <f>Transactions!$C1126</f>
        <v/>
      </c>
      <c r="C1126" s="51" t="str">
        <f t="array" ref="C1126">IFERROR(INDEX(Portfolio!$B:$B, MATCH($B1126, Portfolio!$A:$A, 0)),Transactions!$B1126)</f>
        <v/>
      </c>
      <c r="D1126" s="51" t="str">
        <f>IF($B1126&lt;&gt;"",Transactions!$E1126*1,)</f>
        <v/>
      </c>
      <c r="E1126" s="51" t="str">
        <f>IF($B1126&lt;&gt;"",Transactions!$F1126*1,)</f>
        <v/>
      </c>
      <c r="F1126" s="42" t="str">
        <f>IF(Transactions!$G1126&lt;&gt;"",Transactions!$H1126&amp;" "&amp;Transactions!$G1126,)</f>
        <v/>
      </c>
    </row>
    <row r="1127">
      <c r="A1127" s="55" t="str">
        <f>IF(Transactions!$B1127&lt;&gt;"",DATE(LEFT(Transactions!$B1127,4),MID(Transactions!$B1127,6,2),MID(Transactions!$B1127,9,2)),)</f>
        <v/>
      </c>
      <c r="B1127" s="56" t="str">
        <f>Transactions!$C1127</f>
        <v/>
      </c>
      <c r="C1127" s="51" t="str">
        <f t="array" ref="C1127">IFERROR(INDEX(Portfolio!$B:$B, MATCH($B1127, Portfolio!$A:$A, 0)),Transactions!$B1127)</f>
        <v/>
      </c>
      <c r="D1127" s="51" t="str">
        <f>IF($B1127&lt;&gt;"",Transactions!$E1127*1,)</f>
        <v/>
      </c>
      <c r="E1127" s="51" t="str">
        <f>IF($B1127&lt;&gt;"",Transactions!$F1127*1,)</f>
        <v/>
      </c>
      <c r="F1127" s="42" t="str">
        <f>IF(Transactions!$G1127&lt;&gt;"",Transactions!$H1127&amp;" "&amp;Transactions!$G1127,)</f>
        <v/>
      </c>
    </row>
    <row r="1128">
      <c r="A1128" s="55" t="str">
        <f>IF(Transactions!$B1128&lt;&gt;"",DATE(LEFT(Transactions!$B1128,4),MID(Transactions!$B1128,6,2),MID(Transactions!$B1128,9,2)),)</f>
        <v/>
      </c>
      <c r="B1128" s="56" t="str">
        <f>Transactions!$C1128</f>
        <v/>
      </c>
      <c r="C1128" s="51" t="str">
        <f t="array" ref="C1128">IFERROR(INDEX(Portfolio!$B:$B, MATCH($B1128, Portfolio!$A:$A, 0)),Transactions!$B1128)</f>
        <v/>
      </c>
      <c r="D1128" s="51" t="str">
        <f>IF($B1128&lt;&gt;"",Transactions!$E1128*1,)</f>
        <v/>
      </c>
      <c r="E1128" s="51" t="str">
        <f>IF($B1128&lt;&gt;"",Transactions!$F1128*1,)</f>
        <v/>
      </c>
      <c r="F1128" s="42" t="str">
        <f>IF(Transactions!$G1128&lt;&gt;"",Transactions!$H1128&amp;" "&amp;Transactions!$G1128,)</f>
        <v/>
      </c>
    </row>
    <row r="1129">
      <c r="A1129" s="55" t="str">
        <f>IF(Transactions!$B1129&lt;&gt;"",DATE(LEFT(Transactions!$B1129,4),MID(Transactions!$B1129,6,2),MID(Transactions!$B1129,9,2)),)</f>
        <v/>
      </c>
      <c r="B1129" s="56" t="str">
        <f>Transactions!$C1129</f>
        <v/>
      </c>
      <c r="C1129" s="51" t="str">
        <f t="array" ref="C1129">IFERROR(INDEX(Portfolio!$B:$B, MATCH($B1129, Portfolio!$A:$A, 0)),Transactions!$B1129)</f>
        <v/>
      </c>
      <c r="D1129" s="51" t="str">
        <f>IF($B1129&lt;&gt;"",Transactions!$E1129*1,)</f>
        <v/>
      </c>
      <c r="E1129" s="51" t="str">
        <f>IF($B1129&lt;&gt;"",Transactions!$F1129*1,)</f>
        <v/>
      </c>
      <c r="F1129" s="42" t="str">
        <f>IF(Transactions!$G1129&lt;&gt;"",Transactions!$H1129&amp;" "&amp;Transactions!$G1129,)</f>
        <v/>
      </c>
    </row>
    <row r="1130">
      <c r="A1130" s="55" t="str">
        <f>IF(Transactions!$B1130&lt;&gt;"",DATE(LEFT(Transactions!$B1130,4),MID(Transactions!$B1130,6,2),MID(Transactions!$B1130,9,2)),)</f>
        <v/>
      </c>
      <c r="B1130" s="56" t="str">
        <f>Transactions!$C1130</f>
        <v/>
      </c>
      <c r="C1130" s="51" t="str">
        <f t="array" ref="C1130">IFERROR(INDEX(Portfolio!$B:$B, MATCH($B1130, Portfolio!$A:$A, 0)),Transactions!$B1130)</f>
        <v/>
      </c>
      <c r="D1130" s="51" t="str">
        <f>IF($B1130&lt;&gt;"",Transactions!$E1130*1,)</f>
        <v/>
      </c>
      <c r="E1130" s="51" t="str">
        <f>IF($B1130&lt;&gt;"",Transactions!$F1130*1,)</f>
        <v/>
      </c>
      <c r="F1130" s="42" t="str">
        <f>IF(Transactions!$G1130&lt;&gt;"",Transactions!$H1130&amp;" "&amp;Transactions!$G1130,)</f>
        <v/>
      </c>
    </row>
    <row r="1131">
      <c r="A1131" s="55" t="str">
        <f>IF(Transactions!$B1131&lt;&gt;"",DATE(LEFT(Transactions!$B1131,4),MID(Transactions!$B1131,6,2),MID(Transactions!$B1131,9,2)),)</f>
        <v/>
      </c>
      <c r="B1131" s="56" t="str">
        <f>Transactions!$C1131</f>
        <v/>
      </c>
      <c r="C1131" s="51" t="str">
        <f t="array" ref="C1131">IFERROR(INDEX(Portfolio!$B:$B, MATCH($B1131, Portfolio!$A:$A, 0)),Transactions!$B1131)</f>
        <v/>
      </c>
      <c r="D1131" s="51" t="str">
        <f>IF($B1131&lt;&gt;"",Transactions!$E1131*1,)</f>
        <v/>
      </c>
      <c r="E1131" s="51" t="str">
        <f>IF($B1131&lt;&gt;"",Transactions!$F1131*1,)</f>
        <v/>
      </c>
      <c r="F1131" s="42" t="str">
        <f>IF(Transactions!$G1131&lt;&gt;"",Transactions!$H1131&amp;" "&amp;Transactions!$G1131,)</f>
        <v/>
      </c>
    </row>
    <row r="1132">
      <c r="A1132" s="55" t="str">
        <f>IF(Transactions!$B1132&lt;&gt;"",DATE(LEFT(Transactions!$B1132,4),MID(Transactions!$B1132,6,2),MID(Transactions!$B1132,9,2)),)</f>
        <v/>
      </c>
      <c r="B1132" s="56" t="str">
        <f>Transactions!$C1132</f>
        <v/>
      </c>
      <c r="C1132" s="51" t="str">
        <f t="array" ref="C1132">IFERROR(INDEX(Portfolio!$B:$B, MATCH($B1132, Portfolio!$A:$A, 0)),Transactions!$B1132)</f>
        <v/>
      </c>
      <c r="D1132" s="51" t="str">
        <f>IF($B1132&lt;&gt;"",Transactions!$E1132*1,)</f>
        <v/>
      </c>
      <c r="E1132" s="51" t="str">
        <f>IF($B1132&lt;&gt;"",Transactions!$F1132*1,)</f>
        <v/>
      </c>
      <c r="F1132" s="42" t="str">
        <f>IF(Transactions!$G1132&lt;&gt;"",Transactions!$H1132&amp;" "&amp;Transactions!$G1132,)</f>
        <v/>
      </c>
    </row>
    <row r="1133">
      <c r="A1133" s="55" t="str">
        <f>IF(Transactions!$B1133&lt;&gt;"",DATE(LEFT(Transactions!$B1133,4),MID(Transactions!$B1133,6,2),MID(Transactions!$B1133,9,2)),)</f>
        <v/>
      </c>
      <c r="B1133" s="56" t="str">
        <f>Transactions!$C1133</f>
        <v/>
      </c>
      <c r="C1133" s="51" t="str">
        <f t="array" ref="C1133">IFERROR(INDEX(Portfolio!$B:$B, MATCH($B1133, Portfolio!$A:$A, 0)),Transactions!$B1133)</f>
        <v/>
      </c>
      <c r="D1133" s="51" t="str">
        <f>IF($B1133&lt;&gt;"",Transactions!$E1133*1,)</f>
        <v/>
      </c>
      <c r="E1133" s="51" t="str">
        <f>IF($B1133&lt;&gt;"",Transactions!$F1133*1,)</f>
        <v/>
      </c>
      <c r="F1133" s="42" t="str">
        <f>IF(Transactions!$G1133&lt;&gt;"",Transactions!$H1133&amp;" "&amp;Transactions!$G1133,)</f>
        <v/>
      </c>
    </row>
    <row r="1134">
      <c r="A1134" s="55" t="str">
        <f>IF(Transactions!$B1134&lt;&gt;"",DATE(LEFT(Transactions!$B1134,4),MID(Transactions!$B1134,6,2),MID(Transactions!$B1134,9,2)),)</f>
        <v/>
      </c>
      <c r="B1134" s="56" t="str">
        <f>Transactions!$C1134</f>
        <v/>
      </c>
      <c r="C1134" s="51" t="str">
        <f t="array" ref="C1134">IFERROR(INDEX(Portfolio!$B:$B, MATCH($B1134, Portfolio!$A:$A, 0)),Transactions!$B1134)</f>
        <v/>
      </c>
      <c r="D1134" s="51" t="str">
        <f>IF($B1134&lt;&gt;"",Transactions!$E1134*1,)</f>
        <v/>
      </c>
      <c r="E1134" s="51" t="str">
        <f>IF($B1134&lt;&gt;"",Transactions!$F1134*1,)</f>
        <v/>
      </c>
      <c r="F1134" s="42" t="str">
        <f>IF(Transactions!$G1134&lt;&gt;"",Transactions!$H1134&amp;" "&amp;Transactions!$G1134,)</f>
        <v/>
      </c>
    </row>
    <row r="1135">
      <c r="A1135" s="55" t="str">
        <f>IF(Transactions!$B1135&lt;&gt;"",DATE(LEFT(Transactions!$B1135,4),MID(Transactions!$B1135,6,2),MID(Transactions!$B1135,9,2)),)</f>
        <v/>
      </c>
      <c r="B1135" s="56" t="str">
        <f>Transactions!$C1135</f>
        <v/>
      </c>
      <c r="C1135" s="51" t="str">
        <f t="array" ref="C1135">IFERROR(INDEX(Portfolio!$B:$B, MATCH($B1135, Portfolio!$A:$A, 0)),Transactions!$B1135)</f>
        <v/>
      </c>
      <c r="D1135" s="51" t="str">
        <f>IF($B1135&lt;&gt;"",Transactions!$E1135*1,)</f>
        <v/>
      </c>
      <c r="E1135" s="51" t="str">
        <f>IF($B1135&lt;&gt;"",Transactions!$F1135*1,)</f>
        <v/>
      </c>
      <c r="F1135" s="42" t="str">
        <f>IF(Transactions!$G1135&lt;&gt;"",Transactions!$H1135&amp;" "&amp;Transactions!$G1135,)</f>
        <v/>
      </c>
    </row>
    <row r="1136">
      <c r="A1136" s="55" t="str">
        <f>IF(Transactions!$B1136&lt;&gt;"",DATE(LEFT(Transactions!$B1136,4),MID(Transactions!$B1136,6,2),MID(Transactions!$B1136,9,2)),)</f>
        <v/>
      </c>
      <c r="B1136" s="56" t="str">
        <f>Transactions!$C1136</f>
        <v/>
      </c>
      <c r="C1136" s="51" t="str">
        <f t="array" ref="C1136">IFERROR(INDEX(Portfolio!$B:$B, MATCH($B1136, Portfolio!$A:$A, 0)),Transactions!$B1136)</f>
        <v/>
      </c>
      <c r="D1136" s="51" t="str">
        <f>IF($B1136&lt;&gt;"",Transactions!$E1136*1,)</f>
        <v/>
      </c>
      <c r="E1136" s="51" t="str">
        <f>IF($B1136&lt;&gt;"",Transactions!$F1136*1,)</f>
        <v/>
      </c>
      <c r="F1136" s="42" t="str">
        <f>IF(Transactions!$G1136&lt;&gt;"",Transactions!$H1136&amp;" "&amp;Transactions!$G1136,)</f>
        <v/>
      </c>
    </row>
    <row r="1137">
      <c r="A1137" s="55" t="str">
        <f>IF(Transactions!$B1137&lt;&gt;"",DATE(LEFT(Transactions!$B1137,4),MID(Transactions!$B1137,6,2),MID(Transactions!$B1137,9,2)),)</f>
        <v/>
      </c>
      <c r="B1137" s="56" t="str">
        <f>Transactions!$C1137</f>
        <v/>
      </c>
      <c r="C1137" s="51" t="str">
        <f t="array" ref="C1137">IFERROR(INDEX(Portfolio!$B:$B, MATCH($B1137, Portfolio!$A:$A, 0)),Transactions!$B1137)</f>
        <v/>
      </c>
      <c r="D1137" s="51" t="str">
        <f>IF($B1137&lt;&gt;"",Transactions!$E1137*1,)</f>
        <v/>
      </c>
      <c r="E1137" s="51" t="str">
        <f>IF($B1137&lt;&gt;"",Transactions!$F1137*1,)</f>
        <v/>
      </c>
      <c r="F1137" s="42" t="str">
        <f>IF(Transactions!$G1137&lt;&gt;"",Transactions!$H1137&amp;" "&amp;Transactions!$G1137,)</f>
        <v/>
      </c>
    </row>
    <row r="1138">
      <c r="A1138" s="55" t="str">
        <f>IF(Transactions!$B1138&lt;&gt;"",DATE(LEFT(Transactions!$B1138,4),MID(Transactions!$B1138,6,2),MID(Transactions!$B1138,9,2)),)</f>
        <v/>
      </c>
      <c r="B1138" s="56" t="str">
        <f>Transactions!$C1138</f>
        <v/>
      </c>
      <c r="C1138" s="51" t="str">
        <f t="array" ref="C1138">IFERROR(INDEX(Portfolio!$B:$B, MATCH($B1138, Portfolio!$A:$A, 0)),Transactions!$B1138)</f>
        <v/>
      </c>
      <c r="D1138" s="51" t="str">
        <f>IF($B1138&lt;&gt;"",Transactions!$E1138*1,)</f>
        <v/>
      </c>
      <c r="E1138" s="51" t="str">
        <f>IF($B1138&lt;&gt;"",Transactions!$F1138*1,)</f>
        <v/>
      </c>
      <c r="F1138" s="42" t="str">
        <f>IF(Transactions!$G1138&lt;&gt;"",Transactions!$H1138&amp;" "&amp;Transactions!$G1138,)</f>
        <v/>
      </c>
    </row>
    <row r="1139">
      <c r="A1139" s="55" t="str">
        <f>IF(Transactions!$B1139&lt;&gt;"",DATE(LEFT(Transactions!$B1139,4),MID(Transactions!$B1139,6,2),MID(Transactions!$B1139,9,2)),)</f>
        <v/>
      </c>
      <c r="B1139" s="56" t="str">
        <f>Transactions!$C1139</f>
        <v/>
      </c>
      <c r="C1139" s="51" t="str">
        <f t="array" ref="C1139">IFERROR(INDEX(Portfolio!$B:$B, MATCH($B1139, Portfolio!$A:$A, 0)),Transactions!$B1139)</f>
        <v/>
      </c>
      <c r="D1139" s="51" t="str">
        <f>IF($B1139&lt;&gt;"",Transactions!$E1139*1,)</f>
        <v/>
      </c>
      <c r="E1139" s="51" t="str">
        <f>IF($B1139&lt;&gt;"",Transactions!$F1139*1,)</f>
        <v/>
      </c>
      <c r="F1139" s="42" t="str">
        <f>IF(Transactions!$G1139&lt;&gt;"",Transactions!$H1139&amp;" "&amp;Transactions!$G1139,)</f>
        <v/>
      </c>
    </row>
    <row r="1140">
      <c r="A1140" s="55" t="str">
        <f>IF(Transactions!$B1140&lt;&gt;"",DATE(LEFT(Transactions!$B1140,4),MID(Transactions!$B1140,6,2),MID(Transactions!$B1140,9,2)),)</f>
        <v/>
      </c>
      <c r="B1140" s="56" t="str">
        <f>Transactions!$C1140</f>
        <v/>
      </c>
      <c r="C1140" s="51" t="str">
        <f t="array" ref="C1140">IFERROR(INDEX(Portfolio!$B:$B, MATCH($B1140, Portfolio!$A:$A, 0)),Transactions!$B1140)</f>
        <v/>
      </c>
      <c r="D1140" s="51" t="str">
        <f>IF($B1140&lt;&gt;"",Transactions!$E1140*1,)</f>
        <v/>
      </c>
      <c r="E1140" s="51" t="str">
        <f>IF($B1140&lt;&gt;"",Transactions!$F1140*1,)</f>
        <v/>
      </c>
      <c r="F1140" s="42" t="str">
        <f>IF(Transactions!$G1140&lt;&gt;"",Transactions!$H1140&amp;" "&amp;Transactions!$G1140,)</f>
        <v/>
      </c>
    </row>
    <row r="1141">
      <c r="A1141" s="55" t="str">
        <f>IF(Transactions!$B1141&lt;&gt;"",DATE(LEFT(Transactions!$B1141,4),MID(Transactions!$B1141,6,2),MID(Transactions!$B1141,9,2)),)</f>
        <v/>
      </c>
      <c r="B1141" s="56" t="str">
        <f>Transactions!$C1141</f>
        <v/>
      </c>
      <c r="C1141" s="51" t="str">
        <f t="array" ref="C1141">IFERROR(INDEX(Portfolio!$B:$B, MATCH($B1141, Portfolio!$A:$A, 0)),Transactions!$B1141)</f>
        <v/>
      </c>
      <c r="D1141" s="51" t="str">
        <f>IF($B1141&lt;&gt;"",Transactions!$E1141*1,)</f>
        <v/>
      </c>
      <c r="E1141" s="51" t="str">
        <f>IF($B1141&lt;&gt;"",Transactions!$F1141*1,)</f>
        <v/>
      </c>
      <c r="F1141" s="42" t="str">
        <f>IF(Transactions!$G1141&lt;&gt;"",Transactions!$H1141&amp;" "&amp;Transactions!$G1141,)</f>
        <v/>
      </c>
    </row>
    <row r="1142">
      <c r="A1142" s="55" t="str">
        <f>IF(Transactions!$B1142&lt;&gt;"",DATE(LEFT(Transactions!$B1142,4),MID(Transactions!$B1142,6,2),MID(Transactions!$B1142,9,2)),)</f>
        <v/>
      </c>
      <c r="B1142" s="56" t="str">
        <f>Transactions!$C1142</f>
        <v/>
      </c>
      <c r="C1142" s="51" t="str">
        <f t="array" ref="C1142">IFERROR(INDEX(Portfolio!$B:$B, MATCH($B1142, Portfolio!$A:$A, 0)),Transactions!$B1142)</f>
        <v/>
      </c>
      <c r="D1142" s="51" t="str">
        <f>IF($B1142&lt;&gt;"",Transactions!$E1142*1,)</f>
        <v/>
      </c>
      <c r="E1142" s="51" t="str">
        <f>IF($B1142&lt;&gt;"",Transactions!$F1142*1,)</f>
        <v/>
      </c>
      <c r="F1142" s="42" t="str">
        <f>IF(Transactions!$G1142&lt;&gt;"",Transactions!$H1142&amp;" "&amp;Transactions!$G1142,)</f>
        <v/>
      </c>
    </row>
    <row r="1143">
      <c r="A1143" s="55" t="str">
        <f>IF(Transactions!$B1143&lt;&gt;"",DATE(LEFT(Transactions!$B1143,4),MID(Transactions!$B1143,6,2),MID(Transactions!$B1143,9,2)),)</f>
        <v/>
      </c>
      <c r="B1143" s="56" t="str">
        <f>Transactions!$C1143</f>
        <v/>
      </c>
      <c r="C1143" s="51" t="str">
        <f t="array" ref="C1143">IFERROR(INDEX(Portfolio!$B:$B, MATCH($B1143, Portfolio!$A:$A, 0)),Transactions!$B1143)</f>
        <v/>
      </c>
      <c r="D1143" s="51" t="str">
        <f>IF($B1143&lt;&gt;"",Transactions!$E1143*1,)</f>
        <v/>
      </c>
      <c r="E1143" s="51" t="str">
        <f>IF($B1143&lt;&gt;"",Transactions!$F1143*1,)</f>
        <v/>
      </c>
      <c r="F1143" s="42" t="str">
        <f>IF(Transactions!$G1143&lt;&gt;"",Transactions!$H1143&amp;" "&amp;Transactions!$G1143,)</f>
        <v/>
      </c>
    </row>
    <row r="1144">
      <c r="A1144" s="55" t="str">
        <f>IF(Transactions!$B1144&lt;&gt;"",DATE(LEFT(Transactions!$B1144,4),MID(Transactions!$B1144,6,2),MID(Transactions!$B1144,9,2)),)</f>
        <v/>
      </c>
      <c r="B1144" s="56" t="str">
        <f>Transactions!$C1144</f>
        <v/>
      </c>
      <c r="C1144" s="51" t="str">
        <f t="array" ref="C1144">IFERROR(INDEX(Portfolio!$B:$B, MATCH($B1144, Portfolio!$A:$A, 0)),Transactions!$B1144)</f>
        <v/>
      </c>
      <c r="D1144" s="51" t="str">
        <f>IF($B1144&lt;&gt;"",Transactions!$E1144*1,)</f>
        <v/>
      </c>
      <c r="E1144" s="51" t="str">
        <f>IF($B1144&lt;&gt;"",Transactions!$F1144*1,)</f>
        <v/>
      </c>
      <c r="F1144" s="42" t="str">
        <f>IF(Transactions!$G1144&lt;&gt;"",Transactions!$H1144&amp;" "&amp;Transactions!$G1144,)</f>
        <v/>
      </c>
    </row>
    <row r="1145">
      <c r="A1145" s="55" t="str">
        <f>IF(Transactions!$B1145&lt;&gt;"",DATE(LEFT(Transactions!$B1145,4),MID(Transactions!$B1145,6,2),MID(Transactions!$B1145,9,2)),)</f>
        <v/>
      </c>
      <c r="B1145" s="56" t="str">
        <f>Transactions!$C1145</f>
        <v/>
      </c>
      <c r="C1145" s="51" t="str">
        <f t="array" ref="C1145">IFERROR(INDEX(Portfolio!$B:$B, MATCH($B1145, Portfolio!$A:$A, 0)),Transactions!$B1145)</f>
        <v/>
      </c>
      <c r="D1145" s="51" t="str">
        <f>IF($B1145&lt;&gt;"",Transactions!$E1145*1,)</f>
        <v/>
      </c>
      <c r="E1145" s="51" t="str">
        <f>IF($B1145&lt;&gt;"",Transactions!$F1145*1,)</f>
        <v/>
      </c>
      <c r="F1145" s="42" t="str">
        <f>IF(Transactions!$G1145&lt;&gt;"",Transactions!$H1145&amp;" "&amp;Transactions!$G1145,)</f>
        <v/>
      </c>
    </row>
    <row r="1146">
      <c r="A1146" s="55" t="str">
        <f>IF(Transactions!$B1146&lt;&gt;"",DATE(LEFT(Transactions!$B1146,4),MID(Transactions!$B1146,6,2),MID(Transactions!$B1146,9,2)),)</f>
        <v/>
      </c>
      <c r="B1146" s="56" t="str">
        <f>Transactions!$C1146</f>
        <v/>
      </c>
      <c r="C1146" s="51" t="str">
        <f t="array" ref="C1146">IFERROR(INDEX(Portfolio!$B:$B, MATCH($B1146, Portfolio!$A:$A, 0)),Transactions!$B1146)</f>
        <v/>
      </c>
      <c r="D1146" s="51" t="str">
        <f>IF($B1146&lt;&gt;"",Transactions!$E1146*1,)</f>
        <v/>
      </c>
      <c r="E1146" s="51" t="str">
        <f>IF($B1146&lt;&gt;"",Transactions!$F1146*1,)</f>
        <v/>
      </c>
      <c r="F1146" s="42" t="str">
        <f>IF(Transactions!$G1146&lt;&gt;"",Transactions!$H1146&amp;" "&amp;Transactions!$G1146,)</f>
        <v/>
      </c>
    </row>
    <row r="1147">
      <c r="A1147" s="55" t="str">
        <f>IF(Transactions!$B1147&lt;&gt;"",DATE(LEFT(Transactions!$B1147,4),MID(Transactions!$B1147,6,2),MID(Transactions!$B1147,9,2)),)</f>
        <v/>
      </c>
      <c r="B1147" s="56" t="str">
        <f>Transactions!$C1147</f>
        <v/>
      </c>
      <c r="C1147" s="51" t="str">
        <f t="array" ref="C1147">IFERROR(INDEX(Portfolio!$B:$B, MATCH($B1147, Portfolio!$A:$A, 0)),Transactions!$B1147)</f>
        <v/>
      </c>
      <c r="D1147" s="51" t="str">
        <f>IF($B1147&lt;&gt;"",Transactions!$E1147*1,)</f>
        <v/>
      </c>
      <c r="E1147" s="51" t="str">
        <f>IF($B1147&lt;&gt;"",Transactions!$F1147*1,)</f>
        <v/>
      </c>
      <c r="F1147" s="42" t="str">
        <f>IF(Transactions!$G1147&lt;&gt;"",Transactions!$H1147&amp;" "&amp;Transactions!$G1147,)</f>
        <v/>
      </c>
    </row>
    <row r="1148">
      <c r="A1148" s="55" t="str">
        <f>IF(Transactions!$B1148&lt;&gt;"",DATE(LEFT(Transactions!$B1148,4),MID(Transactions!$B1148,6,2),MID(Transactions!$B1148,9,2)),)</f>
        <v/>
      </c>
      <c r="B1148" s="56" t="str">
        <f>Transactions!$C1148</f>
        <v/>
      </c>
      <c r="C1148" s="51" t="str">
        <f t="array" ref="C1148">IFERROR(INDEX(Portfolio!$B:$B, MATCH($B1148, Portfolio!$A:$A, 0)),Transactions!$B1148)</f>
        <v/>
      </c>
      <c r="D1148" s="51" t="str">
        <f>IF($B1148&lt;&gt;"",Transactions!$E1148*1,)</f>
        <v/>
      </c>
      <c r="E1148" s="51" t="str">
        <f>IF($B1148&lt;&gt;"",Transactions!$F1148*1,)</f>
        <v/>
      </c>
      <c r="F1148" s="42" t="str">
        <f>IF(Transactions!$G1148&lt;&gt;"",Transactions!$H1148&amp;" "&amp;Transactions!$G1148,)</f>
        <v/>
      </c>
    </row>
    <row r="1149">
      <c r="A1149" s="55" t="str">
        <f>IF(Transactions!$B1149&lt;&gt;"",DATE(LEFT(Transactions!$B1149,4),MID(Transactions!$B1149,6,2),MID(Transactions!$B1149,9,2)),)</f>
        <v/>
      </c>
      <c r="B1149" s="56" t="str">
        <f>Transactions!$C1149</f>
        <v/>
      </c>
      <c r="C1149" s="51" t="str">
        <f t="array" ref="C1149">IFERROR(INDEX(Portfolio!$B:$B, MATCH($B1149, Portfolio!$A:$A, 0)),Transactions!$B1149)</f>
        <v/>
      </c>
      <c r="D1149" s="51" t="str">
        <f>IF($B1149&lt;&gt;"",Transactions!$E1149*1,)</f>
        <v/>
      </c>
      <c r="E1149" s="51" t="str">
        <f>IF($B1149&lt;&gt;"",Transactions!$F1149*1,)</f>
        <v/>
      </c>
      <c r="F1149" s="42" t="str">
        <f>IF(Transactions!$G1149&lt;&gt;"",Transactions!$H1149&amp;" "&amp;Transactions!$G1149,)</f>
        <v/>
      </c>
    </row>
    <row r="1150">
      <c r="A1150" s="55" t="str">
        <f>IF(Transactions!$B1150&lt;&gt;"",DATE(LEFT(Transactions!$B1150,4),MID(Transactions!$B1150,6,2),MID(Transactions!$B1150,9,2)),)</f>
        <v/>
      </c>
      <c r="B1150" s="56" t="str">
        <f>Transactions!$C1150</f>
        <v/>
      </c>
      <c r="C1150" s="51" t="str">
        <f t="array" ref="C1150">IFERROR(INDEX(Portfolio!$B:$B, MATCH($B1150, Portfolio!$A:$A, 0)),Transactions!$B1150)</f>
        <v/>
      </c>
      <c r="D1150" s="51" t="str">
        <f>IF($B1150&lt;&gt;"",Transactions!$E1150*1,)</f>
        <v/>
      </c>
      <c r="E1150" s="51" t="str">
        <f>IF($B1150&lt;&gt;"",Transactions!$F1150*1,)</f>
        <v/>
      </c>
      <c r="F1150" s="42" t="str">
        <f>IF(Transactions!$G1150&lt;&gt;"",Transactions!$H1150&amp;" "&amp;Transactions!$G1150,)</f>
        <v/>
      </c>
    </row>
    <row r="1151">
      <c r="A1151" s="55" t="str">
        <f>IF(Transactions!$B1151&lt;&gt;"",DATE(LEFT(Transactions!$B1151,4),MID(Transactions!$B1151,6,2),MID(Transactions!$B1151,9,2)),)</f>
        <v/>
      </c>
      <c r="B1151" s="56" t="str">
        <f>Transactions!$C1151</f>
        <v/>
      </c>
      <c r="C1151" s="51" t="str">
        <f t="array" ref="C1151">IFERROR(INDEX(Portfolio!$B:$B, MATCH($B1151, Portfolio!$A:$A, 0)),Transactions!$B1151)</f>
        <v/>
      </c>
      <c r="D1151" s="51" t="str">
        <f>IF($B1151&lt;&gt;"",Transactions!$E1151*1,)</f>
        <v/>
      </c>
      <c r="E1151" s="51" t="str">
        <f>IF($B1151&lt;&gt;"",Transactions!$F1151*1,)</f>
        <v/>
      </c>
      <c r="F1151" s="42" t="str">
        <f>IF(Transactions!$G1151&lt;&gt;"",Transactions!$H1151&amp;" "&amp;Transactions!$G1151,)</f>
        <v/>
      </c>
    </row>
    <row r="1152">
      <c r="A1152" s="55" t="str">
        <f>IF(Transactions!$B1152&lt;&gt;"",DATE(LEFT(Transactions!$B1152,4),MID(Transactions!$B1152,6,2),MID(Transactions!$B1152,9,2)),)</f>
        <v/>
      </c>
      <c r="B1152" s="56" t="str">
        <f>Transactions!$C1152</f>
        <v/>
      </c>
      <c r="C1152" s="51" t="str">
        <f t="array" ref="C1152">IFERROR(INDEX(Portfolio!$B:$B, MATCH($B1152, Portfolio!$A:$A, 0)),Transactions!$B1152)</f>
        <v/>
      </c>
      <c r="D1152" s="51" t="str">
        <f>IF($B1152&lt;&gt;"",Transactions!$E1152*1,)</f>
        <v/>
      </c>
      <c r="E1152" s="51" t="str">
        <f>IF($B1152&lt;&gt;"",Transactions!$F1152*1,)</f>
        <v/>
      </c>
      <c r="F1152" s="42" t="str">
        <f>IF(Transactions!$G1152&lt;&gt;"",Transactions!$H1152&amp;" "&amp;Transactions!$G1152,)</f>
        <v/>
      </c>
    </row>
    <row r="1153">
      <c r="A1153" s="55" t="str">
        <f>IF(Transactions!$B1153&lt;&gt;"",DATE(LEFT(Transactions!$B1153,4),MID(Transactions!$B1153,6,2),MID(Transactions!$B1153,9,2)),)</f>
        <v/>
      </c>
      <c r="B1153" s="56" t="str">
        <f>Transactions!$C1153</f>
        <v/>
      </c>
      <c r="C1153" s="51" t="str">
        <f t="array" ref="C1153">IFERROR(INDEX(Portfolio!$B:$B, MATCH($B1153, Portfolio!$A:$A, 0)),Transactions!$B1153)</f>
        <v/>
      </c>
      <c r="D1153" s="51" t="str">
        <f>IF($B1153&lt;&gt;"",Transactions!$E1153*1,)</f>
        <v/>
      </c>
      <c r="E1153" s="51" t="str">
        <f>IF($B1153&lt;&gt;"",Transactions!$F1153*1,)</f>
        <v/>
      </c>
      <c r="F1153" s="42" t="str">
        <f>IF(Transactions!$G1153&lt;&gt;"",Transactions!$H1153&amp;" "&amp;Transactions!$G1153,)</f>
        <v/>
      </c>
    </row>
    <row r="1154">
      <c r="A1154" s="55" t="str">
        <f>IF(Transactions!$B1154&lt;&gt;"",DATE(LEFT(Transactions!$B1154,4),MID(Transactions!$B1154,6,2),MID(Transactions!$B1154,9,2)),)</f>
        <v/>
      </c>
      <c r="B1154" s="56" t="str">
        <f>Transactions!$C1154</f>
        <v/>
      </c>
      <c r="C1154" s="51" t="str">
        <f t="array" ref="C1154">IFERROR(INDEX(Portfolio!$B:$B, MATCH($B1154, Portfolio!$A:$A, 0)),Transactions!$B1154)</f>
        <v/>
      </c>
      <c r="D1154" s="51" t="str">
        <f>IF($B1154&lt;&gt;"",Transactions!$E1154*1,)</f>
        <v/>
      </c>
      <c r="E1154" s="51" t="str">
        <f>IF($B1154&lt;&gt;"",Transactions!$F1154*1,)</f>
        <v/>
      </c>
      <c r="F1154" s="42" t="str">
        <f>IF(Transactions!$G1154&lt;&gt;"",Transactions!$H1154&amp;" "&amp;Transactions!$G1154,)</f>
        <v/>
      </c>
    </row>
    <row r="1155">
      <c r="A1155" s="55" t="str">
        <f>IF(Transactions!$B1155&lt;&gt;"",DATE(LEFT(Transactions!$B1155,4),MID(Transactions!$B1155,6,2),MID(Transactions!$B1155,9,2)),)</f>
        <v/>
      </c>
      <c r="B1155" s="56" t="str">
        <f>Transactions!$C1155</f>
        <v/>
      </c>
      <c r="C1155" s="51" t="str">
        <f t="array" ref="C1155">IFERROR(INDEX(Portfolio!$B:$B, MATCH($B1155, Portfolio!$A:$A, 0)),Transactions!$B1155)</f>
        <v/>
      </c>
      <c r="D1155" s="51" t="str">
        <f>IF($B1155&lt;&gt;"",Transactions!$E1155*1,)</f>
        <v/>
      </c>
      <c r="E1155" s="51" t="str">
        <f>IF($B1155&lt;&gt;"",Transactions!$F1155*1,)</f>
        <v/>
      </c>
      <c r="F1155" s="42" t="str">
        <f>IF(Transactions!$G1155&lt;&gt;"",Transactions!$H1155&amp;" "&amp;Transactions!$G1155,)</f>
        <v/>
      </c>
    </row>
    <row r="1156">
      <c r="A1156" s="55" t="str">
        <f>IF(Transactions!$B1156&lt;&gt;"",DATE(LEFT(Transactions!$B1156,4),MID(Transactions!$B1156,6,2),MID(Transactions!$B1156,9,2)),)</f>
        <v/>
      </c>
      <c r="B1156" s="56" t="str">
        <f>Transactions!$C1156</f>
        <v/>
      </c>
      <c r="C1156" s="51" t="str">
        <f t="array" ref="C1156">IFERROR(INDEX(Portfolio!$B:$B, MATCH($B1156, Portfolio!$A:$A, 0)),Transactions!$B1156)</f>
        <v/>
      </c>
      <c r="D1156" s="51" t="str">
        <f>IF($B1156&lt;&gt;"",Transactions!$E1156*1,)</f>
        <v/>
      </c>
      <c r="E1156" s="51" t="str">
        <f>IF($B1156&lt;&gt;"",Transactions!$F1156*1,)</f>
        <v/>
      </c>
      <c r="F1156" s="42" t="str">
        <f>IF(Transactions!$G1156&lt;&gt;"",Transactions!$H1156&amp;" "&amp;Transactions!$G1156,)</f>
        <v/>
      </c>
    </row>
    <row r="1157">
      <c r="A1157" s="55" t="str">
        <f>IF(Transactions!$B1157&lt;&gt;"",DATE(LEFT(Transactions!$B1157,4),MID(Transactions!$B1157,6,2),MID(Transactions!$B1157,9,2)),)</f>
        <v/>
      </c>
      <c r="B1157" s="56" t="str">
        <f>Transactions!$C1157</f>
        <v/>
      </c>
      <c r="C1157" s="51" t="str">
        <f t="array" ref="C1157">IFERROR(INDEX(Portfolio!$B:$B, MATCH($B1157, Portfolio!$A:$A, 0)),Transactions!$B1157)</f>
        <v/>
      </c>
      <c r="D1157" s="51" t="str">
        <f>IF($B1157&lt;&gt;"",Transactions!$E1157*1,)</f>
        <v/>
      </c>
      <c r="E1157" s="51" t="str">
        <f>IF($B1157&lt;&gt;"",Transactions!$F1157*1,)</f>
        <v/>
      </c>
      <c r="F1157" s="42" t="str">
        <f>IF(Transactions!$G1157&lt;&gt;"",Transactions!$H1157&amp;" "&amp;Transactions!$G1157,)</f>
        <v/>
      </c>
    </row>
    <row r="1158">
      <c r="A1158" s="55" t="str">
        <f>IF(Transactions!$B1158&lt;&gt;"",DATE(LEFT(Transactions!$B1158,4),MID(Transactions!$B1158,6,2),MID(Transactions!$B1158,9,2)),)</f>
        <v/>
      </c>
      <c r="B1158" s="56" t="str">
        <f>Transactions!$C1158</f>
        <v/>
      </c>
      <c r="C1158" s="51" t="str">
        <f t="array" ref="C1158">IFERROR(INDEX(Portfolio!$B:$B, MATCH($B1158, Portfolio!$A:$A, 0)),Transactions!$B1158)</f>
        <v/>
      </c>
      <c r="D1158" s="51" t="str">
        <f>IF($B1158&lt;&gt;"",Transactions!$E1158*1,)</f>
        <v/>
      </c>
      <c r="E1158" s="51" t="str">
        <f>IF($B1158&lt;&gt;"",Transactions!$F1158*1,)</f>
        <v/>
      </c>
      <c r="F1158" s="42" t="str">
        <f>IF(Transactions!$G1158&lt;&gt;"",Transactions!$H1158&amp;" "&amp;Transactions!$G1158,)</f>
        <v/>
      </c>
    </row>
    <row r="1159">
      <c r="A1159" s="55" t="str">
        <f>IF(Transactions!$B1159&lt;&gt;"",DATE(LEFT(Transactions!$B1159,4),MID(Transactions!$B1159,6,2),MID(Transactions!$B1159,9,2)),)</f>
        <v/>
      </c>
      <c r="B1159" s="56" t="str">
        <f>Transactions!$C1159</f>
        <v/>
      </c>
      <c r="C1159" s="51" t="str">
        <f t="array" ref="C1159">IFERROR(INDEX(Portfolio!$B:$B, MATCH($B1159, Portfolio!$A:$A, 0)),Transactions!$B1159)</f>
        <v/>
      </c>
      <c r="D1159" s="51" t="str">
        <f>IF($B1159&lt;&gt;"",Transactions!$E1159*1,)</f>
        <v/>
      </c>
      <c r="E1159" s="51" t="str">
        <f>IF($B1159&lt;&gt;"",Transactions!$F1159*1,)</f>
        <v/>
      </c>
      <c r="F1159" s="42" t="str">
        <f>IF(Transactions!$G1159&lt;&gt;"",Transactions!$H1159&amp;" "&amp;Transactions!$G1159,)</f>
        <v/>
      </c>
    </row>
    <row r="1160">
      <c r="A1160" s="55" t="str">
        <f>IF(Transactions!$B1160&lt;&gt;"",DATE(LEFT(Transactions!$B1160,4),MID(Transactions!$B1160,6,2),MID(Transactions!$B1160,9,2)),)</f>
        <v/>
      </c>
      <c r="B1160" s="56" t="str">
        <f>Transactions!$C1160</f>
        <v/>
      </c>
      <c r="C1160" s="51" t="str">
        <f t="array" ref="C1160">IFERROR(INDEX(Portfolio!$B:$B, MATCH($B1160, Portfolio!$A:$A, 0)),Transactions!$B1160)</f>
        <v/>
      </c>
      <c r="D1160" s="51" t="str">
        <f>IF($B1160&lt;&gt;"",Transactions!$E1160*1,)</f>
        <v/>
      </c>
      <c r="E1160" s="51" t="str">
        <f>IF($B1160&lt;&gt;"",Transactions!$F1160*1,)</f>
        <v/>
      </c>
      <c r="F1160" s="42" t="str">
        <f>IF(Transactions!$G1160&lt;&gt;"",Transactions!$H1160&amp;" "&amp;Transactions!$G1160,)</f>
        <v/>
      </c>
    </row>
    <row r="1161">
      <c r="A1161" s="55" t="str">
        <f>IF(Transactions!$B1161&lt;&gt;"",DATE(LEFT(Transactions!$B1161,4),MID(Transactions!$B1161,6,2),MID(Transactions!$B1161,9,2)),)</f>
        <v/>
      </c>
      <c r="B1161" s="56" t="str">
        <f>Transactions!$C1161</f>
        <v/>
      </c>
      <c r="C1161" s="51" t="str">
        <f t="array" ref="C1161">IFERROR(INDEX(Portfolio!$B:$B, MATCH($B1161, Portfolio!$A:$A, 0)),Transactions!$B1161)</f>
        <v/>
      </c>
      <c r="D1161" s="51" t="str">
        <f>IF($B1161&lt;&gt;"",Transactions!$E1161*1,)</f>
        <v/>
      </c>
      <c r="E1161" s="51" t="str">
        <f>IF($B1161&lt;&gt;"",Transactions!$F1161*1,)</f>
        <v/>
      </c>
      <c r="F1161" s="42" t="str">
        <f>IF(Transactions!$G1161&lt;&gt;"",Transactions!$H1161&amp;" "&amp;Transactions!$G1161,)</f>
        <v/>
      </c>
    </row>
    <row r="1162">
      <c r="A1162" s="55" t="str">
        <f>IF(Transactions!$B1162&lt;&gt;"",DATE(LEFT(Transactions!$B1162,4),MID(Transactions!$B1162,6,2),MID(Transactions!$B1162,9,2)),)</f>
        <v/>
      </c>
      <c r="B1162" s="56" t="str">
        <f>Transactions!$C1162</f>
        <v/>
      </c>
      <c r="C1162" s="51" t="str">
        <f t="array" ref="C1162">IFERROR(INDEX(Portfolio!$B:$B, MATCH($B1162, Portfolio!$A:$A, 0)),Transactions!$B1162)</f>
        <v/>
      </c>
      <c r="D1162" s="51" t="str">
        <f>IF($B1162&lt;&gt;"",Transactions!$E1162*1,)</f>
        <v/>
      </c>
      <c r="E1162" s="51" t="str">
        <f>IF($B1162&lt;&gt;"",Transactions!$F1162*1,)</f>
        <v/>
      </c>
      <c r="F1162" s="42" t="str">
        <f>IF(Transactions!$G1162&lt;&gt;"",Transactions!$H1162&amp;" "&amp;Transactions!$G1162,)</f>
        <v/>
      </c>
    </row>
    <row r="1163">
      <c r="A1163" s="55" t="str">
        <f>IF(Transactions!$B1163&lt;&gt;"",DATE(LEFT(Transactions!$B1163,4),MID(Transactions!$B1163,6,2),MID(Transactions!$B1163,9,2)),)</f>
        <v/>
      </c>
      <c r="B1163" s="56" t="str">
        <f>Transactions!$C1163</f>
        <v/>
      </c>
      <c r="C1163" s="51" t="str">
        <f t="array" ref="C1163">IFERROR(INDEX(Portfolio!$B:$B, MATCH($B1163, Portfolio!$A:$A, 0)),Transactions!$B1163)</f>
        <v/>
      </c>
      <c r="D1163" s="51" t="str">
        <f>IF($B1163&lt;&gt;"",Transactions!$E1163*1,)</f>
        <v/>
      </c>
      <c r="E1163" s="51" t="str">
        <f>IF($B1163&lt;&gt;"",Transactions!$F1163*1,)</f>
        <v/>
      </c>
      <c r="F1163" s="42" t="str">
        <f>IF(Transactions!$G1163&lt;&gt;"",Transactions!$H1163&amp;" "&amp;Transactions!$G1163,)</f>
        <v/>
      </c>
    </row>
    <row r="1164">
      <c r="A1164" s="55" t="str">
        <f>IF(Transactions!$B1164&lt;&gt;"",DATE(LEFT(Transactions!$B1164,4),MID(Transactions!$B1164,6,2),MID(Transactions!$B1164,9,2)),)</f>
        <v/>
      </c>
      <c r="B1164" s="56" t="str">
        <f>Transactions!$C1164</f>
        <v/>
      </c>
      <c r="C1164" s="51" t="str">
        <f t="array" ref="C1164">IFERROR(INDEX(Portfolio!$B:$B, MATCH($B1164, Portfolio!$A:$A, 0)),Transactions!$B1164)</f>
        <v/>
      </c>
      <c r="D1164" s="51" t="str">
        <f>IF($B1164&lt;&gt;"",Transactions!$E1164*1,)</f>
        <v/>
      </c>
      <c r="E1164" s="51" t="str">
        <f>IF($B1164&lt;&gt;"",Transactions!$F1164*1,)</f>
        <v/>
      </c>
      <c r="F1164" s="42" t="str">
        <f>IF(Transactions!$G1164&lt;&gt;"",Transactions!$H1164&amp;" "&amp;Transactions!$G1164,)</f>
        <v/>
      </c>
    </row>
    <row r="1165">
      <c r="A1165" s="55" t="str">
        <f>IF(Transactions!$B1165&lt;&gt;"",DATE(LEFT(Transactions!$B1165,4),MID(Transactions!$B1165,6,2),MID(Transactions!$B1165,9,2)),)</f>
        <v/>
      </c>
      <c r="B1165" s="56" t="str">
        <f>Transactions!$C1165</f>
        <v/>
      </c>
      <c r="C1165" s="51" t="str">
        <f t="array" ref="C1165">IFERROR(INDEX(Portfolio!$B:$B, MATCH($B1165, Portfolio!$A:$A, 0)),Transactions!$B1165)</f>
        <v/>
      </c>
      <c r="D1165" s="51" t="str">
        <f>IF($B1165&lt;&gt;"",Transactions!$E1165*1,)</f>
        <v/>
      </c>
      <c r="E1165" s="51" t="str">
        <f>IF($B1165&lt;&gt;"",Transactions!$F1165*1,)</f>
        <v/>
      </c>
      <c r="F1165" s="42" t="str">
        <f>IF(Transactions!$G1165&lt;&gt;"",Transactions!$H1165&amp;" "&amp;Transactions!$G1165,)</f>
        <v/>
      </c>
    </row>
    <row r="1166">
      <c r="A1166" s="55" t="str">
        <f>IF(Transactions!$B1166&lt;&gt;"",DATE(LEFT(Transactions!$B1166,4),MID(Transactions!$B1166,6,2),MID(Transactions!$B1166,9,2)),)</f>
        <v/>
      </c>
      <c r="B1166" s="56" t="str">
        <f>Transactions!$C1166</f>
        <v/>
      </c>
      <c r="C1166" s="51" t="str">
        <f t="array" ref="C1166">IFERROR(INDEX(Portfolio!$B:$B, MATCH($B1166, Portfolio!$A:$A, 0)),Transactions!$B1166)</f>
        <v/>
      </c>
      <c r="D1166" s="51" t="str">
        <f>IF($B1166&lt;&gt;"",Transactions!$E1166*1,)</f>
        <v/>
      </c>
      <c r="E1166" s="51" t="str">
        <f>IF($B1166&lt;&gt;"",Transactions!$F1166*1,)</f>
        <v/>
      </c>
      <c r="F1166" s="42" t="str">
        <f>IF(Transactions!$G1166&lt;&gt;"",Transactions!$H1166&amp;" "&amp;Transactions!$G1166,)</f>
        <v/>
      </c>
    </row>
    <row r="1167">
      <c r="A1167" s="55" t="str">
        <f>IF(Transactions!$B1167&lt;&gt;"",DATE(LEFT(Transactions!$B1167,4),MID(Transactions!$B1167,6,2),MID(Transactions!$B1167,9,2)),)</f>
        <v/>
      </c>
      <c r="B1167" s="56" t="str">
        <f>Transactions!$C1167</f>
        <v/>
      </c>
      <c r="C1167" s="51" t="str">
        <f t="array" ref="C1167">IFERROR(INDEX(Portfolio!$B:$B, MATCH($B1167, Portfolio!$A:$A, 0)),Transactions!$B1167)</f>
        <v/>
      </c>
      <c r="D1167" s="51" t="str">
        <f>IF($B1167&lt;&gt;"",Transactions!$E1167*1,)</f>
        <v/>
      </c>
      <c r="E1167" s="51" t="str">
        <f>IF($B1167&lt;&gt;"",Transactions!$F1167*1,)</f>
        <v/>
      </c>
      <c r="F1167" s="42" t="str">
        <f>IF(Transactions!$G1167&lt;&gt;"",Transactions!$H1167&amp;" "&amp;Transactions!$G1167,)</f>
        <v/>
      </c>
    </row>
    <row r="1168">
      <c r="A1168" s="55" t="str">
        <f>IF(Transactions!$B1168&lt;&gt;"",DATE(LEFT(Transactions!$B1168,4),MID(Transactions!$B1168,6,2),MID(Transactions!$B1168,9,2)),)</f>
        <v/>
      </c>
      <c r="B1168" s="56" t="str">
        <f>Transactions!$C1168</f>
        <v/>
      </c>
      <c r="C1168" s="51" t="str">
        <f t="array" ref="C1168">IFERROR(INDEX(Portfolio!$B:$B, MATCH($B1168, Portfolio!$A:$A, 0)),Transactions!$B1168)</f>
        <v/>
      </c>
      <c r="D1168" s="51" t="str">
        <f>IF($B1168&lt;&gt;"",Transactions!$E1168*1,)</f>
        <v/>
      </c>
      <c r="E1168" s="51" t="str">
        <f>IF($B1168&lt;&gt;"",Transactions!$F1168*1,)</f>
        <v/>
      </c>
      <c r="F1168" s="42" t="str">
        <f>IF(Transactions!$G1168&lt;&gt;"",Transactions!$H1168&amp;" "&amp;Transactions!$G1168,)</f>
        <v/>
      </c>
    </row>
    <row r="1169">
      <c r="A1169" s="55" t="str">
        <f>IF(Transactions!$B1169&lt;&gt;"",DATE(LEFT(Transactions!$B1169,4),MID(Transactions!$B1169,6,2),MID(Transactions!$B1169,9,2)),)</f>
        <v/>
      </c>
      <c r="B1169" s="56" t="str">
        <f>Transactions!$C1169</f>
        <v/>
      </c>
      <c r="C1169" s="51" t="str">
        <f t="array" ref="C1169">IFERROR(INDEX(Portfolio!$B:$B, MATCH($B1169, Portfolio!$A:$A, 0)),Transactions!$B1169)</f>
        <v/>
      </c>
      <c r="D1169" s="51" t="str">
        <f>IF($B1169&lt;&gt;"",Transactions!$E1169*1,)</f>
        <v/>
      </c>
      <c r="E1169" s="51" t="str">
        <f>IF($B1169&lt;&gt;"",Transactions!$F1169*1,)</f>
        <v/>
      </c>
      <c r="F1169" s="42" t="str">
        <f>IF(Transactions!$G1169&lt;&gt;"",Transactions!$H1169&amp;" "&amp;Transactions!$G1169,)</f>
        <v/>
      </c>
    </row>
    <row r="1170">
      <c r="A1170" s="55" t="str">
        <f>IF(Transactions!$B1170&lt;&gt;"",DATE(LEFT(Transactions!$B1170,4),MID(Transactions!$B1170,6,2),MID(Transactions!$B1170,9,2)),)</f>
        <v/>
      </c>
      <c r="B1170" s="56" t="str">
        <f>Transactions!$C1170</f>
        <v/>
      </c>
      <c r="C1170" s="51" t="str">
        <f t="array" ref="C1170">IFERROR(INDEX(Portfolio!$B:$B, MATCH($B1170, Portfolio!$A:$A, 0)),Transactions!$B1170)</f>
        <v/>
      </c>
      <c r="D1170" s="51" t="str">
        <f>IF($B1170&lt;&gt;"",Transactions!$E1170*1,)</f>
        <v/>
      </c>
      <c r="E1170" s="51" t="str">
        <f>IF($B1170&lt;&gt;"",Transactions!$F1170*1,)</f>
        <v/>
      </c>
      <c r="F1170" s="42" t="str">
        <f>IF(Transactions!$G1170&lt;&gt;"",Transactions!$H1170&amp;" "&amp;Transactions!$G1170,)</f>
        <v/>
      </c>
    </row>
    <row r="1171">
      <c r="A1171" s="55" t="str">
        <f>IF(Transactions!$B1171&lt;&gt;"",DATE(LEFT(Transactions!$B1171,4),MID(Transactions!$B1171,6,2),MID(Transactions!$B1171,9,2)),)</f>
        <v/>
      </c>
      <c r="B1171" s="56" t="str">
        <f>Transactions!$C1171</f>
        <v/>
      </c>
      <c r="C1171" s="51" t="str">
        <f t="array" ref="C1171">IFERROR(INDEX(Portfolio!$B:$B, MATCH($B1171, Portfolio!$A:$A, 0)),Transactions!$B1171)</f>
        <v/>
      </c>
      <c r="D1171" s="51" t="str">
        <f>IF($B1171&lt;&gt;"",Transactions!$E1171*1,)</f>
        <v/>
      </c>
      <c r="E1171" s="51" t="str">
        <f>IF($B1171&lt;&gt;"",Transactions!$F1171*1,)</f>
        <v/>
      </c>
      <c r="F1171" s="42" t="str">
        <f>IF(Transactions!$G1171&lt;&gt;"",Transactions!$H1171&amp;" "&amp;Transactions!$G1171,)</f>
        <v/>
      </c>
    </row>
    <row r="1172">
      <c r="A1172" s="55" t="str">
        <f>IF(Transactions!$B1172&lt;&gt;"",DATE(LEFT(Transactions!$B1172,4),MID(Transactions!$B1172,6,2),MID(Transactions!$B1172,9,2)),)</f>
        <v/>
      </c>
      <c r="B1172" s="56" t="str">
        <f>Transactions!$C1172</f>
        <v/>
      </c>
      <c r="C1172" s="51" t="str">
        <f t="array" ref="C1172">IFERROR(INDEX(Portfolio!$B:$B, MATCH($B1172, Portfolio!$A:$A, 0)),Transactions!$B1172)</f>
        <v/>
      </c>
      <c r="D1172" s="51" t="str">
        <f>IF($B1172&lt;&gt;"",Transactions!$E1172*1,)</f>
        <v/>
      </c>
      <c r="E1172" s="51" t="str">
        <f>IF($B1172&lt;&gt;"",Transactions!$F1172*1,)</f>
        <v/>
      </c>
      <c r="F1172" s="42" t="str">
        <f>IF(Transactions!$G1172&lt;&gt;"",Transactions!$H1172&amp;" "&amp;Transactions!$G1172,)</f>
        <v/>
      </c>
    </row>
    <row r="1173">
      <c r="A1173" s="55" t="str">
        <f>IF(Transactions!$B1173&lt;&gt;"",DATE(LEFT(Transactions!$B1173,4),MID(Transactions!$B1173,6,2),MID(Transactions!$B1173,9,2)),)</f>
        <v/>
      </c>
      <c r="B1173" s="56" t="str">
        <f>Transactions!$C1173</f>
        <v/>
      </c>
      <c r="C1173" s="51" t="str">
        <f t="array" ref="C1173">IFERROR(INDEX(Portfolio!$B:$B, MATCH($B1173, Portfolio!$A:$A, 0)),Transactions!$B1173)</f>
        <v/>
      </c>
      <c r="D1173" s="51" t="str">
        <f>IF($B1173&lt;&gt;"",Transactions!$E1173*1,)</f>
        <v/>
      </c>
      <c r="E1173" s="51" t="str">
        <f>IF($B1173&lt;&gt;"",Transactions!$F1173*1,)</f>
        <v/>
      </c>
      <c r="F1173" s="42" t="str">
        <f>IF(Transactions!$G1173&lt;&gt;"",Transactions!$H1173&amp;" "&amp;Transactions!$G1173,)</f>
        <v/>
      </c>
    </row>
    <row r="1174">
      <c r="A1174" s="55" t="str">
        <f>IF(Transactions!$B1174&lt;&gt;"",DATE(LEFT(Transactions!$B1174,4),MID(Transactions!$B1174,6,2),MID(Transactions!$B1174,9,2)),)</f>
        <v/>
      </c>
      <c r="B1174" s="56" t="str">
        <f>Transactions!$C1174</f>
        <v/>
      </c>
      <c r="C1174" s="51" t="str">
        <f t="array" ref="C1174">IFERROR(INDEX(Portfolio!$B:$B, MATCH($B1174, Portfolio!$A:$A, 0)),Transactions!$B1174)</f>
        <v/>
      </c>
      <c r="D1174" s="51" t="str">
        <f>IF($B1174&lt;&gt;"",Transactions!$E1174*1,)</f>
        <v/>
      </c>
      <c r="E1174" s="51" t="str">
        <f>IF($B1174&lt;&gt;"",Transactions!$F1174*1,)</f>
        <v/>
      </c>
      <c r="F1174" s="42" t="str">
        <f>IF(Transactions!$G1174&lt;&gt;"",Transactions!$H1174&amp;" "&amp;Transactions!$G1174,)</f>
        <v/>
      </c>
    </row>
    <row r="1175">
      <c r="A1175" s="55" t="str">
        <f>IF(Transactions!$B1175&lt;&gt;"",DATE(LEFT(Transactions!$B1175,4),MID(Transactions!$B1175,6,2),MID(Transactions!$B1175,9,2)),)</f>
        <v/>
      </c>
      <c r="B1175" s="56" t="str">
        <f>Transactions!$C1175</f>
        <v/>
      </c>
      <c r="C1175" s="51" t="str">
        <f t="array" ref="C1175">IFERROR(INDEX(Portfolio!$B:$B, MATCH($B1175, Portfolio!$A:$A, 0)),Transactions!$B1175)</f>
        <v/>
      </c>
      <c r="D1175" s="51" t="str">
        <f>IF($B1175&lt;&gt;"",Transactions!$E1175*1,)</f>
        <v/>
      </c>
      <c r="E1175" s="51" t="str">
        <f>IF($B1175&lt;&gt;"",Transactions!$F1175*1,)</f>
        <v/>
      </c>
      <c r="F1175" s="42" t="str">
        <f>IF(Transactions!$G1175&lt;&gt;"",Transactions!$H1175&amp;" "&amp;Transactions!$G1175,)</f>
        <v/>
      </c>
    </row>
    <row r="1176">
      <c r="A1176" s="55" t="str">
        <f>IF(Transactions!$B1176&lt;&gt;"",DATE(LEFT(Transactions!$B1176,4),MID(Transactions!$B1176,6,2),MID(Transactions!$B1176,9,2)),)</f>
        <v/>
      </c>
      <c r="B1176" s="56" t="str">
        <f>Transactions!$C1176</f>
        <v/>
      </c>
      <c r="C1176" s="51" t="str">
        <f t="array" ref="C1176">IFERROR(INDEX(Portfolio!$B:$B, MATCH($B1176, Portfolio!$A:$A, 0)),Transactions!$B1176)</f>
        <v/>
      </c>
      <c r="D1176" s="51" t="str">
        <f>IF($B1176&lt;&gt;"",Transactions!$E1176*1,)</f>
        <v/>
      </c>
      <c r="E1176" s="51" t="str">
        <f>IF($B1176&lt;&gt;"",Transactions!$F1176*1,)</f>
        <v/>
      </c>
      <c r="F1176" s="42" t="str">
        <f>IF(Transactions!$G1176&lt;&gt;"",Transactions!$H1176&amp;" "&amp;Transactions!$G1176,)</f>
        <v/>
      </c>
    </row>
    <row r="1177">
      <c r="A1177" s="55" t="str">
        <f>IF(Transactions!$B1177&lt;&gt;"",DATE(LEFT(Transactions!$B1177,4),MID(Transactions!$B1177,6,2),MID(Transactions!$B1177,9,2)),)</f>
        <v/>
      </c>
      <c r="B1177" s="56" t="str">
        <f>Transactions!$C1177</f>
        <v/>
      </c>
      <c r="C1177" s="51" t="str">
        <f t="array" ref="C1177">IFERROR(INDEX(Portfolio!$B:$B, MATCH($B1177, Portfolio!$A:$A, 0)),Transactions!$B1177)</f>
        <v/>
      </c>
      <c r="D1177" s="51" t="str">
        <f>IF($B1177&lt;&gt;"",Transactions!$E1177*1,)</f>
        <v/>
      </c>
      <c r="E1177" s="51" t="str">
        <f>IF($B1177&lt;&gt;"",Transactions!$F1177*1,)</f>
        <v/>
      </c>
      <c r="F1177" s="42" t="str">
        <f>IF(Transactions!$G1177&lt;&gt;"",Transactions!$H1177&amp;" "&amp;Transactions!$G1177,)</f>
        <v/>
      </c>
    </row>
    <row r="1178">
      <c r="A1178" s="55" t="str">
        <f>IF(Transactions!$B1178&lt;&gt;"",DATE(LEFT(Transactions!$B1178,4),MID(Transactions!$B1178,6,2),MID(Transactions!$B1178,9,2)),)</f>
        <v/>
      </c>
      <c r="B1178" s="56" t="str">
        <f>Transactions!$C1178</f>
        <v/>
      </c>
      <c r="C1178" s="51" t="str">
        <f t="array" ref="C1178">IFERROR(INDEX(Portfolio!$B:$B, MATCH($B1178, Portfolio!$A:$A, 0)),Transactions!$B1178)</f>
        <v/>
      </c>
      <c r="D1178" s="51" t="str">
        <f>IF($B1178&lt;&gt;"",Transactions!$E1178*1,)</f>
        <v/>
      </c>
      <c r="E1178" s="51" t="str">
        <f>IF($B1178&lt;&gt;"",Transactions!$F1178*1,)</f>
        <v/>
      </c>
      <c r="F1178" s="42" t="str">
        <f>IF(Transactions!$G1178&lt;&gt;"",Transactions!$H1178&amp;" "&amp;Transactions!$G1178,)</f>
        <v/>
      </c>
    </row>
    <row r="1179">
      <c r="A1179" s="55" t="str">
        <f>IF(Transactions!$B1179&lt;&gt;"",DATE(LEFT(Transactions!$B1179,4),MID(Transactions!$B1179,6,2),MID(Transactions!$B1179,9,2)),)</f>
        <v/>
      </c>
      <c r="B1179" s="56" t="str">
        <f>Transactions!$C1179</f>
        <v/>
      </c>
      <c r="C1179" s="51" t="str">
        <f t="array" ref="C1179">IFERROR(INDEX(Portfolio!$B:$B, MATCH($B1179, Portfolio!$A:$A, 0)),Transactions!$B1179)</f>
        <v/>
      </c>
      <c r="D1179" s="51" t="str">
        <f>IF($B1179&lt;&gt;"",Transactions!$E1179*1,)</f>
        <v/>
      </c>
      <c r="E1179" s="51" t="str">
        <f>IF($B1179&lt;&gt;"",Transactions!$F1179*1,)</f>
        <v/>
      </c>
      <c r="F1179" s="42" t="str">
        <f>IF(Transactions!$G1179&lt;&gt;"",Transactions!$H1179&amp;" "&amp;Transactions!$G1179,)</f>
        <v/>
      </c>
    </row>
    <row r="1180">
      <c r="A1180" s="55" t="str">
        <f>IF(Transactions!$B1180&lt;&gt;"",DATE(LEFT(Transactions!$B1180,4),MID(Transactions!$B1180,6,2),MID(Transactions!$B1180,9,2)),)</f>
        <v/>
      </c>
      <c r="B1180" s="56" t="str">
        <f>Transactions!$C1180</f>
        <v/>
      </c>
      <c r="C1180" s="51" t="str">
        <f t="array" ref="C1180">IFERROR(INDEX(Portfolio!$B:$B, MATCH($B1180, Portfolio!$A:$A, 0)),Transactions!$B1180)</f>
        <v/>
      </c>
      <c r="D1180" s="51" t="str">
        <f>IF($B1180&lt;&gt;"",Transactions!$E1180*1,)</f>
        <v/>
      </c>
      <c r="E1180" s="51" t="str">
        <f>IF($B1180&lt;&gt;"",Transactions!$F1180*1,)</f>
        <v/>
      </c>
      <c r="F1180" s="42" t="str">
        <f>IF(Transactions!$G1180&lt;&gt;"",Transactions!$H1180&amp;" "&amp;Transactions!$G1180,)</f>
        <v/>
      </c>
    </row>
    <row r="1181">
      <c r="A1181" s="55" t="str">
        <f>IF(Transactions!$B1181&lt;&gt;"",DATE(LEFT(Transactions!$B1181,4),MID(Transactions!$B1181,6,2),MID(Transactions!$B1181,9,2)),)</f>
        <v/>
      </c>
      <c r="B1181" s="56" t="str">
        <f>Transactions!$C1181</f>
        <v/>
      </c>
      <c r="C1181" s="51" t="str">
        <f t="array" ref="C1181">IFERROR(INDEX(Portfolio!$B:$B, MATCH($B1181, Portfolio!$A:$A, 0)),Transactions!$B1181)</f>
        <v/>
      </c>
      <c r="D1181" s="51" t="str">
        <f>IF($B1181&lt;&gt;"",Transactions!$E1181*1,)</f>
        <v/>
      </c>
      <c r="E1181" s="51" t="str">
        <f>IF($B1181&lt;&gt;"",Transactions!$F1181*1,)</f>
        <v/>
      </c>
      <c r="F1181" s="42" t="str">
        <f>IF(Transactions!$G1181&lt;&gt;"",Transactions!$H1181&amp;" "&amp;Transactions!$G1181,)</f>
        <v/>
      </c>
    </row>
    <row r="1182">
      <c r="A1182" s="55" t="str">
        <f>IF(Transactions!$B1182&lt;&gt;"",DATE(LEFT(Transactions!$B1182,4),MID(Transactions!$B1182,6,2),MID(Transactions!$B1182,9,2)),)</f>
        <v/>
      </c>
      <c r="B1182" s="56" t="str">
        <f>Transactions!$C1182</f>
        <v/>
      </c>
      <c r="C1182" s="51" t="str">
        <f t="array" ref="C1182">IFERROR(INDEX(Portfolio!$B:$B, MATCH($B1182, Portfolio!$A:$A, 0)),Transactions!$B1182)</f>
        <v/>
      </c>
      <c r="D1182" s="51" t="str">
        <f>IF($B1182&lt;&gt;"",Transactions!$E1182*1,)</f>
        <v/>
      </c>
      <c r="E1182" s="51" t="str">
        <f>IF($B1182&lt;&gt;"",Transactions!$F1182*1,)</f>
        <v/>
      </c>
      <c r="F1182" s="42" t="str">
        <f>IF(Transactions!$G1182&lt;&gt;"",Transactions!$H1182&amp;" "&amp;Transactions!$G1182,)</f>
        <v/>
      </c>
    </row>
    <row r="1183">
      <c r="A1183" s="55" t="str">
        <f>IF(Transactions!$B1183&lt;&gt;"",DATE(LEFT(Transactions!$B1183,4),MID(Transactions!$B1183,6,2),MID(Transactions!$B1183,9,2)),)</f>
        <v/>
      </c>
      <c r="B1183" s="56" t="str">
        <f>Transactions!$C1183</f>
        <v/>
      </c>
      <c r="C1183" s="51" t="str">
        <f t="array" ref="C1183">IFERROR(INDEX(Portfolio!$B:$B, MATCH($B1183, Portfolio!$A:$A, 0)),Transactions!$B1183)</f>
        <v/>
      </c>
      <c r="D1183" s="51" t="str">
        <f>IF($B1183&lt;&gt;"",Transactions!$E1183*1,)</f>
        <v/>
      </c>
      <c r="E1183" s="51" t="str">
        <f>IF($B1183&lt;&gt;"",Transactions!$F1183*1,)</f>
        <v/>
      </c>
      <c r="F1183" s="42" t="str">
        <f>IF(Transactions!$G1183&lt;&gt;"",Transactions!$H1183&amp;" "&amp;Transactions!$G1183,)</f>
        <v/>
      </c>
    </row>
    <row r="1184">
      <c r="A1184" s="55" t="str">
        <f>IF(Transactions!$B1184&lt;&gt;"",DATE(LEFT(Transactions!$B1184,4),MID(Transactions!$B1184,6,2),MID(Transactions!$B1184,9,2)),)</f>
        <v/>
      </c>
      <c r="B1184" s="56" t="str">
        <f>Transactions!$C1184</f>
        <v/>
      </c>
      <c r="C1184" s="51" t="str">
        <f t="array" ref="C1184">IFERROR(INDEX(Portfolio!$B:$B, MATCH($B1184, Portfolio!$A:$A, 0)),Transactions!$B1184)</f>
        <v/>
      </c>
      <c r="D1184" s="51" t="str">
        <f>IF($B1184&lt;&gt;"",Transactions!$E1184*1,)</f>
        <v/>
      </c>
      <c r="E1184" s="51" t="str">
        <f>IF($B1184&lt;&gt;"",Transactions!$F1184*1,)</f>
        <v/>
      </c>
      <c r="F1184" s="42" t="str">
        <f>IF(Transactions!$G1184&lt;&gt;"",Transactions!$H1184&amp;" "&amp;Transactions!$G1184,)</f>
        <v/>
      </c>
    </row>
    <row r="1185">
      <c r="A1185" s="55" t="str">
        <f>IF(Transactions!$B1185&lt;&gt;"",DATE(LEFT(Transactions!$B1185,4),MID(Transactions!$B1185,6,2),MID(Transactions!$B1185,9,2)),)</f>
        <v/>
      </c>
      <c r="B1185" s="56" t="str">
        <f>Transactions!$C1185</f>
        <v/>
      </c>
      <c r="C1185" s="51" t="str">
        <f t="array" ref="C1185">IFERROR(INDEX(Portfolio!$B:$B, MATCH($B1185, Portfolio!$A:$A, 0)),Transactions!$B1185)</f>
        <v/>
      </c>
      <c r="D1185" s="51" t="str">
        <f>IF($B1185&lt;&gt;"",Transactions!$E1185*1,)</f>
        <v/>
      </c>
      <c r="E1185" s="51" t="str">
        <f>IF($B1185&lt;&gt;"",Transactions!$F1185*1,)</f>
        <v/>
      </c>
      <c r="F1185" s="42" t="str">
        <f>IF(Transactions!$G1185&lt;&gt;"",Transactions!$H1185&amp;" "&amp;Transactions!$G1185,)</f>
        <v/>
      </c>
    </row>
    <row r="1186">
      <c r="A1186" s="55" t="str">
        <f>IF(Transactions!$B1186&lt;&gt;"",DATE(LEFT(Transactions!$B1186,4),MID(Transactions!$B1186,6,2),MID(Transactions!$B1186,9,2)),)</f>
        <v/>
      </c>
      <c r="B1186" s="56" t="str">
        <f>Transactions!$C1186</f>
        <v/>
      </c>
      <c r="C1186" s="51" t="str">
        <f t="array" ref="C1186">IFERROR(INDEX(Portfolio!$B:$B, MATCH($B1186, Portfolio!$A:$A, 0)),Transactions!$B1186)</f>
        <v/>
      </c>
      <c r="D1186" s="51" t="str">
        <f>IF($B1186&lt;&gt;"",Transactions!$E1186*1,)</f>
        <v/>
      </c>
      <c r="E1186" s="51" t="str">
        <f>IF($B1186&lt;&gt;"",Transactions!$F1186*1,)</f>
        <v/>
      </c>
      <c r="F1186" s="42" t="str">
        <f>IF(Transactions!$G1186&lt;&gt;"",Transactions!$H1186&amp;" "&amp;Transactions!$G1186,)</f>
        <v/>
      </c>
    </row>
    <row r="1187">
      <c r="A1187" s="55" t="str">
        <f>IF(Transactions!$B1187&lt;&gt;"",DATE(LEFT(Transactions!$B1187,4),MID(Transactions!$B1187,6,2),MID(Transactions!$B1187,9,2)),)</f>
        <v/>
      </c>
      <c r="B1187" s="56" t="str">
        <f>Transactions!$C1187</f>
        <v/>
      </c>
      <c r="C1187" s="51" t="str">
        <f t="array" ref="C1187">IFERROR(INDEX(Portfolio!$B:$B, MATCH($B1187, Portfolio!$A:$A, 0)),Transactions!$B1187)</f>
        <v/>
      </c>
      <c r="D1187" s="51" t="str">
        <f>IF($B1187&lt;&gt;"",Transactions!$E1187*1,)</f>
        <v/>
      </c>
      <c r="E1187" s="51" t="str">
        <f>IF($B1187&lt;&gt;"",Transactions!$F1187*1,)</f>
        <v/>
      </c>
      <c r="F1187" s="42" t="str">
        <f>IF(Transactions!$G1187&lt;&gt;"",Transactions!$H1187&amp;" "&amp;Transactions!$G1187,)</f>
        <v/>
      </c>
    </row>
    <row r="1188">
      <c r="A1188" s="55" t="str">
        <f>IF(Transactions!$B1188&lt;&gt;"",DATE(LEFT(Transactions!$B1188,4),MID(Transactions!$B1188,6,2),MID(Transactions!$B1188,9,2)),)</f>
        <v/>
      </c>
      <c r="B1188" s="56" t="str">
        <f>Transactions!$C1188</f>
        <v/>
      </c>
      <c r="C1188" s="51" t="str">
        <f t="array" ref="C1188">IFERROR(INDEX(Portfolio!$B:$B, MATCH($B1188, Portfolio!$A:$A, 0)),Transactions!$B1188)</f>
        <v/>
      </c>
      <c r="D1188" s="51" t="str">
        <f>IF($B1188&lt;&gt;"",Transactions!$E1188*1,)</f>
        <v/>
      </c>
      <c r="E1188" s="51" t="str">
        <f>IF($B1188&lt;&gt;"",Transactions!$F1188*1,)</f>
        <v/>
      </c>
      <c r="F1188" s="42" t="str">
        <f>IF(Transactions!$G1188&lt;&gt;"",Transactions!$H1188&amp;" "&amp;Transactions!$G1188,)</f>
        <v/>
      </c>
    </row>
    <row r="1189">
      <c r="A1189" s="55" t="str">
        <f>IF(Transactions!$B1189&lt;&gt;"",DATE(LEFT(Transactions!$B1189,4),MID(Transactions!$B1189,6,2),MID(Transactions!$B1189,9,2)),)</f>
        <v/>
      </c>
      <c r="B1189" s="56" t="str">
        <f>Transactions!$C1189</f>
        <v/>
      </c>
      <c r="C1189" s="51" t="str">
        <f t="array" ref="C1189">IFERROR(INDEX(Portfolio!$B:$B, MATCH($B1189, Portfolio!$A:$A, 0)),Transactions!$B1189)</f>
        <v/>
      </c>
      <c r="D1189" s="51" t="str">
        <f>IF($B1189&lt;&gt;"",Transactions!$E1189*1,)</f>
        <v/>
      </c>
      <c r="E1189" s="51" t="str">
        <f>IF($B1189&lt;&gt;"",Transactions!$F1189*1,)</f>
        <v/>
      </c>
      <c r="F1189" s="42" t="str">
        <f>IF(Transactions!$G1189&lt;&gt;"",Transactions!$H1189&amp;" "&amp;Transactions!$G1189,)</f>
        <v/>
      </c>
    </row>
    <row r="1190">
      <c r="A1190" s="55" t="str">
        <f>IF(Transactions!$B1190&lt;&gt;"",DATE(LEFT(Transactions!$B1190,4),MID(Transactions!$B1190,6,2),MID(Transactions!$B1190,9,2)),)</f>
        <v/>
      </c>
      <c r="B1190" s="56" t="str">
        <f>Transactions!$C1190</f>
        <v/>
      </c>
      <c r="C1190" s="51" t="str">
        <f t="array" ref="C1190">IFERROR(INDEX(Portfolio!$B:$B, MATCH($B1190, Portfolio!$A:$A, 0)),Transactions!$B1190)</f>
        <v/>
      </c>
      <c r="D1190" s="51" t="str">
        <f>IF($B1190&lt;&gt;"",Transactions!$E1190*1,)</f>
        <v/>
      </c>
      <c r="E1190" s="51" t="str">
        <f>IF($B1190&lt;&gt;"",Transactions!$F1190*1,)</f>
        <v/>
      </c>
      <c r="F1190" s="42" t="str">
        <f>IF(Transactions!$G1190&lt;&gt;"",Transactions!$H1190&amp;" "&amp;Transactions!$G1190,)</f>
        <v/>
      </c>
    </row>
    <row r="1191">
      <c r="A1191" s="55" t="str">
        <f>IF(Transactions!$B1191&lt;&gt;"",DATE(LEFT(Transactions!$B1191,4),MID(Transactions!$B1191,6,2),MID(Transactions!$B1191,9,2)),)</f>
        <v/>
      </c>
      <c r="B1191" s="56" t="str">
        <f>Transactions!$C1191</f>
        <v/>
      </c>
      <c r="C1191" s="51" t="str">
        <f t="array" ref="C1191">IFERROR(INDEX(Portfolio!$B:$B, MATCH($B1191, Portfolio!$A:$A, 0)),Transactions!$B1191)</f>
        <v/>
      </c>
      <c r="D1191" s="51" t="str">
        <f>IF($B1191&lt;&gt;"",Transactions!$E1191*1,)</f>
        <v/>
      </c>
      <c r="E1191" s="51" t="str">
        <f>IF($B1191&lt;&gt;"",Transactions!$F1191*1,)</f>
        <v/>
      </c>
      <c r="F1191" s="42" t="str">
        <f>IF(Transactions!$G1191&lt;&gt;"",Transactions!$H1191&amp;" "&amp;Transactions!$G1191,)</f>
        <v/>
      </c>
    </row>
    <row r="1192">
      <c r="A1192" s="55" t="str">
        <f>IF(Transactions!$B1192&lt;&gt;"",DATE(LEFT(Transactions!$B1192,4),MID(Transactions!$B1192,6,2),MID(Transactions!$B1192,9,2)),)</f>
        <v/>
      </c>
      <c r="B1192" s="56" t="str">
        <f>Transactions!$C1192</f>
        <v/>
      </c>
      <c r="C1192" s="51" t="str">
        <f t="array" ref="C1192">IFERROR(INDEX(Portfolio!$B:$B, MATCH($B1192, Portfolio!$A:$A, 0)),Transactions!$B1192)</f>
        <v/>
      </c>
      <c r="D1192" s="51" t="str">
        <f>IF($B1192&lt;&gt;"",Transactions!$E1192*1,)</f>
        <v/>
      </c>
      <c r="E1192" s="51" t="str">
        <f>IF($B1192&lt;&gt;"",Transactions!$F1192*1,)</f>
        <v/>
      </c>
      <c r="F1192" s="42" t="str">
        <f>IF(Transactions!$G1192&lt;&gt;"",Transactions!$H1192&amp;" "&amp;Transactions!$G1192,)</f>
        <v/>
      </c>
    </row>
    <row r="1193">
      <c r="A1193" s="55" t="str">
        <f>IF(Transactions!$B1193&lt;&gt;"",DATE(LEFT(Transactions!$B1193,4),MID(Transactions!$B1193,6,2),MID(Transactions!$B1193,9,2)),)</f>
        <v/>
      </c>
      <c r="B1193" s="56" t="str">
        <f>Transactions!$C1193</f>
        <v/>
      </c>
      <c r="C1193" s="51" t="str">
        <f t="array" ref="C1193">IFERROR(INDEX(Portfolio!$B:$B, MATCH($B1193, Portfolio!$A:$A, 0)),Transactions!$B1193)</f>
        <v/>
      </c>
      <c r="D1193" s="51" t="str">
        <f>IF($B1193&lt;&gt;"",Transactions!$E1193*1,)</f>
        <v/>
      </c>
      <c r="E1193" s="51" t="str">
        <f>IF($B1193&lt;&gt;"",Transactions!$F1193*1,)</f>
        <v/>
      </c>
      <c r="F1193" s="42" t="str">
        <f>IF(Transactions!$G1193&lt;&gt;"",Transactions!$H1193&amp;" "&amp;Transactions!$G1193,)</f>
        <v/>
      </c>
    </row>
    <row r="1194">
      <c r="A1194" s="55" t="str">
        <f>IF(Transactions!$B1194&lt;&gt;"",DATE(LEFT(Transactions!$B1194,4),MID(Transactions!$B1194,6,2),MID(Transactions!$B1194,9,2)),)</f>
        <v/>
      </c>
      <c r="B1194" s="56" t="str">
        <f>Transactions!$C1194</f>
        <v/>
      </c>
      <c r="C1194" s="51" t="str">
        <f t="array" ref="C1194">IFERROR(INDEX(Portfolio!$B:$B, MATCH($B1194, Portfolio!$A:$A, 0)),Transactions!$B1194)</f>
        <v/>
      </c>
      <c r="D1194" s="51" t="str">
        <f>IF($B1194&lt;&gt;"",Transactions!$E1194*1,)</f>
        <v/>
      </c>
      <c r="E1194" s="51" t="str">
        <f>IF($B1194&lt;&gt;"",Transactions!$F1194*1,)</f>
        <v/>
      </c>
      <c r="F1194" s="42" t="str">
        <f>IF(Transactions!$G1194&lt;&gt;"",Transactions!$H1194&amp;" "&amp;Transactions!$G1194,)</f>
        <v/>
      </c>
    </row>
    <row r="1195">
      <c r="A1195" s="55" t="str">
        <f>IF(Transactions!$B1195&lt;&gt;"",DATE(LEFT(Transactions!$B1195,4),MID(Transactions!$B1195,6,2),MID(Transactions!$B1195,9,2)),)</f>
        <v/>
      </c>
      <c r="B1195" s="56" t="str">
        <f>Transactions!$C1195</f>
        <v/>
      </c>
      <c r="C1195" s="51" t="str">
        <f t="array" ref="C1195">IFERROR(INDEX(Portfolio!$B:$B, MATCH($B1195, Portfolio!$A:$A, 0)),Transactions!$B1195)</f>
        <v/>
      </c>
      <c r="D1195" s="51" t="str">
        <f>IF($B1195&lt;&gt;"",Transactions!$E1195*1,)</f>
        <v/>
      </c>
      <c r="E1195" s="51" t="str">
        <f>IF($B1195&lt;&gt;"",Transactions!$F1195*1,)</f>
        <v/>
      </c>
      <c r="F1195" s="42" t="str">
        <f>IF(Transactions!$G1195&lt;&gt;"",Transactions!$H1195&amp;" "&amp;Transactions!$G1195,)</f>
        <v/>
      </c>
    </row>
    <row r="1196">
      <c r="A1196" s="55" t="str">
        <f>IF(Transactions!$B1196&lt;&gt;"",DATE(LEFT(Transactions!$B1196,4),MID(Transactions!$B1196,6,2),MID(Transactions!$B1196,9,2)),)</f>
        <v/>
      </c>
      <c r="B1196" s="56" t="str">
        <f>Transactions!$C1196</f>
        <v/>
      </c>
      <c r="C1196" s="51" t="str">
        <f t="array" ref="C1196">IFERROR(INDEX(Portfolio!$B:$B, MATCH($B1196, Portfolio!$A:$A, 0)),Transactions!$B1196)</f>
        <v/>
      </c>
      <c r="D1196" s="51" t="str">
        <f>IF($B1196&lt;&gt;"",Transactions!$E1196*1,)</f>
        <v/>
      </c>
      <c r="E1196" s="51" t="str">
        <f>IF($B1196&lt;&gt;"",Transactions!$F1196*1,)</f>
        <v/>
      </c>
      <c r="F1196" s="42" t="str">
        <f>IF(Transactions!$G1196&lt;&gt;"",Transactions!$H1196&amp;" "&amp;Transactions!$G1196,)</f>
        <v/>
      </c>
    </row>
    <row r="1197">
      <c r="A1197" s="55" t="str">
        <f>IF(Transactions!$B1197&lt;&gt;"",DATE(LEFT(Transactions!$B1197,4),MID(Transactions!$B1197,6,2),MID(Transactions!$B1197,9,2)),)</f>
        <v/>
      </c>
      <c r="B1197" s="56" t="str">
        <f>Transactions!$C1197</f>
        <v/>
      </c>
      <c r="C1197" s="51" t="str">
        <f t="array" ref="C1197">IFERROR(INDEX(Portfolio!$B:$B, MATCH($B1197, Portfolio!$A:$A, 0)),Transactions!$B1197)</f>
        <v/>
      </c>
      <c r="D1197" s="51" t="str">
        <f>IF($B1197&lt;&gt;"",Transactions!$E1197*1,)</f>
        <v/>
      </c>
      <c r="E1197" s="51" t="str">
        <f>IF($B1197&lt;&gt;"",Transactions!$F1197*1,)</f>
        <v/>
      </c>
      <c r="F1197" s="42" t="str">
        <f>IF(Transactions!$G1197&lt;&gt;"",Transactions!$H1197&amp;" "&amp;Transactions!$G1197,)</f>
        <v/>
      </c>
    </row>
    <row r="1198">
      <c r="A1198" s="55" t="str">
        <f>IF(Transactions!$B1198&lt;&gt;"",DATE(LEFT(Transactions!$B1198,4),MID(Transactions!$B1198,6,2),MID(Transactions!$B1198,9,2)),)</f>
        <v/>
      </c>
      <c r="B1198" s="56" t="str">
        <f>Transactions!$C1198</f>
        <v/>
      </c>
      <c r="C1198" s="51" t="str">
        <f t="array" ref="C1198">IFERROR(INDEX(Portfolio!$B:$B, MATCH($B1198, Portfolio!$A:$A, 0)),Transactions!$B1198)</f>
        <v/>
      </c>
      <c r="D1198" s="51" t="str">
        <f>IF($B1198&lt;&gt;"",Transactions!$E1198*1,)</f>
        <v/>
      </c>
      <c r="E1198" s="51" t="str">
        <f>IF($B1198&lt;&gt;"",Transactions!$F1198*1,)</f>
        <v/>
      </c>
      <c r="F1198" s="42" t="str">
        <f>IF(Transactions!$G1198&lt;&gt;"",Transactions!$H1198&amp;" "&amp;Transactions!$G1198,)</f>
        <v/>
      </c>
    </row>
    <row r="1199">
      <c r="A1199" s="55" t="str">
        <f>IF(Transactions!$B1199&lt;&gt;"",DATE(LEFT(Transactions!$B1199,4),MID(Transactions!$B1199,6,2),MID(Transactions!$B1199,9,2)),)</f>
        <v/>
      </c>
      <c r="B1199" s="56" t="str">
        <f>Transactions!$C1199</f>
        <v/>
      </c>
      <c r="C1199" s="51" t="str">
        <f t="array" ref="C1199">IFERROR(INDEX(Portfolio!$B:$B, MATCH($B1199, Portfolio!$A:$A, 0)),Transactions!$B1199)</f>
        <v/>
      </c>
      <c r="D1199" s="51" t="str">
        <f>IF($B1199&lt;&gt;"",Transactions!$E1199*1,)</f>
        <v/>
      </c>
      <c r="E1199" s="51" t="str">
        <f>IF($B1199&lt;&gt;"",Transactions!$F1199*1,)</f>
        <v/>
      </c>
      <c r="F1199" s="42" t="str">
        <f>IF(Transactions!$G1199&lt;&gt;"",Transactions!$H1199&amp;" "&amp;Transactions!$G1199,)</f>
        <v/>
      </c>
    </row>
    <row r="1200">
      <c r="A1200" s="55" t="str">
        <f>IF(Transactions!$B1200&lt;&gt;"",DATE(LEFT(Transactions!$B1200,4),MID(Transactions!$B1200,6,2),MID(Transactions!$B1200,9,2)),)</f>
        <v/>
      </c>
      <c r="B1200" s="56" t="str">
        <f>Transactions!$C1200</f>
        <v/>
      </c>
      <c r="C1200" s="51" t="str">
        <f t="array" ref="C1200">IFERROR(INDEX(Portfolio!$B:$B, MATCH($B1200, Portfolio!$A:$A, 0)),Transactions!$B1200)</f>
        <v/>
      </c>
      <c r="D1200" s="51" t="str">
        <f>IF($B1200&lt;&gt;"",Transactions!$E1200*1,)</f>
        <v/>
      </c>
      <c r="E1200" s="51" t="str">
        <f>IF($B1200&lt;&gt;"",Transactions!$F1200*1,)</f>
        <v/>
      </c>
      <c r="F1200" s="42" t="str">
        <f>IF(Transactions!$G1200&lt;&gt;"",Transactions!$H1200&amp;" "&amp;Transactions!$G1200,)</f>
        <v/>
      </c>
    </row>
    <row r="1201">
      <c r="A1201" s="55" t="str">
        <f>IF(Transactions!$B1201&lt;&gt;"",DATE(LEFT(Transactions!$B1201,4),MID(Transactions!$B1201,6,2),MID(Transactions!$B1201,9,2)),)</f>
        <v/>
      </c>
      <c r="B1201" s="56" t="str">
        <f>Transactions!$C1201</f>
        <v/>
      </c>
      <c r="C1201" s="51" t="str">
        <f t="array" ref="C1201">IFERROR(INDEX(Portfolio!$B:$B, MATCH($B1201, Portfolio!$A:$A, 0)),Transactions!$B1201)</f>
        <v/>
      </c>
      <c r="D1201" s="51" t="str">
        <f>IF($B1201&lt;&gt;"",Transactions!$E1201*1,)</f>
        <v/>
      </c>
      <c r="E1201" s="51" t="str">
        <f>IF($B1201&lt;&gt;"",Transactions!$F1201*1,)</f>
        <v/>
      </c>
      <c r="F1201" s="42" t="str">
        <f>IF(Transactions!$G1201&lt;&gt;"",Transactions!$H1201&amp;" "&amp;Transactions!$G1201,)</f>
        <v/>
      </c>
    </row>
    <row r="1202">
      <c r="A1202" s="55" t="str">
        <f>IF(Transactions!$B1202&lt;&gt;"",DATE(LEFT(Transactions!$B1202,4),MID(Transactions!$B1202,6,2),MID(Transactions!$B1202,9,2)),)</f>
        <v/>
      </c>
      <c r="B1202" s="56" t="str">
        <f>Transactions!$C1202</f>
        <v/>
      </c>
      <c r="C1202" s="51" t="str">
        <f t="array" ref="C1202">IFERROR(INDEX(Portfolio!$B:$B, MATCH($B1202, Portfolio!$A:$A, 0)),Transactions!$B1202)</f>
        <v/>
      </c>
      <c r="D1202" s="51" t="str">
        <f>IF($B1202&lt;&gt;"",Transactions!$E1202*1,)</f>
        <v/>
      </c>
      <c r="E1202" s="51" t="str">
        <f>IF($B1202&lt;&gt;"",Transactions!$F1202*1,)</f>
        <v/>
      </c>
      <c r="F1202" s="42" t="str">
        <f>IF(Transactions!$G1202&lt;&gt;"",Transactions!$H1202&amp;" "&amp;Transactions!$G1202,)</f>
        <v/>
      </c>
    </row>
    <row r="1203">
      <c r="A1203" s="55" t="str">
        <f>IF(Transactions!$B1203&lt;&gt;"",DATE(LEFT(Transactions!$B1203,4),MID(Transactions!$B1203,6,2),MID(Transactions!$B1203,9,2)),)</f>
        <v/>
      </c>
      <c r="B1203" s="56" t="str">
        <f>Transactions!$C1203</f>
        <v/>
      </c>
      <c r="C1203" s="51" t="str">
        <f t="array" ref="C1203">IFERROR(INDEX(Portfolio!$B:$B, MATCH($B1203, Portfolio!$A:$A, 0)),Transactions!$B1203)</f>
        <v/>
      </c>
      <c r="D1203" s="51" t="str">
        <f>IF($B1203&lt;&gt;"",Transactions!$E1203*1,)</f>
        <v/>
      </c>
      <c r="E1203" s="51" t="str">
        <f>IF($B1203&lt;&gt;"",Transactions!$F1203*1,)</f>
        <v/>
      </c>
      <c r="F1203" s="42" t="str">
        <f>IF(Transactions!$G1203&lt;&gt;"",Transactions!$H1203&amp;" "&amp;Transactions!$G1203,)</f>
        <v/>
      </c>
    </row>
    <row r="1204">
      <c r="A1204" s="55" t="str">
        <f>IF(Transactions!$B1204&lt;&gt;"",DATE(LEFT(Transactions!$B1204,4),MID(Transactions!$B1204,6,2),MID(Transactions!$B1204,9,2)),)</f>
        <v/>
      </c>
      <c r="B1204" s="56" t="str">
        <f>Transactions!$C1204</f>
        <v/>
      </c>
      <c r="C1204" s="51" t="str">
        <f t="array" ref="C1204">IFERROR(INDEX(Portfolio!$B:$B, MATCH($B1204, Portfolio!$A:$A, 0)),Transactions!$B1204)</f>
        <v/>
      </c>
      <c r="D1204" s="51" t="str">
        <f>IF($B1204&lt;&gt;"",Transactions!$E1204*1,)</f>
        <v/>
      </c>
      <c r="E1204" s="51" t="str">
        <f>IF($B1204&lt;&gt;"",Transactions!$F1204*1,)</f>
        <v/>
      </c>
      <c r="F1204" s="42" t="str">
        <f>IF(Transactions!$G1204&lt;&gt;"",Transactions!$H1204&amp;" "&amp;Transactions!$G1204,)</f>
        <v/>
      </c>
    </row>
    <row r="1205">
      <c r="A1205" s="55" t="str">
        <f>IF(Transactions!$B1205&lt;&gt;"",DATE(LEFT(Transactions!$B1205,4),MID(Transactions!$B1205,6,2),MID(Transactions!$B1205,9,2)),)</f>
        <v/>
      </c>
      <c r="B1205" s="56" t="str">
        <f>Transactions!$C1205</f>
        <v/>
      </c>
      <c r="C1205" s="51" t="str">
        <f t="array" ref="C1205">IFERROR(INDEX(Portfolio!$B:$B, MATCH($B1205, Portfolio!$A:$A, 0)),Transactions!$B1205)</f>
        <v/>
      </c>
      <c r="D1205" s="51" t="str">
        <f>IF($B1205&lt;&gt;"",Transactions!$E1205*1,)</f>
        <v/>
      </c>
      <c r="E1205" s="51" t="str">
        <f>IF($B1205&lt;&gt;"",Transactions!$F1205*1,)</f>
        <v/>
      </c>
      <c r="F1205" s="42" t="str">
        <f>IF(Transactions!$G1205&lt;&gt;"",Transactions!$H1205&amp;" "&amp;Transactions!$G1205,)</f>
        <v/>
      </c>
    </row>
    <row r="1206">
      <c r="A1206" s="55" t="str">
        <f>IF(Transactions!$B1206&lt;&gt;"",DATE(LEFT(Transactions!$B1206,4),MID(Transactions!$B1206,6,2),MID(Transactions!$B1206,9,2)),)</f>
        <v/>
      </c>
      <c r="B1206" s="56" t="str">
        <f>Transactions!$C1206</f>
        <v/>
      </c>
      <c r="C1206" s="51" t="str">
        <f t="array" ref="C1206">IFERROR(INDEX(Portfolio!$B:$B, MATCH($B1206, Portfolio!$A:$A, 0)),Transactions!$B1206)</f>
        <v/>
      </c>
      <c r="D1206" s="51" t="str">
        <f>IF($B1206&lt;&gt;"",Transactions!$E1206*1,)</f>
        <v/>
      </c>
      <c r="E1206" s="51" t="str">
        <f>IF($B1206&lt;&gt;"",Transactions!$F1206*1,)</f>
        <v/>
      </c>
      <c r="F1206" s="42" t="str">
        <f>IF(Transactions!$G1206&lt;&gt;"",Transactions!$H1206&amp;" "&amp;Transactions!$G1206,)</f>
        <v/>
      </c>
    </row>
    <row r="1207">
      <c r="A1207" s="55" t="str">
        <f>IF(Transactions!$B1207&lt;&gt;"",DATE(LEFT(Transactions!$B1207,4),MID(Transactions!$B1207,6,2),MID(Transactions!$B1207,9,2)),)</f>
        <v/>
      </c>
      <c r="B1207" s="56" t="str">
        <f>Transactions!$C1207</f>
        <v/>
      </c>
      <c r="C1207" s="51" t="str">
        <f t="array" ref="C1207">IFERROR(INDEX(Portfolio!$B:$B, MATCH($B1207, Portfolio!$A:$A, 0)),Transactions!$B1207)</f>
        <v/>
      </c>
      <c r="D1207" s="51" t="str">
        <f>IF($B1207&lt;&gt;"",Transactions!$E1207*1,)</f>
        <v/>
      </c>
      <c r="E1207" s="51" t="str">
        <f>IF($B1207&lt;&gt;"",Transactions!$F1207*1,)</f>
        <v/>
      </c>
      <c r="F1207" s="42" t="str">
        <f>IF(Transactions!$G1207&lt;&gt;"",Transactions!$H1207&amp;" "&amp;Transactions!$G1207,)</f>
        <v/>
      </c>
    </row>
    <row r="1208">
      <c r="A1208" s="55" t="str">
        <f>IF(Transactions!$B1208&lt;&gt;"",DATE(LEFT(Transactions!$B1208,4),MID(Transactions!$B1208,6,2),MID(Transactions!$B1208,9,2)),)</f>
        <v/>
      </c>
      <c r="B1208" s="56" t="str">
        <f>Transactions!$C1208</f>
        <v/>
      </c>
      <c r="C1208" s="51" t="str">
        <f t="array" ref="C1208">IFERROR(INDEX(Portfolio!$B:$B, MATCH($B1208, Portfolio!$A:$A, 0)),Transactions!$B1208)</f>
        <v/>
      </c>
      <c r="D1208" s="51" t="str">
        <f>IF($B1208&lt;&gt;"",Transactions!$E1208*1,)</f>
        <v/>
      </c>
      <c r="E1208" s="51" t="str">
        <f>IF($B1208&lt;&gt;"",Transactions!$F1208*1,)</f>
        <v/>
      </c>
      <c r="F1208" s="42" t="str">
        <f>IF(Transactions!$G1208&lt;&gt;"",Transactions!$H1208&amp;" "&amp;Transactions!$G1208,)</f>
        <v/>
      </c>
    </row>
    <row r="1209">
      <c r="A1209" s="55" t="str">
        <f>IF(Transactions!$B1209&lt;&gt;"",DATE(LEFT(Transactions!$B1209,4),MID(Transactions!$B1209,6,2),MID(Transactions!$B1209,9,2)),)</f>
        <v/>
      </c>
      <c r="B1209" s="56" t="str">
        <f>Transactions!$C1209</f>
        <v/>
      </c>
      <c r="C1209" s="51" t="str">
        <f t="array" ref="C1209">IFERROR(INDEX(Portfolio!$B:$B, MATCH($B1209, Portfolio!$A:$A, 0)),Transactions!$B1209)</f>
        <v/>
      </c>
      <c r="D1209" s="51" t="str">
        <f>IF($B1209&lt;&gt;"",Transactions!$E1209*1,)</f>
        <v/>
      </c>
      <c r="E1209" s="51" t="str">
        <f>IF($B1209&lt;&gt;"",Transactions!$F1209*1,)</f>
        <v/>
      </c>
      <c r="F1209" s="42" t="str">
        <f>IF(Transactions!$G1209&lt;&gt;"",Transactions!$H1209&amp;" "&amp;Transactions!$G1209,)</f>
        <v/>
      </c>
    </row>
    <row r="1210">
      <c r="A1210" s="55" t="str">
        <f>IF(Transactions!$B1210&lt;&gt;"",DATE(LEFT(Transactions!$B1210,4),MID(Transactions!$B1210,6,2),MID(Transactions!$B1210,9,2)),)</f>
        <v/>
      </c>
      <c r="B1210" s="56" t="str">
        <f>Transactions!$C1210</f>
        <v/>
      </c>
      <c r="C1210" s="51" t="str">
        <f t="array" ref="C1210">IFERROR(INDEX(Portfolio!$B:$B, MATCH($B1210, Portfolio!$A:$A, 0)),Transactions!$B1210)</f>
        <v/>
      </c>
      <c r="D1210" s="51" t="str">
        <f>IF($B1210&lt;&gt;"",Transactions!$E1210*1,)</f>
        <v/>
      </c>
      <c r="E1210" s="51" t="str">
        <f>IF($B1210&lt;&gt;"",Transactions!$F1210*1,)</f>
        <v/>
      </c>
      <c r="F1210" s="42" t="str">
        <f>IF(Transactions!$G1210&lt;&gt;"",Transactions!$H1210&amp;" "&amp;Transactions!$G1210,)</f>
        <v/>
      </c>
    </row>
    <row r="1211">
      <c r="A1211" s="55" t="str">
        <f>IF(Transactions!$B1211&lt;&gt;"",DATE(LEFT(Transactions!$B1211,4),MID(Transactions!$B1211,6,2),MID(Transactions!$B1211,9,2)),)</f>
        <v/>
      </c>
      <c r="B1211" s="56" t="str">
        <f>Transactions!$C1211</f>
        <v/>
      </c>
      <c r="C1211" s="51" t="str">
        <f t="array" ref="C1211">IFERROR(INDEX(Portfolio!$B:$B, MATCH($B1211, Portfolio!$A:$A, 0)),Transactions!$B1211)</f>
        <v/>
      </c>
      <c r="D1211" s="51" t="str">
        <f>IF($B1211&lt;&gt;"",Transactions!$E1211*1,)</f>
        <v/>
      </c>
      <c r="E1211" s="51" t="str">
        <f>IF($B1211&lt;&gt;"",Transactions!$F1211*1,)</f>
        <v/>
      </c>
      <c r="F1211" s="42" t="str">
        <f>IF(Transactions!$G1211&lt;&gt;"",Transactions!$H1211&amp;" "&amp;Transactions!$G1211,)</f>
        <v/>
      </c>
    </row>
    <row r="1212">
      <c r="A1212" s="55" t="str">
        <f>IF(Transactions!$B1212&lt;&gt;"",DATE(LEFT(Transactions!$B1212,4),MID(Transactions!$B1212,6,2),MID(Transactions!$B1212,9,2)),)</f>
        <v/>
      </c>
      <c r="B1212" s="56" t="str">
        <f>Transactions!$C1212</f>
        <v/>
      </c>
      <c r="C1212" s="51" t="str">
        <f t="array" ref="C1212">IFERROR(INDEX(Portfolio!$B:$B, MATCH($B1212, Portfolio!$A:$A, 0)),Transactions!$B1212)</f>
        <v/>
      </c>
      <c r="D1212" s="51" t="str">
        <f>IF($B1212&lt;&gt;"",Transactions!$E1212*1,)</f>
        <v/>
      </c>
      <c r="E1212" s="51" t="str">
        <f>IF($B1212&lt;&gt;"",Transactions!$F1212*1,)</f>
        <v/>
      </c>
      <c r="F1212" s="42" t="str">
        <f>IF(Transactions!$G1212&lt;&gt;"",Transactions!$H1212&amp;" "&amp;Transactions!$G1212,)</f>
        <v/>
      </c>
    </row>
    <row r="1213">
      <c r="A1213" s="55" t="str">
        <f>IF(Transactions!$B1213&lt;&gt;"",DATE(LEFT(Transactions!$B1213,4),MID(Transactions!$B1213,6,2),MID(Transactions!$B1213,9,2)),)</f>
        <v/>
      </c>
      <c r="B1213" s="56" t="str">
        <f>Transactions!$C1213</f>
        <v/>
      </c>
      <c r="C1213" s="51" t="str">
        <f t="array" ref="C1213">IFERROR(INDEX(Portfolio!$B:$B, MATCH($B1213, Portfolio!$A:$A, 0)),Transactions!$B1213)</f>
        <v/>
      </c>
      <c r="D1213" s="51" t="str">
        <f>IF($B1213&lt;&gt;"",Transactions!$E1213*1,)</f>
        <v/>
      </c>
      <c r="E1213" s="51" t="str">
        <f>IF($B1213&lt;&gt;"",Transactions!$F1213*1,)</f>
        <v/>
      </c>
      <c r="F1213" s="42" t="str">
        <f>IF(Transactions!$G1213&lt;&gt;"",Transactions!$H1213&amp;" "&amp;Transactions!$G1213,)</f>
        <v/>
      </c>
    </row>
    <row r="1214">
      <c r="A1214" s="55" t="str">
        <f>IF(Transactions!$B1214&lt;&gt;"",DATE(LEFT(Transactions!$B1214,4),MID(Transactions!$B1214,6,2),MID(Transactions!$B1214,9,2)),)</f>
        <v/>
      </c>
      <c r="B1214" s="56" t="str">
        <f>Transactions!$C1214</f>
        <v/>
      </c>
      <c r="C1214" s="51" t="str">
        <f t="array" ref="C1214">IFERROR(INDEX(Portfolio!$B:$B, MATCH($B1214, Portfolio!$A:$A, 0)),Transactions!$B1214)</f>
        <v/>
      </c>
      <c r="D1214" s="51" t="str">
        <f>IF($B1214&lt;&gt;"",Transactions!$E1214*1,)</f>
        <v/>
      </c>
      <c r="E1214" s="51" t="str">
        <f>IF($B1214&lt;&gt;"",Transactions!$F1214*1,)</f>
        <v/>
      </c>
      <c r="F1214" s="42" t="str">
        <f>IF(Transactions!$G1214&lt;&gt;"",Transactions!$H1214&amp;" "&amp;Transactions!$G1214,)</f>
        <v/>
      </c>
    </row>
    <row r="1215">
      <c r="A1215" s="55" t="str">
        <f>IF(Transactions!$B1215&lt;&gt;"",DATE(LEFT(Transactions!$B1215,4),MID(Transactions!$B1215,6,2),MID(Transactions!$B1215,9,2)),)</f>
        <v/>
      </c>
      <c r="B1215" s="56" t="str">
        <f>Transactions!$C1215</f>
        <v/>
      </c>
      <c r="C1215" s="51" t="str">
        <f t="array" ref="C1215">IFERROR(INDEX(Portfolio!$B:$B, MATCH($B1215, Portfolio!$A:$A, 0)),Transactions!$B1215)</f>
        <v/>
      </c>
      <c r="D1215" s="51" t="str">
        <f>IF($B1215&lt;&gt;"",Transactions!$E1215*1,)</f>
        <v/>
      </c>
      <c r="E1215" s="51" t="str">
        <f>IF($B1215&lt;&gt;"",Transactions!$F1215*1,)</f>
        <v/>
      </c>
      <c r="F1215" s="42" t="str">
        <f>IF(Transactions!$G1215&lt;&gt;"",Transactions!$H1215&amp;" "&amp;Transactions!$G1215,)</f>
        <v/>
      </c>
    </row>
    <row r="1216">
      <c r="A1216" s="55" t="str">
        <f>IF(Transactions!$B1216&lt;&gt;"",DATE(LEFT(Transactions!$B1216,4),MID(Transactions!$B1216,6,2),MID(Transactions!$B1216,9,2)),)</f>
        <v/>
      </c>
      <c r="B1216" s="56" t="str">
        <f>Transactions!$C1216</f>
        <v/>
      </c>
      <c r="C1216" s="51" t="str">
        <f t="array" ref="C1216">IFERROR(INDEX(Portfolio!$B:$B, MATCH($B1216, Portfolio!$A:$A, 0)),Transactions!$B1216)</f>
        <v/>
      </c>
      <c r="D1216" s="51" t="str">
        <f>IF($B1216&lt;&gt;"",Transactions!$E1216*1,)</f>
        <v/>
      </c>
      <c r="E1216" s="51" t="str">
        <f>IF($B1216&lt;&gt;"",Transactions!$F1216*1,)</f>
        <v/>
      </c>
      <c r="F1216" s="42" t="str">
        <f>IF(Transactions!$G1216&lt;&gt;"",Transactions!$H1216&amp;" "&amp;Transactions!$G1216,)</f>
        <v/>
      </c>
    </row>
    <row r="1217">
      <c r="A1217" s="55" t="str">
        <f>IF(Transactions!$B1217&lt;&gt;"",DATE(LEFT(Transactions!$B1217,4),MID(Transactions!$B1217,6,2),MID(Transactions!$B1217,9,2)),)</f>
        <v/>
      </c>
      <c r="B1217" s="56" t="str">
        <f>Transactions!$C1217</f>
        <v/>
      </c>
      <c r="C1217" s="51" t="str">
        <f t="array" ref="C1217">IFERROR(INDEX(Portfolio!$B:$B, MATCH($B1217, Portfolio!$A:$A, 0)),Transactions!$B1217)</f>
        <v/>
      </c>
      <c r="D1217" s="51" t="str">
        <f>IF($B1217&lt;&gt;"",Transactions!$E1217*1,)</f>
        <v/>
      </c>
      <c r="E1217" s="51" t="str">
        <f>IF($B1217&lt;&gt;"",Transactions!$F1217*1,)</f>
        <v/>
      </c>
      <c r="F1217" s="42" t="str">
        <f>IF(Transactions!$G1217&lt;&gt;"",Transactions!$H1217&amp;" "&amp;Transactions!$G1217,)</f>
        <v/>
      </c>
    </row>
    <row r="1218">
      <c r="A1218" s="55" t="str">
        <f>IF(Transactions!$B1218&lt;&gt;"",DATE(LEFT(Transactions!$B1218,4),MID(Transactions!$B1218,6,2),MID(Transactions!$B1218,9,2)),)</f>
        <v/>
      </c>
      <c r="B1218" s="56" t="str">
        <f>Transactions!$C1218</f>
        <v/>
      </c>
      <c r="C1218" s="51" t="str">
        <f t="array" ref="C1218">IFERROR(INDEX(Portfolio!$B:$B, MATCH($B1218, Portfolio!$A:$A, 0)),Transactions!$B1218)</f>
        <v/>
      </c>
      <c r="D1218" s="51" t="str">
        <f>IF($B1218&lt;&gt;"",Transactions!$E1218*1,)</f>
        <v/>
      </c>
      <c r="E1218" s="51" t="str">
        <f>IF($B1218&lt;&gt;"",Transactions!$F1218*1,)</f>
        <v/>
      </c>
      <c r="F1218" s="42" t="str">
        <f>IF(Transactions!$G1218&lt;&gt;"",Transactions!$H1218&amp;" "&amp;Transactions!$G1218,)</f>
        <v/>
      </c>
    </row>
    <row r="1219">
      <c r="A1219" s="55" t="str">
        <f>IF(Transactions!$B1219&lt;&gt;"",DATE(LEFT(Transactions!$B1219,4),MID(Transactions!$B1219,6,2),MID(Transactions!$B1219,9,2)),)</f>
        <v/>
      </c>
      <c r="B1219" s="56" t="str">
        <f>Transactions!$C1219</f>
        <v/>
      </c>
      <c r="C1219" s="51" t="str">
        <f t="array" ref="C1219">IFERROR(INDEX(Portfolio!$B:$B, MATCH($B1219, Portfolio!$A:$A, 0)),Transactions!$B1219)</f>
        <v/>
      </c>
      <c r="D1219" s="51" t="str">
        <f>IF($B1219&lt;&gt;"",Transactions!$E1219*1,)</f>
        <v/>
      </c>
      <c r="E1219" s="51" t="str">
        <f>IF($B1219&lt;&gt;"",Transactions!$F1219*1,)</f>
        <v/>
      </c>
      <c r="F1219" s="42" t="str">
        <f>IF(Transactions!$G1219&lt;&gt;"",Transactions!$H1219&amp;" "&amp;Transactions!$G1219,)</f>
        <v/>
      </c>
    </row>
    <row r="1220">
      <c r="A1220" s="55" t="str">
        <f>IF(Transactions!$B1220&lt;&gt;"",DATE(LEFT(Transactions!$B1220,4),MID(Transactions!$B1220,6,2),MID(Transactions!$B1220,9,2)),)</f>
        <v/>
      </c>
      <c r="B1220" s="56" t="str">
        <f>Transactions!$C1220</f>
        <v/>
      </c>
      <c r="C1220" s="51" t="str">
        <f t="array" ref="C1220">IFERROR(INDEX(Portfolio!$B:$B, MATCH($B1220, Portfolio!$A:$A, 0)),Transactions!$B1220)</f>
        <v/>
      </c>
      <c r="D1220" s="51" t="str">
        <f>IF($B1220&lt;&gt;"",Transactions!$E1220*1,)</f>
        <v/>
      </c>
      <c r="E1220" s="51" t="str">
        <f>IF($B1220&lt;&gt;"",Transactions!$F1220*1,)</f>
        <v/>
      </c>
      <c r="F1220" s="42" t="str">
        <f>IF(Transactions!$G1220&lt;&gt;"",Transactions!$H1220&amp;" "&amp;Transactions!$G1220,)</f>
        <v/>
      </c>
    </row>
    <row r="1221">
      <c r="A1221" s="55" t="str">
        <f>IF(Transactions!$B1221&lt;&gt;"",DATE(LEFT(Transactions!$B1221,4),MID(Transactions!$B1221,6,2),MID(Transactions!$B1221,9,2)),)</f>
        <v/>
      </c>
      <c r="B1221" s="56" t="str">
        <f>Transactions!$C1221</f>
        <v/>
      </c>
      <c r="C1221" s="51" t="str">
        <f t="array" ref="C1221">IFERROR(INDEX(Portfolio!$B:$B, MATCH($B1221, Portfolio!$A:$A, 0)),Transactions!$B1221)</f>
        <v/>
      </c>
      <c r="D1221" s="51" t="str">
        <f>IF($B1221&lt;&gt;"",Transactions!$E1221*1,)</f>
        <v/>
      </c>
      <c r="E1221" s="51" t="str">
        <f>IF($B1221&lt;&gt;"",Transactions!$F1221*1,)</f>
        <v/>
      </c>
      <c r="F1221" s="42" t="str">
        <f>IF(Transactions!$G1221&lt;&gt;"",Transactions!$H1221&amp;" "&amp;Transactions!$G1221,)</f>
        <v/>
      </c>
    </row>
    <row r="1222">
      <c r="A1222" s="55" t="str">
        <f>IF(Transactions!$B1222&lt;&gt;"",DATE(LEFT(Transactions!$B1222,4),MID(Transactions!$B1222,6,2),MID(Transactions!$B1222,9,2)),)</f>
        <v/>
      </c>
      <c r="B1222" s="56" t="str">
        <f>Transactions!$C1222</f>
        <v/>
      </c>
      <c r="C1222" s="51" t="str">
        <f t="array" ref="C1222">IFERROR(INDEX(Portfolio!$B:$B, MATCH($B1222, Portfolio!$A:$A, 0)),Transactions!$B1222)</f>
        <v/>
      </c>
      <c r="D1222" s="51" t="str">
        <f>IF($B1222&lt;&gt;"",Transactions!$E1222*1,)</f>
        <v/>
      </c>
      <c r="E1222" s="51" t="str">
        <f>IF($B1222&lt;&gt;"",Transactions!$F1222*1,)</f>
        <v/>
      </c>
      <c r="F1222" s="42" t="str">
        <f>IF(Transactions!$G1222&lt;&gt;"",Transactions!$H1222&amp;" "&amp;Transactions!$G1222,)</f>
        <v/>
      </c>
    </row>
    <row r="1223">
      <c r="A1223" s="55" t="str">
        <f>IF(Transactions!$B1223&lt;&gt;"",DATE(LEFT(Transactions!$B1223,4),MID(Transactions!$B1223,6,2),MID(Transactions!$B1223,9,2)),)</f>
        <v/>
      </c>
      <c r="B1223" s="56" t="str">
        <f>Transactions!$C1223</f>
        <v/>
      </c>
      <c r="C1223" s="51" t="str">
        <f t="array" ref="C1223">IFERROR(INDEX(Portfolio!$B:$B, MATCH($B1223, Portfolio!$A:$A, 0)),Transactions!$B1223)</f>
        <v/>
      </c>
      <c r="D1223" s="51" t="str">
        <f>IF($B1223&lt;&gt;"",Transactions!$E1223*1,)</f>
        <v/>
      </c>
      <c r="E1223" s="51" t="str">
        <f>IF($B1223&lt;&gt;"",Transactions!$F1223*1,)</f>
        <v/>
      </c>
      <c r="F1223" s="42" t="str">
        <f>IF(Transactions!$G1223&lt;&gt;"",Transactions!$H1223&amp;" "&amp;Transactions!$G1223,)</f>
        <v/>
      </c>
    </row>
    <row r="1224">
      <c r="A1224" s="55" t="str">
        <f>IF(Transactions!$B1224&lt;&gt;"",DATE(LEFT(Transactions!$B1224,4),MID(Transactions!$B1224,6,2),MID(Transactions!$B1224,9,2)),)</f>
        <v/>
      </c>
      <c r="B1224" s="56" t="str">
        <f>Transactions!$C1224</f>
        <v/>
      </c>
      <c r="C1224" s="51" t="str">
        <f t="array" ref="C1224">IFERROR(INDEX(Portfolio!$B:$B, MATCH($B1224, Portfolio!$A:$A, 0)),Transactions!$B1224)</f>
        <v/>
      </c>
      <c r="D1224" s="51" t="str">
        <f>IF($B1224&lt;&gt;"",Transactions!$E1224*1,)</f>
        <v/>
      </c>
      <c r="E1224" s="51" t="str">
        <f>IF($B1224&lt;&gt;"",Transactions!$F1224*1,)</f>
        <v/>
      </c>
      <c r="F1224" s="42" t="str">
        <f>IF(Transactions!$G1224&lt;&gt;"",Transactions!$H1224&amp;" "&amp;Transactions!$G1224,)</f>
        <v/>
      </c>
    </row>
    <row r="1225">
      <c r="A1225" s="55" t="str">
        <f>IF(Transactions!$B1225&lt;&gt;"",DATE(LEFT(Transactions!$B1225,4),MID(Transactions!$B1225,6,2),MID(Transactions!$B1225,9,2)),)</f>
        <v/>
      </c>
      <c r="B1225" s="56" t="str">
        <f>Transactions!$C1225</f>
        <v/>
      </c>
      <c r="C1225" s="51" t="str">
        <f t="array" ref="C1225">IFERROR(INDEX(Portfolio!$B:$B, MATCH($B1225, Portfolio!$A:$A, 0)),Transactions!$B1225)</f>
        <v/>
      </c>
      <c r="D1225" s="51" t="str">
        <f>IF($B1225&lt;&gt;"",Transactions!$E1225*1,)</f>
        <v/>
      </c>
      <c r="E1225" s="51" t="str">
        <f>IF($B1225&lt;&gt;"",Transactions!$F1225*1,)</f>
        <v/>
      </c>
      <c r="F1225" s="42" t="str">
        <f>IF(Transactions!$G1225&lt;&gt;"",Transactions!$H1225&amp;" "&amp;Transactions!$G1225,)</f>
        <v/>
      </c>
    </row>
    <row r="1226">
      <c r="A1226" s="55" t="str">
        <f>IF(Transactions!$B1226&lt;&gt;"",DATE(LEFT(Transactions!$B1226,4),MID(Transactions!$B1226,6,2),MID(Transactions!$B1226,9,2)),)</f>
        <v/>
      </c>
      <c r="B1226" s="56" t="str">
        <f>Transactions!$C1226</f>
        <v/>
      </c>
      <c r="C1226" s="51" t="str">
        <f t="array" ref="C1226">IFERROR(INDEX(Portfolio!$B:$B, MATCH($B1226, Portfolio!$A:$A, 0)),Transactions!$B1226)</f>
        <v/>
      </c>
      <c r="D1226" s="51" t="str">
        <f>IF($B1226&lt;&gt;"",Transactions!$E1226*1,)</f>
        <v/>
      </c>
      <c r="E1226" s="51" t="str">
        <f>IF($B1226&lt;&gt;"",Transactions!$F1226*1,)</f>
        <v/>
      </c>
      <c r="F1226" s="42" t="str">
        <f>IF(Transactions!$G1226&lt;&gt;"",Transactions!$H1226&amp;" "&amp;Transactions!$G1226,)</f>
        <v/>
      </c>
    </row>
    <row r="1227">
      <c r="A1227" s="55" t="str">
        <f>IF(Transactions!$B1227&lt;&gt;"",DATE(LEFT(Transactions!$B1227,4),MID(Transactions!$B1227,6,2),MID(Transactions!$B1227,9,2)),)</f>
        <v/>
      </c>
      <c r="B1227" s="56" t="str">
        <f>Transactions!$C1227</f>
        <v/>
      </c>
      <c r="C1227" s="51" t="str">
        <f t="array" ref="C1227">IFERROR(INDEX(Portfolio!$B:$B, MATCH($B1227, Portfolio!$A:$A, 0)),Transactions!$B1227)</f>
        <v/>
      </c>
      <c r="D1227" s="51" t="str">
        <f>IF($B1227&lt;&gt;"",Transactions!$E1227*1,)</f>
        <v/>
      </c>
      <c r="E1227" s="51" t="str">
        <f>IF($B1227&lt;&gt;"",Transactions!$F1227*1,)</f>
        <v/>
      </c>
      <c r="F1227" s="42" t="str">
        <f>IF(Transactions!$G1227&lt;&gt;"",Transactions!$H1227&amp;" "&amp;Transactions!$G1227,)</f>
        <v/>
      </c>
    </row>
    <row r="1228">
      <c r="A1228" s="55" t="str">
        <f>IF(Transactions!$B1228&lt;&gt;"",DATE(LEFT(Transactions!$B1228,4),MID(Transactions!$B1228,6,2),MID(Transactions!$B1228,9,2)),)</f>
        <v/>
      </c>
      <c r="B1228" s="56" t="str">
        <f>Transactions!$C1228</f>
        <v/>
      </c>
      <c r="C1228" s="51" t="str">
        <f t="array" ref="C1228">IFERROR(INDEX(Portfolio!$B:$B, MATCH($B1228, Portfolio!$A:$A, 0)),Transactions!$B1228)</f>
        <v/>
      </c>
      <c r="D1228" s="51" t="str">
        <f>IF($B1228&lt;&gt;"",Transactions!$E1228*1,)</f>
        <v/>
      </c>
      <c r="E1228" s="51" t="str">
        <f>IF($B1228&lt;&gt;"",Transactions!$F1228*1,)</f>
        <v/>
      </c>
      <c r="F1228" s="42" t="str">
        <f>IF(Transactions!$G1228&lt;&gt;"",Transactions!$H1228&amp;" "&amp;Transactions!$G1228,)</f>
        <v/>
      </c>
    </row>
    <row r="1229">
      <c r="A1229" s="55" t="str">
        <f>IF(Transactions!$B1229&lt;&gt;"",DATE(LEFT(Transactions!$B1229,4),MID(Transactions!$B1229,6,2),MID(Transactions!$B1229,9,2)),)</f>
        <v/>
      </c>
      <c r="B1229" s="56" t="str">
        <f>Transactions!$C1229</f>
        <v/>
      </c>
      <c r="C1229" s="51" t="str">
        <f t="array" ref="C1229">IFERROR(INDEX(Portfolio!$B:$B, MATCH($B1229, Portfolio!$A:$A, 0)),Transactions!$B1229)</f>
        <v/>
      </c>
      <c r="D1229" s="51" t="str">
        <f>IF($B1229&lt;&gt;"",Transactions!$E1229*1,)</f>
        <v/>
      </c>
      <c r="E1229" s="51" t="str">
        <f>IF($B1229&lt;&gt;"",Transactions!$F1229*1,)</f>
        <v/>
      </c>
      <c r="F1229" s="42" t="str">
        <f>IF(Transactions!$G1229&lt;&gt;"",Transactions!$H1229&amp;" "&amp;Transactions!$G1229,)</f>
        <v/>
      </c>
    </row>
    <row r="1230">
      <c r="A1230" s="55" t="str">
        <f>IF(Transactions!$B1230&lt;&gt;"",DATE(LEFT(Transactions!$B1230,4),MID(Transactions!$B1230,6,2),MID(Transactions!$B1230,9,2)),)</f>
        <v/>
      </c>
      <c r="B1230" s="56" t="str">
        <f>Transactions!$C1230</f>
        <v/>
      </c>
      <c r="C1230" s="51" t="str">
        <f t="array" ref="C1230">IFERROR(INDEX(Portfolio!$B:$B, MATCH($B1230, Portfolio!$A:$A, 0)),Transactions!$B1230)</f>
        <v/>
      </c>
      <c r="D1230" s="51" t="str">
        <f>IF($B1230&lt;&gt;"",Transactions!$E1230*1,)</f>
        <v/>
      </c>
      <c r="E1230" s="51" t="str">
        <f>IF($B1230&lt;&gt;"",Transactions!$F1230*1,)</f>
        <v/>
      </c>
      <c r="F1230" s="42" t="str">
        <f>IF(Transactions!$G1230&lt;&gt;"",Transactions!$H1230&amp;" "&amp;Transactions!$G1230,)</f>
        <v/>
      </c>
    </row>
    <row r="1231">
      <c r="A1231" s="55" t="str">
        <f>IF(Transactions!$B1231&lt;&gt;"",DATE(LEFT(Transactions!$B1231,4),MID(Transactions!$B1231,6,2),MID(Transactions!$B1231,9,2)),)</f>
        <v/>
      </c>
      <c r="B1231" s="56" t="str">
        <f>Transactions!$C1231</f>
        <v/>
      </c>
      <c r="C1231" s="51" t="str">
        <f t="array" ref="C1231">IFERROR(INDEX(Portfolio!$B:$B, MATCH($B1231, Portfolio!$A:$A, 0)),Transactions!$B1231)</f>
        <v/>
      </c>
      <c r="D1231" s="51" t="str">
        <f>IF($B1231&lt;&gt;"",Transactions!$E1231*1,)</f>
        <v/>
      </c>
      <c r="E1231" s="51" t="str">
        <f>IF($B1231&lt;&gt;"",Transactions!$F1231*1,)</f>
        <v/>
      </c>
      <c r="F1231" s="42" t="str">
        <f>IF(Transactions!$G1231&lt;&gt;"",Transactions!$H1231&amp;" "&amp;Transactions!$G1231,)</f>
        <v/>
      </c>
    </row>
    <row r="1232">
      <c r="A1232" s="55" t="str">
        <f>IF(Transactions!$B1232&lt;&gt;"",DATE(LEFT(Transactions!$B1232,4),MID(Transactions!$B1232,6,2),MID(Transactions!$B1232,9,2)),)</f>
        <v/>
      </c>
      <c r="B1232" s="56" t="str">
        <f>Transactions!$C1232</f>
        <v/>
      </c>
      <c r="C1232" s="51" t="str">
        <f t="array" ref="C1232">IFERROR(INDEX(Portfolio!$B:$B, MATCH($B1232, Portfolio!$A:$A, 0)),Transactions!$B1232)</f>
        <v/>
      </c>
      <c r="D1232" s="51" t="str">
        <f>IF($B1232&lt;&gt;"",Transactions!$E1232*1,)</f>
        <v/>
      </c>
      <c r="E1232" s="51" t="str">
        <f>IF($B1232&lt;&gt;"",Transactions!$F1232*1,)</f>
        <v/>
      </c>
      <c r="F1232" s="42" t="str">
        <f>IF(Transactions!$G1232&lt;&gt;"",Transactions!$H1232&amp;" "&amp;Transactions!$G1232,)</f>
        <v/>
      </c>
    </row>
    <row r="1233">
      <c r="A1233" s="55" t="str">
        <f>IF(Transactions!$B1233&lt;&gt;"",DATE(LEFT(Transactions!$B1233,4),MID(Transactions!$B1233,6,2),MID(Transactions!$B1233,9,2)),)</f>
        <v/>
      </c>
      <c r="B1233" s="56" t="str">
        <f>Transactions!$C1233</f>
        <v/>
      </c>
      <c r="C1233" s="51" t="str">
        <f t="array" ref="C1233">IFERROR(INDEX(Portfolio!$B:$B, MATCH($B1233, Portfolio!$A:$A, 0)),Transactions!$B1233)</f>
        <v/>
      </c>
      <c r="D1233" s="51" t="str">
        <f>IF($B1233&lt;&gt;"",Transactions!$E1233*1,)</f>
        <v/>
      </c>
      <c r="E1233" s="51" t="str">
        <f>IF($B1233&lt;&gt;"",Transactions!$F1233*1,)</f>
        <v/>
      </c>
      <c r="F1233" s="42" t="str">
        <f>IF(Transactions!$G1233&lt;&gt;"",Transactions!$H1233&amp;" "&amp;Transactions!$G1233,)</f>
        <v/>
      </c>
    </row>
    <row r="1234">
      <c r="A1234" s="55" t="str">
        <f>IF(Transactions!$B1234&lt;&gt;"",DATE(LEFT(Transactions!$B1234,4),MID(Transactions!$B1234,6,2),MID(Transactions!$B1234,9,2)),)</f>
        <v/>
      </c>
      <c r="B1234" s="56" t="str">
        <f>Transactions!$C1234</f>
        <v/>
      </c>
      <c r="C1234" s="51" t="str">
        <f t="array" ref="C1234">IFERROR(INDEX(Portfolio!$B:$B, MATCH($B1234, Portfolio!$A:$A, 0)),Transactions!$B1234)</f>
        <v/>
      </c>
      <c r="D1234" s="51" t="str">
        <f>IF($B1234&lt;&gt;"",Transactions!$E1234*1,)</f>
        <v/>
      </c>
      <c r="E1234" s="51" t="str">
        <f>IF($B1234&lt;&gt;"",Transactions!$F1234*1,)</f>
        <v/>
      </c>
      <c r="F1234" s="42" t="str">
        <f>IF(Transactions!$G1234&lt;&gt;"",Transactions!$H1234&amp;" "&amp;Transactions!$G1234,)</f>
        <v/>
      </c>
    </row>
    <row r="1235">
      <c r="A1235" s="55" t="str">
        <f>IF(Transactions!$B1235&lt;&gt;"",DATE(LEFT(Transactions!$B1235,4),MID(Transactions!$B1235,6,2),MID(Transactions!$B1235,9,2)),)</f>
        <v/>
      </c>
      <c r="B1235" s="56" t="str">
        <f>Transactions!$C1235</f>
        <v/>
      </c>
      <c r="C1235" s="51" t="str">
        <f t="array" ref="C1235">IFERROR(INDEX(Portfolio!$B:$B, MATCH($B1235, Portfolio!$A:$A, 0)),Transactions!$B1235)</f>
        <v/>
      </c>
      <c r="D1235" s="51" t="str">
        <f>IF($B1235&lt;&gt;"",Transactions!$E1235*1,)</f>
        <v/>
      </c>
      <c r="E1235" s="51" t="str">
        <f>IF($B1235&lt;&gt;"",Transactions!$F1235*1,)</f>
        <v/>
      </c>
      <c r="F1235" s="42" t="str">
        <f>IF(Transactions!$G1235&lt;&gt;"",Transactions!$H1235&amp;" "&amp;Transactions!$G1235,)</f>
        <v/>
      </c>
    </row>
    <row r="1236">
      <c r="A1236" s="55" t="str">
        <f>IF(Transactions!$B1236&lt;&gt;"",DATE(LEFT(Transactions!$B1236,4),MID(Transactions!$B1236,6,2),MID(Transactions!$B1236,9,2)),)</f>
        <v/>
      </c>
      <c r="B1236" s="56" t="str">
        <f>Transactions!$C1236</f>
        <v/>
      </c>
      <c r="C1236" s="51" t="str">
        <f t="array" ref="C1236">IFERROR(INDEX(Portfolio!$B:$B, MATCH($B1236, Portfolio!$A:$A, 0)),Transactions!$B1236)</f>
        <v/>
      </c>
      <c r="D1236" s="51" t="str">
        <f>IF($B1236&lt;&gt;"",Transactions!$E1236*1,)</f>
        <v/>
      </c>
      <c r="E1236" s="51" t="str">
        <f>IF($B1236&lt;&gt;"",Transactions!$F1236*1,)</f>
        <v/>
      </c>
      <c r="F1236" s="42" t="str">
        <f>IF(Transactions!$G1236&lt;&gt;"",Transactions!$H1236&amp;" "&amp;Transactions!$G1236,)</f>
        <v/>
      </c>
    </row>
    <row r="1237">
      <c r="A1237" s="55" t="str">
        <f>IF(Transactions!$B1237&lt;&gt;"",DATE(LEFT(Transactions!$B1237,4),MID(Transactions!$B1237,6,2),MID(Transactions!$B1237,9,2)),)</f>
        <v/>
      </c>
      <c r="B1237" s="56" t="str">
        <f>Transactions!$C1237</f>
        <v/>
      </c>
      <c r="C1237" s="51" t="str">
        <f t="array" ref="C1237">IFERROR(INDEX(Portfolio!$B:$B, MATCH($B1237, Portfolio!$A:$A, 0)),Transactions!$B1237)</f>
        <v/>
      </c>
      <c r="D1237" s="51" t="str">
        <f>IF($B1237&lt;&gt;"",Transactions!$E1237*1,)</f>
        <v/>
      </c>
      <c r="E1237" s="51" t="str">
        <f>IF($B1237&lt;&gt;"",Transactions!$F1237*1,)</f>
        <v/>
      </c>
      <c r="F1237" s="42" t="str">
        <f>IF(Transactions!$G1237&lt;&gt;"",Transactions!$H1237&amp;" "&amp;Transactions!$G1237,)</f>
        <v/>
      </c>
    </row>
    <row r="1238">
      <c r="A1238" s="55" t="str">
        <f>IF(Transactions!$B1238&lt;&gt;"",DATE(LEFT(Transactions!$B1238,4),MID(Transactions!$B1238,6,2),MID(Transactions!$B1238,9,2)),)</f>
        <v/>
      </c>
      <c r="B1238" s="56" t="str">
        <f>Transactions!$C1238</f>
        <v/>
      </c>
      <c r="C1238" s="51" t="str">
        <f t="array" ref="C1238">IFERROR(INDEX(Portfolio!$B:$B, MATCH($B1238, Portfolio!$A:$A, 0)),Transactions!$B1238)</f>
        <v/>
      </c>
      <c r="D1238" s="51" t="str">
        <f>IF($B1238&lt;&gt;"",Transactions!$E1238*1,)</f>
        <v/>
      </c>
      <c r="E1238" s="51" t="str">
        <f>IF($B1238&lt;&gt;"",Transactions!$F1238*1,)</f>
        <v/>
      </c>
      <c r="F1238" s="42" t="str">
        <f>IF(Transactions!$G1238&lt;&gt;"",Transactions!$H1238&amp;" "&amp;Transactions!$G1238,)</f>
        <v/>
      </c>
    </row>
    <row r="1239">
      <c r="A1239" s="55" t="str">
        <f>IF(Transactions!$B1239&lt;&gt;"",DATE(LEFT(Transactions!$B1239,4),MID(Transactions!$B1239,6,2),MID(Transactions!$B1239,9,2)),)</f>
        <v/>
      </c>
      <c r="B1239" s="56" t="str">
        <f>Transactions!$C1239</f>
        <v/>
      </c>
      <c r="C1239" s="51" t="str">
        <f t="array" ref="C1239">IFERROR(INDEX(Portfolio!$B:$B, MATCH($B1239, Portfolio!$A:$A, 0)),Transactions!$B1239)</f>
        <v/>
      </c>
      <c r="D1239" s="51" t="str">
        <f>IF($B1239&lt;&gt;"",Transactions!$E1239*1,)</f>
        <v/>
      </c>
      <c r="E1239" s="51" t="str">
        <f>IF($B1239&lt;&gt;"",Transactions!$F1239*1,)</f>
        <v/>
      </c>
      <c r="F1239" s="42" t="str">
        <f>IF(Transactions!$G1239&lt;&gt;"",Transactions!$H1239&amp;" "&amp;Transactions!$G1239,)</f>
        <v/>
      </c>
    </row>
    <row r="1240">
      <c r="A1240" s="55" t="str">
        <f>IF(Transactions!$B1240&lt;&gt;"",DATE(LEFT(Transactions!$B1240,4),MID(Transactions!$B1240,6,2),MID(Transactions!$B1240,9,2)),)</f>
        <v/>
      </c>
      <c r="B1240" s="56" t="str">
        <f>Transactions!$C1240</f>
        <v/>
      </c>
      <c r="C1240" s="51" t="str">
        <f t="array" ref="C1240">IFERROR(INDEX(Portfolio!$B:$B, MATCH($B1240, Portfolio!$A:$A, 0)),Transactions!$B1240)</f>
        <v/>
      </c>
      <c r="D1240" s="51" t="str">
        <f>IF($B1240&lt;&gt;"",Transactions!$E1240*1,)</f>
        <v/>
      </c>
      <c r="E1240" s="51" t="str">
        <f>IF($B1240&lt;&gt;"",Transactions!$F1240*1,)</f>
        <v/>
      </c>
      <c r="F1240" s="42" t="str">
        <f>IF(Transactions!$G1240&lt;&gt;"",Transactions!$H1240&amp;" "&amp;Transactions!$G1240,)</f>
        <v/>
      </c>
    </row>
    <row r="1241">
      <c r="A1241" s="55" t="str">
        <f>IF(Transactions!$B1241&lt;&gt;"",DATE(LEFT(Transactions!$B1241,4),MID(Transactions!$B1241,6,2),MID(Transactions!$B1241,9,2)),)</f>
        <v/>
      </c>
      <c r="B1241" s="56" t="str">
        <f>Transactions!$C1241</f>
        <v/>
      </c>
      <c r="C1241" s="51" t="str">
        <f t="array" ref="C1241">IFERROR(INDEX(Portfolio!$B:$B, MATCH($B1241, Portfolio!$A:$A, 0)),Transactions!$B1241)</f>
        <v/>
      </c>
      <c r="D1241" s="51" t="str">
        <f>IF($B1241&lt;&gt;"",Transactions!$E1241*1,)</f>
        <v/>
      </c>
      <c r="E1241" s="51" t="str">
        <f>IF($B1241&lt;&gt;"",Transactions!$F1241*1,)</f>
        <v/>
      </c>
      <c r="F1241" s="42" t="str">
        <f>IF(Transactions!$G1241&lt;&gt;"",Transactions!$H1241&amp;" "&amp;Transactions!$G1241,)</f>
        <v/>
      </c>
    </row>
    <row r="1242">
      <c r="A1242" s="55" t="str">
        <f>IF(Transactions!$B1242&lt;&gt;"",DATE(LEFT(Transactions!$B1242,4),MID(Transactions!$B1242,6,2),MID(Transactions!$B1242,9,2)),)</f>
        <v/>
      </c>
      <c r="B1242" s="56" t="str">
        <f>Transactions!$C1242</f>
        <v/>
      </c>
      <c r="C1242" s="51" t="str">
        <f t="array" ref="C1242">IFERROR(INDEX(Portfolio!$B:$B, MATCH($B1242, Portfolio!$A:$A, 0)),Transactions!$B1242)</f>
        <v/>
      </c>
      <c r="D1242" s="51" t="str">
        <f>IF($B1242&lt;&gt;"",Transactions!$E1242*1,)</f>
        <v/>
      </c>
      <c r="E1242" s="51" t="str">
        <f>IF($B1242&lt;&gt;"",Transactions!$F1242*1,)</f>
        <v/>
      </c>
      <c r="F1242" s="42" t="str">
        <f>IF(Transactions!$G1242&lt;&gt;"",Transactions!$H1242&amp;" "&amp;Transactions!$G1242,)</f>
        <v/>
      </c>
    </row>
    <row r="1243">
      <c r="A1243" s="55" t="str">
        <f>IF(Transactions!$B1243&lt;&gt;"",DATE(LEFT(Transactions!$B1243,4),MID(Transactions!$B1243,6,2),MID(Transactions!$B1243,9,2)),)</f>
        <v/>
      </c>
      <c r="B1243" s="56" t="str">
        <f>Transactions!$C1243</f>
        <v/>
      </c>
      <c r="C1243" s="51" t="str">
        <f t="array" ref="C1243">IFERROR(INDEX(Portfolio!$B:$B, MATCH($B1243, Portfolio!$A:$A, 0)),Transactions!$B1243)</f>
        <v/>
      </c>
      <c r="D1243" s="51" t="str">
        <f>IF($B1243&lt;&gt;"",Transactions!$E1243*1,)</f>
        <v/>
      </c>
      <c r="E1243" s="51" t="str">
        <f>IF($B1243&lt;&gt;"",Transactions!$F1243*1,)</f>
        <v/>
      </c>
      <c r="F1243" s="42" t="str">
        <f>IF(Transactions!$G1243&lt;&gt;"",Transactions!$H1243&amp;" "&amp;Transactions!$G1243,)</f>
        <v/>
      </c>
    </row>
    <row r="1244">
      <c r="A1244" s="55" t="str">
        <f>IF(Transactions!$B1244&lt;&gt;"",DATE(LEFT(Transactions!$B1244,4),MID(Transactions!$B1244,6,2),MID(Transactions!$B1244,9,2)),)</f>
        <v/>
      </c>
      <c r="B1244" s="56" t="str">
        <f>Transactions!$C1244</f>
        <v/>
      </c>
      <c r="C1244" s="51" t="str">
        <f t="array" ref="C1244">IFERROR(INDEX(Portfolio!$B:$B, MATCH($B1244, Portfolio!$A:$A, 0)),Transactions!$B1244)</f>
        <v/>
      </c>
      <c r="D1244" s="51" t="str">
        <f>IF($B1244&lt;&gt;"",Transactions!$E1244*1,)</f>
        <v/>
      </c>
      <c r="E1244" s="51" t="str">
        <f>IF($B1244&lt;&gt;"",Transactions!$F1244*1,)</f>
        <v/>
      </c>
      <c r="F1244" s="42" t="str">
        <f>IF(Transactions!$G1244&lt;&gt;"",Transactions!$H1244&amp;" "&amp;Transactions!$G1244,)</f>
        <v/>
      </c>
    </row>
    <row r="1245">
      <c r="A1245" s="55" t="str">
        <f>IF(Transactions!$B1245&lt;&gt;"",DATE(LEFT(Transactions!$B1245,4),MID(Transactions!$B1245,6,2),MID(Transactions!$B1245,9,2)),)</f>
        <v/>
      </c>
      <c r="B1245" s="56" t="str">
        <f>Transactions!$C1245</f>
        <v/>
      </c>
      <c r="C1245" s="51" t="str">
        <f t="array" ref="C1245">IFERROR(INDEX(Portfolio!$B:$B, MATCH($B1245, Portfolio!$A:$A, 0)),Transactions!$B1245)</f>
        <v/>
      </c>
      <c r="D1245" s="51" t="str">
        <f>IF($B1245&lt;&gt;"",Transactions!$E1245*1,)</f>
        <v/>
      </c>
      <c r="E1245" s="51" t="str">
        <f>IF($B1245&lt;&gt;"",Transactions!$F1245*1,)</f>
        <v/>
      </c>
      <c r="F1245" s="42" t="str">
        <f>IF(Transactions!$G1245&lt;&gt;"",Transactions!$H1245&amp;" "&amp;Transactions!$G1245,)</f>
        <v/>
      </c>
    </row>
    <row r="1246">
      <c r="A1246" s="55" t="str">
        <f>IF(Transactions!$B1246&lt;&gt;"",DATE(LEFT(Transactions!$B1246,4),MID(Transactions!$B1246,6,2),MID(Transactions!$B1246,9,2)),)</f>
        <v/>
      </c>
      <c r="B1246" s="56" t="str">
        <f>Transactions!$C1246</f>
        <v/>
      </c>
      <c r="C1246" s="51" t="str">
        <f t="array" ref="C1246">IFERROR(INDEX(Portfolio!$B:$B, MATCH($B1246, Portfolio!$A:$A, 0)),Transactions!$B1246)</f>
        <v/>
      </c>
      <c r="D1246" s="51" t="str">
        <f>IF($B1246&lt;&gt;"",Transactions!$E1246*1,)</f>
        <v/>
      </c>
      <c r="E1246" s="51" t="str">
        <f>IF($B1246&lt;&gt;"",Transactions!$F1246*1,)</f>
        <v/>
      </c>
      <c r="F1246" s="42" t="str">
        <f>IF(Transactions!$G1246&lt;&gt;"",Transactions!$H1246&amp;" "&amp;Transactions!$G1246,)</f>
        <v/>
      </c>
    </row>
    <row r="1247">
      <c r="A1247" s="55" t="str">
        <f>IF(Transactions!$B1247&lt;&gt;"",DATE(LEFT(Transactions!$B1247,4),MID(Transactions!$B1247,6,2),MID(Transactions!$B1247,9,2)),)</f>
        <v/>
      </c>
      <c r="B1247" s="56" t="str">
        <f>Transactions!$C1247</f>
        <v/>
      </c>
      <c r="C1247" s="51" t="str">
        <f t="array" ref="C1247">IFERROR(INDEX(Portfolio!$B:$B, MATCH($B1247, Portfolio!$A:$A, 0)),Transactions!$B1247)</f>
        <v/>
      </c>
      <c r="D1247" s="51" t="str">
        <f>IF($B1247&lt;&gt;"",Transactions!$E1247*1,)</f>
        <v/>
      </c>
      <c r="E1247" s="51" t="str">
        <f>IF($B1247&lt;&gt;"",Transactions!$F1247*1,)</f>
        <v/>
      </c>
      <c r="F1247" s="42" t="str">
        <f>IF(Transactions!$G1247&lt;&gt;"",Transactions!$H1247&amp;" "&amp;Transactions!$G1247,)</f>
        <v/>
      </c>
    </row>
    <row r="1248">
      <c r="A1248" s="55" t="str">
        <f>IF(Transactions!$B1248&lt;&gt;"",DATE(LEFT(Transactions!$B1248,4),MID(Transactions!$B1248,6,2),MID(Transactions!$B1248,9,2)),)</f>
        <v/>
      </c>
      <c r="B1248" s="56" t="str">
        <f>Transactions!$C1248</f>
        <v/>
      </c>
      <c r="C1248" s="51" t="str">
        <f t="array" ref="C1248">IFERROR(INDEX(Portfolio!$B:$B, MATCH($B1248, Portfolio!$A:$A, 0)),Transactions!$B1248)</f>
        <v/>
      </c>
      <c r="D1248" s="51" t="str">
        <f>IF($B1248&lt;&gt;"",Transactions!$E1248*1,)</f>
        <v/>
      </c>
      <c r="E1248" s="51" t="str">
        <f>IF($B1248&lt;&gt;"",Transactions!$F1248*1,)</f>
        <v/>
      </c>
      <c r="F1248" s="42" t="str">
        <f>IF(Transactions!$G1248&lt;&gt;"",Transactions!$H1248&amp;" "&amp;Transactions!$G1248,)</f>
        <v/>
      </c>
    </row>
    <row r="1249">
      <c r="A1249" s="55" t="str">
        <f>IF(Transactions!$B1249&lt;&gt;"",DATE(LEFT(Transactions!$B1249,4),MID(Transactions!$B1249,6,2),MID(Transactions!$B1249,9,2)),)</f>
        <v/>
      </c>
      <c r="B1249" s="56" t="str">
        <f>Transactions!$C1249</f>
        <v/>
      </c>
      <c r="C1249" s="51" t="str">
        <f t="array" ref="C1249">IFERROR(INDEX(Portfolio!$B:$B, MATCH($B1249, Portfolio!$A:$A, 0)),Transactions!$B1249)</f>
        <v/>
      </c>
      <c r="D1249" s="51" t="str">
        <f>IF($B1249&lt;&gt;"",Transactions!$E1249*1,)</f>
        <v/>
      </c>
      <c r="E1249" s="51" t="str">
        <f>IF($B1249&lt;&gt;"",Transactions!$F1249*1,)</f>
        <v/>
      </c>
      <c r="F1249" s="42" t="str">
        <f>IF(Transactions!$G1249&lt;&gt;"",Transactions!$H1249&amp;" "&amp;Transactions!$G1249,)</f>
        <v/>
      </c>
    </row>
    <row r="1250">
      <c r="A1250" s="55" t="str">
        <f>IF(Transactions!$B1250&lt;&gt;"",DATE(LEFT(Transactions!$B1250,4),MID(Transactions!$B1250,6,2),MID(Transactions!$B1250,9,2)),)</f>
        <v/>
      </c>
      <c r="B1250" s="56" t="str">
        <f>Transactions!$C1250</f>
        <v/>
      </c>
      <c r="C1250" s="51" t="str">
        <f t="array" ref="C1250">IFERROR(INDEX(Portfolio!$B:$B, MATCH($B1250, Portfolio!$A:$A, 0)),Transactions!$B1250)</f>
        <v/>
      </c>
      <c r="D1250" s="51" t="str">
        <f>IF($B1250&lt;&gt;"",Transactions!$E1250*1,)</f>
        <v/>
      </c>
      <c r="E1250" s="51" t="str">
        <f>IF($B1250&lt;&gt;"",Transactions!$F1250*1,)</f>
        <v/>
      </c>
      <c r="F1250" s="42" t="str">
        <f>IF(Transactions!$G1250&lt;&gt;"",Transactions!$H1250&amp;" "&amp;Transactions!$G1250,)</f>
        <v/>
      </c>
    </row>
    <row r="1251">
      <c r="A1251" s="55" t="str">
        <f>IF(Transactions!$B1251&lt;&gt;"",DATE(LEFT(Transactions!$B1251,4),MID(Transactions!$B1251,6,2),MID(Transactions!$B1251,9,2)),)</f>
        <v/>
      </c>
      <c r="B1251" s="56" t="str">
        <f>Transactions!$C1251</f>
        <v/>
      </c>
      <c r="C1251" s="51" t="str">
        <f t="array" ref="C1251">IFERROR(INDEX(Portfolio!$B:$B, MATCH($B1251, Portfolio!$A:$A, 0)),Transactions!$B1251)</f>
        <v/>
      </c>
      <c r="D1251" s="51" t="str">
        <f>IF($B1251&lt;&gt;"",Transactions!$E1251*1,)</f>
        <v/>
      </c>
      <c r="E1251" s="51" t="str">
        <f>IF($B1251&lt;&gt;"",Transactions!$F1251*1,)</f>
        <v/>
      </c>
      <c r="F1251" s="42" t="str">
        <f>IF(Transactions!$G1251&lt;&gt;"",Transactions!$H1251&amp;" "&amp;Transactions!$G1251,)</f>
        <v/>
      </c>
    </row>
    <row r="1252">
      <c r="A1252" s="55" t="str">
        <f>IF(Transactions!$B1252&lt;&gt;"",DATE(LEFT(Transactions!$B1252,4),MID(Transactions!$B1252,6,2),MID(Transactions!$B1252,9,2)),)</f>
        <v/>
      </c>
      <c r="B1252" s="56" t="str">
        <f>Transactions!$C1252</f>
        <v/>
      </c>
      <c r="C1252" s="51" t="str">
        <f t="array" ref="C1252">IFERROR(INDEX(Portfolio!$B:$B, MATCH($B1252, Portfolio!$A:$A, 0)),Transactions!$B1252)</f>
        <v/>
      </c>
      <c r="D1252" s="51" t="str">
        <f>IF($B1252&lt;&gt;"",Transactions!$E1252*1,)</f>
        <v/>
      </c>
      <c r="E1252" s="51" t="str">
        <f>IF($B1252&lt;&gt;"",Transactions!$F1252*1,)</f>
        <v/>
      </c>
      <c r="F1252" s="42" t="str">
        <f>IF(Transactions!$G1252&lt;&gt;"",Transactions!$H1252&amp;" "&amp;Transactions!$G1252,)</f>
        <v/>
      </c>
    </row>
    <row r="1253">
      <c r="A1253" s="55" t="str">
        <f>IF(Transactions!$B1253&lt;&gt;"",DATE(LEFT(Transactions!$B1253,4),MID(Transactions!$B1253,6,2),MID(Transactions!$B1253,9,2)),)</f>
        <v/>
      </c>
      <c r="B1253" s="56" t="str">
        <f>Transactions!$C1253</f>
        <v/>
      </c>
      <c r="C1253" s="51" t="str">
        <f t="array" ref="C1253">IFERROR(INDEX(Portfolio!$B:$B, MATCH($B1253, Portfolio!$A:$A, 0)),Transactions!$B1253)</f>
        <v/>
      </c>
      <c r="D1253" s="51" t="str">
        <f>IF($B1253&lt;&gt;"",Transactions!$E1253*1,)</f>
        <v/>
      </c>
      <c r="E1253" s="51" t="str">
        <f>IF($B1253&lt;&gt;"",Transactions!$F1253*1,)</f>
        <v/>
      </c>
      <c r="F1253" s="42" t="str">
        <f>IF(Transactions!$G1253&lt;&gt;"",Transactions!$H1253&amp;" "&amp;Transactions!$G1253,)</f>
        <v/>
      </c>
    </row>
    <row r="1254">
      <c r="A1254" s="55" t="str">
        <f>IF(Transactions!$B1254&lt;&gt;"",DATE(LEFT(Transactions!$B1254,4),MID(Transactions!$B1254,6,2),MID(Transactions!$B1254,9,2)),)</f>
        <v/>
      </c>
      <c r="B1254" s="56" t="str">
        <f>Transactions!$C1254</f>
        <v/>
      </c>
      <c r="C1254" s="51" t="str">
        <f t="array" ref="C1254">IFERROR(INDEX(Portfolio!$B:$B, MATCH($B1254, Portfolio!$A:$A, 0)),Transactions!$B1254)</f>
        <v/>
      </c>
      <c r="D1254" s="51" t="str">
        <f>IF($B1254&lt;&gt;"",Transactions!$E1254*1,)</f>
        <v/>
      </c>
      <c r="E1254" s="51" t="str">
        <f>IF($B1254&lt;&gt;"",Transactions!$F1254*1,)</f>
        <v/>
      </c>
      <c r="F1254" s="42" t="str">
        <f>IF(Transactions!$G1254&lt;&gt;"",Transactions!$H1254&amp;" "&amp;Transactions!$G1254,)</f>
        <v/>
      </c>
    </row>
    <row r="1255">
      <c r="A1255" s="55" t="str">
        <f>IF(Transactions!$B1255&lt;&gt;"",DATE(LEFT(Transactions!$B1255,4),MID(Transactions!$B1255,6,2),MID(Transactions!$B1255,9,2)),)</f>
        <v/>
      </c>
      <c r="B1255" s="56" t="str">
        <f>Transactions!$C1255</f>
        <v/>
      </c>
      <c r="C1255" s="51" t="str">
        <f t="array" ref="C1255">IFERROR(INDEX(Portfolio!$B:$B, MATCH($B1255, Portfolio!$A:$A, 0)),Transactions!$B1255)</f>
        <v/>
      </c>
      <c r="D1255" s="51" t="str">
        <f>IF($B1255&lt;&gt;"",Transactions!$E1255*1,)</f>
        <v/>
      </c>
      <c r="E1255" s="51" t="str">
        <f>IF($B1255&lt;&gt;"",Transactions!$F1255*1,)</f>
        <v/>
      </c>
      <c r="F1255" s="42" t="str">
        <f>IF(Transactions!$G1255&lt;&gt;"",Transactions!$H1255&amp;" "&amp;Transactions!$G1255,)</f>
        <v/>
      </c>
    </row>
    <row r="1256">
      <c r="A1256" s="55" t="str">
        <f>IF(Transactions!$B1256&lt;&gt;"",DATE(LEFT(Transactions!$B1256,4),MID(Transactions!$B1256,6,2),MID(Transactions!$B1256,9,2)),)</f>
        <v/>
      </c>
      <c r="B1256" s="56" t="str">
        <f>Transactions!$C1256</f>
        <v/>
      </c>
      <c r="C1256" s="51" t="str">
        <f t="array" ref="C1256">IFERROR(INDEX(Portfolio!$B:$B, MATCH($B1256, Portfolio!$A:$A, 0)),Transactions!$B1256)</f>
        <v/>
      </c>
      <c r="D1256" s="51" t="str">
        <f>IF($B1256&lt;&gt;"",Transactions!$E1256*1,)</f>
        <v/>
      </c>
      <c r="E1256" s="51" t="str">
        <f>IF($B1256&lt;&gt;"",Transactions!$F1256*1,)</f>
        <v/>
      </c>
      <c r="F1256" s="42" t="str">
        <f>IF(Transactions!$G1256&lt;&gt;"",Transactions!$H1256&amp;" "&amp;Transactions!$G1256,)</f>
        <v/>
      </c>
    </row>
    <row r="1257">
      <c r="A1257" s="55" t="str">
        <f>IF(Transactions!$B1257&lt;&gt;"",DATE(LEFT(Transactions!$B1257,4),MID(Transactions!$B1257,6,2),MID(Transactions!$B1257,9,2)),)</f>
        <v/>
      </c>
      <c r="B1257" s="56" t="str">
        <f>Transactions!$C1257</f>
        <v/>
      </c>
      <c r="C1257" s="51" t="str">
        <f t="array" ref="C1257">IFERROR(INDEX(Portfolio!$B:$B, MATCH($B1257, Portfolio!$A:$A, 0)),Transactions!$B1257)</f>
        <v/>
      </c>
      <c r="D1257" s="51" t="str">
        <f>IF($B1257&lt;&gt;"",Transactions!$E1257*1,)</f>
        <v/>
      </c>
      <c r="E1257" s="51" t="str">
        <f>IF($B1257&lt;&gt;"",Transactions!$F1257*1,)</f>
        <v/>
      </c>
      <c r="F1257" s="42" t="str">
        <f>IF(Transactions!$G1257&lt;&gt;"",Transactions!$H1257&amp;" "&amp;Transactions!$G1257,)</f>
        <v/>
      </c>
    </row>
    <row r="1258">
      <c r="A1258" s="55" t="str">
        <f>IF(Transactions!$B1258&lt;&gt;"",DATE(LEFT(Transactions!$B1258,4),MID(Transactions!$B1258,6,2),MID(Transactions!$B1258,9,2)),)</f>
        <v/>
      </c>
      <c r="B1258" s="56" t="str">
        <f>Transactions!$C1258</f>
        <v/>
      </c>
      <c r="C1258" s="51" t="str">
        <f t="array" ref="C1258">IFERROR(INDEX(Portfolio!$B:$B, MATCH($B1258, Portfolio!$A:$A, 0)),Transactions!$B1258)</f>
        <v/>
      </c>
      <c r="D1258" s="51" t="str">
        <f>IF($B1258&lt;&gt;"",Transactions!$E1258*1,)</f>
        <v/>
      </c>
      <c r="E1258" s="51" t="str">
        <f>IF($B1258&lt;&gt;"",Transactions!$F1258*1,)</f>
        <v/>
      </c>
      <c r="F1258" s="42" t="str">
        <f>IF(Transactions!$G1258&lt;&gt;"",Transactions!$H1258&amp;" "&amp;Transactions!$G1258,)</f>
        <v/>
      </c>
    </row>
    <row r="1259">
      <c r="A1259" s="55" t="str">
        <f>IF(Transactions!$B1259&lt;&gt;"",DATE(LEFT(Transactions!$B1259,4),MID(Transactions!$B1259,6,2),MID(Transactions!$B1259,9,2)),)</f>
        <v/>
      </c>
      <c r="B1259" s="56" t="str">
        <f>Transactions!$C1259</f>
        <v/>
      </c>
      <c r="C1259" s="51" t="str">
        <f t="array" ref="C1259">IFERROR(INDEX(Portfolio!$B:$B, MATCH($B1259, Portfolio!$A:$A, 0)),Transactions!$B1259)</f>
        <v/>
      </c>
      <c r="D1259" s="51" t="str">
        <f>IF($B1259&lt;&gt;"",Transactions!$E1259*1,)</f>
        <v/>
      </c>
      <c r="E1259" s="51" t="str">
        <f>IF($B1259&lt;&gt;"",Transactions!$F1259*1,)</f>
        <v/>
      </c>
      <c r="F1259" s="42" t="str">
        <f>IF(Transactions!$G1259&lt;&gt;"",Transactions!$H1259&amp;" "&amp;Transactions!$G1259,)</f>
        <v/>
      </c>
    </row>
    <row r="1260">
      <c r="A1260" s="55" t="str">
        <f>IF(Transactions!$B1260&lt;&gt;"",DATE(LEFT(Transactions!$B1260,4),MID(Transactions!$B1260,6,2),MID(Transactions!$B1260,9,2)),)</f>
        <v/>
      </c>
      <c r="B1260" s="56" t="str">
        <f>Transactions!$C1260</f>
        <v/>
      </c>
      <c r="C1260" s="51" t="str">
        <f t="array" ref="C1260">IFERROR(INDEX(Portfolio!$B:$B, MATCH($B1260, Portfolio!$A:$A, 0)),Transactions!$B1260)</f>
        <v/>
      </c>
      <c r="D1260" s="51" t="str">
        <f>IF($B1260&lt;&gt;"",Transactions!$E1260*1,)</f>
        <v/>
      </c>
      <c r="E1260" s="51" t="str">
        <f>IF($B1260&lt;&gt;"",Transactions!$F1260*1,)</f>
        <v/>
      </c>
      <c r="F1260" s="42" t="str">
        <f>IF(Transactions!$G1260&lt;&gt;"",Transactions!$H1260&amp;" "&amp;Transactions!$G1260,)</f>
        <v/>
      </c>
    </row>
    <row r="1261">
      <c r="A1261" s="55" t="str">
        <f>IF(Transactions!$B1261&lt;&gt;"",DATE(LEFT(Transactions!$B1261,4),MID(Transactions!$B1261,6,2),MID(Transactions!$B1261,9,2)),)</f>
        <v/>
      </c>
      <c r="B1261" s="56" t="str">
        <f>Transactions!$C1261</f>
        <v/>
      </c>
      <c r="C1261" s="51" t="str">
        <f t="array" ref="C1261">IFERROR(INDEX(Portfolio!$B:$B, MATCH($B1261, Portfolio!$A:$A, 0)),Transactions!$B1261)</f>
        <v/>
      </c>
      <c r="D1261" s="51" t="str">
        <f>IF($B1261&lt;&gt;"",Transactions!$E1261*1,)</f>
        <v/>
      </c>
      <c r="E1261" s="51" t="str">
        <f>IF($B1261&lt;&gt;"",Transactions!$F1261*1,)</f>
        <v/>
      </c>
      <c r="F1261" s="42" t="str">
        <f>IF(Transactions!$G1261&lt;&gt;"",Transactions!$H1261&amp;" "&amp;Transactions!$G1261,)</f>
        <v/>
      </c>
    </row>
    <row r="1262">
      <c r="A1262" s="55" t="str">
        <f>IF(Transactions!$B1262&lt;&gt;"",DATE(LEFT(Transactions!$B1262,4),MID(Transactions!$B1262,6,2),MID(Transactions!$B1262,9,2)),)</f>
        <v/>
      </c>
      <c r="B1262" s="56" t="str">
        <f>Transactions!$C1262</f>
        <v/>
      </c>
      <c r="C1262" s="51" t="str">
        <f t="array" ref="C1262">IFERROR(INDEX(Portfolio!$B:$B, MATCH($B1262, Portfolio!$A:$A, 0)),Transactions!$B1262)</f>
        <v/>
      </c>
      <c r="D1262" s="51" t="str">
        <f>IF($B1262&lt;&gt;"",Transactions!$E1262*1,)</f>
        <v/>
      </c>
      <c r="E1262" s="51" t="str">
        <f>IF($B1262&lt;&gt;"",Transactions!$F1262*1,)</f>
        <v/>
      </c>
      <c r="F1262" s="42" t="str">
        <f>IF(Transactions!$G1262&lt;&gt;"",Transactions!$H1262&amp;" "&amp;Transactions!$G1262,)</f>
        <v/>
      </c>
    </row>
    <row r="1263">
      <c r="A1263" s="55" t="str">
        <f>IF(Transactions!$B1263&lt;&gt;"",DATE(LEFT(Transactions!$B1263,4),MID(Transactions!$B1263,6,2),MID(Transactions!$B1263,9,2)),)</f>
        <v/>
      </c>
      <c r="B1263" s="56" t="str">
        <f>Transactions!$C1263</f>
        <v/>
      </c>
      <c r="C1263" s="51" t="str">
        <f t="array" ref="C1263">IFERROR(INDEX(Portfolio!$B:$B, MATCH($B1263, Portfolio!$A:$A, 0)),Transactions!$B1263)</f>
        <v/>
      </c>
      <c r="D1263" s="51" t="str">
        <f>IF($B1263&lt;&gt;"",Transactions!$E1263*1,)</f>
        <v/>
      </c>
      <c r="E1263" s="51" t="str">
        <f>IF($B1263&lt;&gt;"",Transactions!$F1263*1,)</f>
        <v/>
      </c>
      <c r="F1263" s="42" t="str">
        <f>IF(Transactions!$G1263&lt;&gt;"",Transactions!$H1263&amp;" "&amp;Transactions!$G1263,)</f>
        <v/>
      </c>
    </row>
    <row r="1264">
      <c r="A1264" s="55" t="str">
        <f>IF(Transactions!$B1264&lt;&gt;"",DATE(LEFT(Transactions!$B1264,4),MID(Transactions!$B1264,6,2),MID(Transactions!$B1264,9,2)),)</f>
        <v/>
      </c>
      <c r="B1264" s="56" t="str">
        <f>Transactions!$C1264</f>
        <v/>
      </c>
      <c r="C1264" s="51" t="str">
        <f t="array" ref="C1264">IFERROR(INDEX(Portfolio!$B:$B, MATCH($B1264, Portfolio!$A:$A, 0)),Transactions!$B1264)</f>
        <v/>
      </c>
      <c r="D1264" s="51" t="str">
        <f>IF($B1264&lt;&gt;"",Transactions!$E1264*1,)</f>
        <v/>
      </c>
      <c r="E1264" s="51" t="str">
        <f>IF($B1264&lt;&gt;"",Transactions!$F1264*1,)</f>
        <v/>
      </c>
      <c r="F1264" s="42" t="str">
        <f>IF(Transactions!$G1264&lt;&gt;"",Transactions!$H1264&amp;" "&amp;Transactions!$G1264,)</f>
        <v/>
      </c>
    </row>
    <row r="1265">
      <c r="A1265" s="55" t="str">
        <f>IF(Transactions!$B1265&lt;&gt;"",DATE(LEFT(Transactions!$B1265,4),MID(Transactions!$B1265,6,2),MID(Transactions!$B1265,9,2)),)</f>
        <v/>
      </c>
      <c r="B1265" s="56" t="str">
        <f>Transactions!$C1265</f>
        <v/>
      </c>
      <c r="C1265" s="51" t="str">
        <f t="array" ref="C1265">IFERROR(INDEX(Portfolio!$B:$B, MATCH($B1265, Portfolio!$A:$A, 0)),Transactions!$B1265)</f>
        <v/>
      </c>
      <c r="D1265" s="51" t="str">
        <f>IF($B1265&lt;&gt;"",Transactions!$E1265*1,)</f>
        <v/>
      </c>
      <c r="E1265" s="51" t="str">
        <f>IF($B1265&lt;&gt;"",Transactions!$F1265*1,)</f>
        <v/>
      </c>
      <c r="F1265" s="42" t="str">
        <f>IF(Transactions!$G1265&lt;&gt;"",Transactions!$H1265&amp;" "&amp;Transactions!$G1265,)</f>
        <v/>
      </c>
    </row>
    <row r="1266">
      <c r="A1266" s="55" t="str">
        <f>IF(Transactions!$B1266&lt;&gt;"",DATE(LEFT(Transactions!$B1266,4),MID(Transactions!$B1266,6,2),MID(Transactions!$B1266,9,2)),)</f>
        <v/>
      </c>
      <c r="B1266" s="56" t="str">
        <f>Transactions!$C1266</f>
        <v/>
      </c>
      <c r="C1266" s="51" t="str">
        <f t="array" ref="C1266">IFERROR(INDEX(Portfolio!$B:$B, MATCH($B1266, Portfolio!$A:$A, 0)),Transactions!$B1266)</f>
        <v/>
      </c>
      <c r="D1266" s="51" t="str">
        <f>IF($B1266&lt;&gt;"",Transactions!$E1266*1,)</f>
        <v/>
      </c>
      <c r="E1266" s="51" t="str">
        <f>IF($B1266&lt;&gt;"",Transactions!$F1266*1,)</f>
        <v/>
      </c>
      <c r="F1266" s="42" t="str">
        <f>IF(Transactions!$G1266&lt;&gt;"",Transactions!$H1266&amp;" "&amp;Transactions!$G1266,)</f>
        <v/>
      </c>
    </row>
    <row r="1267">
      <c r="A1267" s="55" t="str">
        <f>IF(Transactions!$B1267&lt;&gt;"",DATE(LEFT(Transactions!$B1267,4),MID(Transactions!$B1267,6,2),MID(Transactions!$B1267,9,2)),)</f>
        <v/>
      </c>
      <c r="B1267" s="56" t="str">
        <f>Transactions!$C1267</f>
        <v/>
      </c>
      <c r="C1267" s="51" t="str">
        <f t="array" ref="C1267">IFERROR(INDEX(Portfolio!$B:$B, MATCH($B1267, Portfolio!$A:$A, 0)),Transactions!$B1267)</f>
        <v/>
      </c>
      <c r="D1267" s="51" t="str">
        <f>IF($B1267&lt;&gt;"",Transactions!$E1267*1,)</f>
        <v/>
      </c>
      <c r="E1267" s="51" t="str">
        <f>IF($B1267&lt;&gt;"",Transactions!$F1267*1,)</f>
        <v/>
      </c>
      <c r="F1267" s="42" t="str">
        <f>IF(Transactions!$G1267&lt;&gt;"",Transactions!$H1267&amp;" "&amp;Transactions!$G1267,)</f>
        <v/>
      </c>
    </row>
    <row r="1268">
      <c r="A1268" s="55" t="str">
        <f>IF(Transactions!$B1268&lt;&gt;"",DATE(LEFT(Transactions!$B1268,4),MID(Transactions!$B1268,6,2),MID(Transactions!$B1268,9,2)),)</f>
        <v/>
      </c>
      <c r="B1268" s="56" t="str">
        <f>Transactions!$C1268</f>
        <v/>
      </c>
      <c r="C1268" s="51" t="str">
        <f t="array" ref="C1268">IFERROR(INDEX(Portfolio!$B:$B, MATCH($B1268, Portfolio!$A:$A, 0)),Transactions!$B1268)</f>
        <v/>
      </c>
      <c r="D1268" s="51" t="str">
        <f>IF($B1268&lt;&gt;"",Transactions!$E1268*1,)</f>
        <v/>
      </c>
      <c r="E1268" s="51" t="str">
        <f>IF($B1268&lt;&gt;"",Transactions!$F1268*1,)</f>
        <v/>
      </c>
      <c r="F1268" s="42" t="str">
        <f>IF(Transactions!$G1268&lt;&gt;"",Transactions!$H1268&amp;" "&amp;Transactions!$G1268,)</f>
        <v/>
      </c>
    </row>
    <row r="1269">
      <c r="A1269" s="55" t="str">
        <f>IF(Transactions!$B1269&lt;&gt;"",DATE(LEFT(Transactions!$B1269,4),MID(Transactions!$B1269,6,2),MID(Transactions!$B1269,9,2)),)</f>
        <v/>
      </c>
      <c r="B1269" s="56" t="str">
        <f>Transactions!$C1269</f>
        <v/>
      </c>
      <c r="C1269" s="51" t="str">
        <f t="array" ref="C1269">IFERROR(INDEX(Portfolio!$B:$B, MATCH($B1269, Portfolio!$A:$A, 0)),Transactions!$B1269)</f>
        <v/>
      </c>
      <c r="D1269" s="51" t="str">
        <f>IF($B1269&lt;&gt;"",Transactions!$E1269*1,)</f>
        <v/>
      </c>
      <c r="E1269" s="51" t="str">
        <f>IF($B1269&lt;&gt;"",Transactions!$F1269*1,)</f>
        <v/>
      </c>
      <c r="F1269" s="42" t="str">
        <f>IF(Transactions!$G1269&lt;&gt;"",Transactions!$H1269&amp;" "&amp;Transactions!$G1269,)</f>
        <v/>
      </c>
    </row>
    <row r="1270">
      <c r="A1270" s="55" t="str">
        <f>IF(Transactions!$B1270&lt;&gt;"",DATE(LEFT(Transactions!$B1270,4),MID(Transactions!$B1270,6,2),MID(Transactions!$B1270,9,2)),)</f>
        <v/>
      </c>
      <c r="B1270" s="56" t="str">
        <f>Transactions!$C1270</f>
        <v/>
      </c>
      <c r="C1270" s="51" t="str">
        <f t="array" ref="C1270">IFERROR(INDEX(Portfolio!$B:$B, MATCH($B1270, Portfolio!$A:$A, 0)),Transactions!$B1270)</f>
        <v/>
      </c>
      <c r="D1270" s="51" t="str">
        <f>IF($B1270&lt;&gt;"",Transactions!$E1270*1,)</f>
        <v/>
      </c>
      <c r="E1270" s="51" t="str">
        <f>IF($B1270&lt;&gt;"",Transactions!$F1270*1,)</f>
        <v/>
      </c>
      <c r="F1270" s="42" t="str">
        <f>IF(Transactions!$G1270&lt;&gt;"",Transactions!$H1270&amp;" "&amp;Transactions!$G1270,)</f>
        <v/>
      </c>
    </row>
    <row r="1271">
      <c r="A1271" s="55" t="str">
        <f>IF(Transactions!$B1271&lt;&gt;"",DATE(LEFT(Transactions!$B1271,4),MID(Transactions!$B1271,6,2),MID(Transactions!$B1271,9,2)),)</f>
        <v/>
      </c>
      <c r="B1271" s="56" t="str">
        <f>Transactions!$C1271</f>
        <v/>
      </c>
      <c r="C1271" s="51" t="str">
        <f t="array" ref="C1271">IFERROR(INDEX(Portfolio!$B:$B, MATCH($B1271, Portfolio!$A:$A, 0)),Transactions!$B1271)</f>
        <v/>
      </c>
      <c r="D1271" s="51" t="str">
        <f>IF($B1271&lt;&gt;"",Transactions!$E1271*1,)</f>
        <v/>
      </c>
      <c r="E1271" s="51" t="str">
        <f>IF($B1271&lt;&gt;"",Transactions!$F1271*1,)</f>
        <v/>
      </c>
      <c r="F1271" s="42" t="str">
        <f>IF(Transactions!$G1271&lt;&gt;"",Transactions!$H1271&amp;" "&amp;Transactions!$G1271,)</f>
        <v/>
      </c>
    </row>
    <row r="1272">
      <c r="A1272" s="55" t="str">
        <f>IF(Transactions!$B1272&lt;&gt;"",DATE(LEFT(Transactions!$B1272,4),MID(Transactions!$B1272,6,2),MID(Transactions!$B1272,9,2)),)</f>
        <v/>
      </c>
      <c r="B1272" s="56" t="str">
        <f>Transactions!$C1272</f>
        <v/>
      </c>
      <c r="C1272" s="51" t="str">
        <f t="array" ref="C1272">IFERROR(INDEX(Portfolio!$B:$B, MATCH($B1272, Portfolio!$A:$A, 0)),Transactions!$B1272)</f>
        <v/>
      </c>
      <c r="D1272" s="51" t="str">
        <f>IF($B1272&lt;&gt;"",Transactions!$E1272*1,)</f>
        <v/>
      </c>
      <c r="E1272" s="51" t="str">
        <f>IF($B1272&lt;&gt;"",Transactions!$F1272*1,)</f>
        <v/>
      </c>
      <c r="F1272" s="42" t="str">
        <f>IF(Transactions!$G1272&lt;&gt;"",Transactions!$H1272&amp;" "&amp;Transactions!$G1272,)</f>
        <v/>
      </c>
    </row>
    <row r="1273">
      <c r="A1273" s="55" t="str">
        <f>IF(Transactions!$B1273&lt;&gt;"",DATE(LEFT(Transactions!$B1273,4),MID(Transactions!$B1273,6,2),MID(Transactions!$B1273,9,2)),)</f>
        <v/>
      </c>
      <c r="B1273" s="56" t="str">
        <f>Transactions!$C1273</f>
        <v/>
      </c>
      <c r="C1273" s="51" t="str">
        <f t="array" ref="C1273">IFERROR(INDEX(Portfolio!$B:$B, MATCH($B1273, Portfolio!$A:$A, 0)),Transactions!$B1273)</f>
        <v/>
      </c>
      <c r="D1273" s="51" t="str">
        <f>IF($B1273&lt;&gt;"",Transactions!$E1273*1,)</f>
        <v/>
      </c>
      <c r="E1273" s="51" t="str">
        <f>IF($B1273&lt;&gt;"",Transactions!$F1273*1,)</f>
        <v/>
      </c>
      <c r="F1273" s="42" t="str">
        <f>IF(Transactions!$G1273&lt;&gt;"",Transactions!$H1273&amp;" "&amp;Transactions!$G1273,)</f>
        <v/>
      </c>
    </row>
    <row r="1274">
      <c r="A1274" s="55" t="str">
        <f>IF(Transactions!$B1274&lt;&gt;"",DATE(LEFT(Transactions!$B1274,4),MID(Transactions!$B1274,6,2),MID(Transactions!$B1274,9,2)),)</f>
        <v/>
      </c>
      <c r="B1274" s="56" t="str">
        <f>Transactions!$C1274</f>
        <v/>
      </c>
      <c r="C1274" s="51" t="str">
        <f t="array" ref="C1274">IFERROR(INDEX(Portfolio!$B:$B, MATCH($B1274, Portfolio!$A:$A, 0)),Transactions!$B1274)</f>
        <v/>
      </c>
      <c r="D1274" s="51" t="str">
        <f>IF($B1274&lt;&gt;"",Transactions!$E1274*1,)</f>
        <v/>
      </c>
      <c r="E1274" s="51" t="str">
        <f>IF($B1274&lt;&gt;"",Transactions!$F1274*1,)</f>
        <v/>
      </c>
      <c r="F1274" s="42" t="str">
        <f>IF(Transactions!$G1274&lt;&gt;"",Transactions!$H1274&amp;" "&amp;Transactions!$G1274,)</f>
        <v/>
      </c>
    </row>
    <row r="1275">
      <c r="A1275" s="55" t="str">
        <f>IF(Transactions!$B1275&lt;&gt;"",DATE(LEFT(Transactions!$B1275,4),MID(Transactions!$B1275,6,2),MID(Transactions!$B1275,9,2)),)</f>
        <v/>
      </c>
      <c r="B1275" s="56" t="str">
        <f>Transactions!$C1275</f>
        <v/>
      </c>
      <c r="C1275" s="51" t="str">
        <f t="array" ref="C1275">IFERROR(INDEX(Portfolio!$B:$B, MATCH($B1275, Portfolio!$A:$A, 0)),Transactions!$B1275)</f>
        <v/>
      </c>
      <c r="D1275" s="51" t="str">
        <f>IF($B1275&lt;&gt;"",Transactions!$E1275*1,)</f>
        <v/>
      </c>
      <c r="E1275" s="51" t="str">
        <f>IF($B1275&lt;&gt;"",Transactions!$F1275*1,)</f>
        <v/>
      </c>
      <c r="F1275" s="42" t="str">
        <f>IF(Transactions!$G1275&lt;&gt;"",Transactions!$H1275&amp;" "&amp;Transactions!$G1275,)</f>
        <v/>
      </c>
    </row>
    <row r="1276">
      <c r="A1276" s="55" t="str">
        <f>IF(Transactions!$B1276&lt;&gt;"",DATE(LEFT(Transactions!$B1276,4),MID(Transactions!$B1276,6,2),MID(Transactions!$B1276,9,2)),)</f>
        <v/>
      </c>
      <c r="B1276" s="56" t="str">
        <f>Transactions!$C1276</f>
        <v/>
      </c>
      <c r="C1276" s="51" t="str">
        <f t="array" ref="C1276">IFERROR(INDEX(Portfolio!$B:$B, MATCH($B1276, Portfolio!$A:$A, 0)),Transactions!$B1276)</f>
        <v/>
      </c>
      <c r="D1276" s="51" t="str">
        <f>IF($B1276&lt;&gt;"",Transactions!$E1276*1,)</f>
        <v/>
      </c>
      <c r="E1276" s="51" t="str">
        <f>IF($B1276&lt;&gt;"",Transactions!$F1276*1,)</f>
        <v/>
      </c>
      <c r="F1276" s="42" t="str">
        <f>IF(Transactions!$G1276&lt;&gt;"",Transactions!$H1276&amp;" "&amp;Transactions!$G1276,)</f>
        <v/>
      </c>
    </row>
    <row r="1277">
      <c r="A1277" s="55" t="str">
        <f>IF(Transactions!$B1277&lt;&gt;"",DATE(LEFT(Transactions!$B1277,4),MID(Transactions!$B1277,6,2),MID(Transactions!$B1277,9,2)),)</f>
        <v/>
      </c>
      <c r="B1277" s="56" t="str">
        <f>Transactions!$C1277</f>
        <v/>
      </c>
      <c r="C1277" s="51" t="str">
        <f t="array" ref="C1277">IFERROR(INDEX(Portfolio!$B:$B, MATCH($B1277, Portfolio!$A:$A, 0)),Transactions!$B1277)</f>
        <v/>
      </c>
      <c r="D1277" s="51" t="str">
        <f>IF($B1277&lt;&gt;"",Transactions!$E1277*1,)</f>
        <v/>
      </c>
      <c r="E1277" s="51" t="str">
        <f>IF($B1277&lt;&gt;"",Transactions!$F1277*1,)</f>
        <v/>
      </c>
      <c r="F1277" s="42" t="str">
        <f>IF(Transactions!$G1277&lt;&gt;"",Transactions!$H1277&amp;" "&amp;Transactions!$G1277,)</f>
        <v/>
      </c>
    </row>
    <row r="1278">
      <c r="A1278" s="55" t="str">
        <f>IF(Transactions!$B1278&lt;&gt;"",DATE(LEFT(Transactions!$B1278,4),MID(Transactions!$B1278,6,2),MID(Transactions!$B1278,9,2)),)</f>
        <v/>
      </c>
      <c r="B1278" s="56" t="str">
        <f>Transactions!$C1278</f>
        <v/>
      </c>
      <c r="C1278" s="51" t="str">
        <f t="array" ref="C1278">IFERROR(INDEX(Portfolio!$B:$B, MATCH($B1278, Portfolio!$A:$A, 0)),Transactions!$B1278)</f>
        <v/>
      </c>
      <c r="D1278" s="51" t="str">
        <f>IF($B1278&lt;&gt;"",Transactions!$E1278*1,)</f>
        <v/>
      </c>
      <c r="E1278" s="51" t="str">
        <f>IF($B1278&lt;&gt;"",Transactions!$F1278*1,)</f>
        <v/>
      </c>
      <c r="F1278" s="42" t="str">
        <f>IF(Transactions!$G1278&lt;&gt;"",Transactions!$H1278&amp;" "&amp;Transactions!$G1278,)</f>
        <v/>
      </c>
    </row>
    <row r="1279">
      <c r="A1279" s="55" t="str">
        <f>IF(Transactions!$B1279&lt;&gt;"",DATE(LEFT(Transactions!$B1279,4),MID(Transactions!$B1279,6,2),MID(Transactions!$B1279,9,2)),)</f>
        <v/>
      </c>
      <c r="B1279" s="56" t="str">
        <f>Transactions!$C1279</f>
        <v/>
      </c>
      <c r="C1279" s="51" t="str">
        <f t="array" ref="C1279">IFERROR(INDEX(Portfolio!$B:$B, MATCH($B1279, Portfolio!$A:$A, 0)),Transactions!$B1279)</f>
        <v/>
      </c>
      <c r="D1279" s="51" t="str">
        <f>IF($B1279&lt;&gt;"",Transactions!$E1279*1,)</f>
        <v/>
      </c>
      <c r="E1279" s="51" t="str">
        <f>IF($B1279&lt;&gt;"",Transactions!$F1279*1,)</f>
        <v/>
      </c>
      <c r="F1279" s="42" t="str">
        <f>IF(Transactions!$G1279&lt;&gt;"",Transactions!$H1279&amp;" "&amp;Transactions!$G1279,)</f>
        <v/>
      </c>
    </row>
    <row r="1280">
      <c r="A1280" s="55" t="str">
        <f>IF(Transactions!$B1280&lt;&gt;"",DATE(LEFT(Transactions!$B1280,4),MID(Transactions!$B1280,6,2),MID(Transactions!$B1280,9,2)),)</f>
        <v/>
      </c>
      <c r="B1280" s="56" t="str">
        <f>Transactions!$C1280</f>
        <v/>
      </c>
      <c r="C1280" s="51" t="str">
        <f t="array" ref="C1280">IFERROR(INDEX(Portfolio!$B:$B, MATCH($B1280, Portfolio!$A:$A, 0)),Transactions!$B1280)</f>
        <v/>
      </c>
      <c r="D1280" s="51" t="str">
        <f>IF($B1280&lt;&gt;"",Transactions!$E1280*1,)</f>
        <v/>
      </c>
      <c r="E1280" s="51" t="str">
        <f>IF($B1280&lt;&gt;"",Transactions!$F1280*1,)</f>
        <v/>
      </c>
      <c r="F1280" s="42" t="str">
        <f>IF(Transactions!$G1280&lt;&gt;"",Transactions!$H1280&amp;" "&amp;Transactions!$G1280,)</f>
        <v/>
      </c>
    </row>
    <row r="1281">
      <c r="A1281" s="55" t="str">
        <f>IF(Transactions!$B1281&lt;&gt;"",DATE(LEFT(Transactions!$B1281,4),MID(Transactions!$B1281,6,2),MID(Transactions!$B1281,9,2)),)</f>
        <v/>
      </c>
      <c r="B1281" s="56" t="str">
        <f>Transactions!$C1281</f>
        <v/>
      </c>
      <c r="C1281" s="51" t="str">
        <f t="array" ref="C1281">IFERROR(INDEX(Portfolio!$B:$B, MATCH($B1281, Portfolio!$A:$A, 0)),Transactions!$B1281)</f>
        <v/>
      </c>
      <c r="D1281" s="51" t="str">
        <f>IF($B1281&lt;&gt;"",Transactions!$E1281*1,)</f>
        <v/>
      </c>
      <c r="E1281" s="51" t="str">
        <f>IF($B1281&lt;&gt;"",Transactions!$F1281*1,)</f>
        <v/>
      </c>
      <c r="F1281" s="42" t="str">
        <f>IF(Transactions!$G1281&lt;&gt;"",Transactions!$H1281&amp;" "&amp;Transactions!$G1281,)</f>
        <v/>
      </c>
    </row>
    <row r="1282">
      <c r="A1282" s="55" t="str">
        <f>IF(Transactions!$B1282&lt;&gt;"",DATE(LEFT(Transactions!$B1282,4),MID(Transactions!$B1282,6,2),MID(Transactions!$B1282,9,2)),)</f>
        <v/>
      </c>
      <c r="B1282" s="56" t="str">
        <f>Transactions!$C1282</f>
        <v/>
      </c>
      <c r="C1282" s="51" t="str">
        <f t="array" ref="C1282">IFERROR(INDEX(Portfolio!$B:$B, MATCH($B1282, Portfolio!$A:$A, 0)),Transactions!$B1282)</f>
        <v/>
      </c>
      <c r="D1282" s="51" t="str">
        <f>IF($B1282&lt;&gt;"",Transactions!$E1282*1,)</f>
        <v/>
      </c>
      <c r="E1282" s="51" t="str">
        <f>IF($B1282&lt;&gt;"",Transactions!$F1282*1,)</f>
        <v/>
      </c>
      <c r="F1282" s="42" t="str">
        <f>IF(Transactions!$G1282&lt;&gt;"",Transactions!$H1282&amp;" "&amp;Transactions!$G1282,)</f>
        <v/>
      </c>
    </row>
    <row r="1283">
      <c r="A1283" s="55" t="str">
        <f>IF(Transactions!$B1283&lt;&gt;"",DATE(LEFT(Transactions!$B1283,4),MID(Transactions!$B1283,6,2),MID(Transactions!$B1283,9,2)),)</f>
        <v/>
      </c>
      <c r="B1283" s="56" t="str">
        <f>Transactions!$C1283</f>
        <v/>
      </c>
      <c r="C1283" s="51" t="str">
        <f t="array" ref="C1283">IFERROR(INDEX(Portfolio!$B:$B, MATCH($B1283, Portfolio!$A:$A, 0)),Transactions!$B1283)</f>
        <v/>
      </c>
      <c r="D1283" s="51" t="str">
        <f>IF($B1283&lt;&gt;"",Transactions!$E1283*1,)</f>
        <v/>
      </c>
      <c r="E1283" s="51" t="str">
        <f>IF($B1283&lt;&gt;"",Transactions!$F1283*1,)</f>
        <v/>
      </c>
      <c r="F1283" s="42" t="str">
        <f>IF(Transactions!$G1283&lt;&gt;"",Transactions!$H1283&amp;" "&amp;Transactions!$G1283,)</f>
        <v/>
      </c>
    </row>
    <row r="1284">
      <c r="A1284" s="55" t="str">
        <f>IF(Transactions!$B1284&lt;&gt;"",DATE(LEFT(Transactions!$B1284,4),MID(Transactions!$B1284,6,2),MID(Transactions!$B1284,9,2)),)</f>
        <v/>
      </c>
      <c r="B1284" s="56" t="str">
        <f>Transactions!$C1284</f>
        <v/>
      </c>
      <c r="C1284" s="51" t="str">
        <f t="array" ref="C1284">IFERROR(INDEX(Portfolio!$B:$B, MATCH($B1284, Portfolio!$A:$A, 0)),Transactions!$B1284)</f>
        <v/>
      </c>
      <c r="D1284" s="51" t="str">
        <f>IF($B1284&lt;&gt;"",Transactions!$E1284*1,)</f>
        <v/>
      </c>
      <c r="E1284" s="51" t="str">
        <f>IF($B1284&lt;&gt;"",Transactions!$F1284*1,)</f>
        <v/>
      </c>
      <c r="F1284" s="42" t="str">
        <f>IF(Transactions!$G1284&lt;&gt;"",Transactions!$H1284&amp;" "&amp;Transactions!$G1284,)</f>
        <v/>
      </c>
    </row>
    <row r="1285">
      <c r="A1285" s="55" t="str">
        <f>IF(Transactions!$B1285&lt;&gt;"",DATE(LEFT(Transactions!$B1285,4),MID(Transactions!$B1285,6,2),MID(Transactions!$B1285,9,2)),)</f>
        <v/>
      </c>
      <c r="B1285" s="56" t="str">
        <f>Transactions!$C1285</f>
        <v/>
      </c>
      <c r="C1285" s="51" t="str">
        <f t="array" ref="C1285">IFERROR(INDEX(Portfolio!$B:$B, MATCH($B1285, Portfolio!$A:$A, 0)),Transactions!$B1285)</f>
        <v/>
      </c>
      <c r="D1285" s="51" t="str">
        <f>IF($B1285&lt;&gt;"",Transactions!$E1285*1,)</f>
        <v/>
      </c>
      <c r="E1285" s="51" t="str">
        <f>IF($B1285&lt;&gt;"",Transactions!$F1285*1,)</f>
        <v/>
      </c>
      <c r="F1285" s="42" t="str">
        <f>IF(Transactions!$G1285&lt;&gt;"",Transactions!$H1285&amp;" "&amp;Transactions!$G1285,)</f>
        <v/>
      </c>
    </row>
    <row r="1286">
      <c r="A1286" s="55" t="str">
        <f>IF(Transactions!$B1286&lt;&gt;"",DATE(LEFT(Transactions!$B1286,4),MID(Transactions!$B1286,6,2),MID(Transactions!$B1286,9,2)),)</f>
        <v/>
      </c>
      <c r="B1286" s="56" t="str">
        <f>Transactions!$C1286</f>
        <v/>
      </c>
      <c r="C1286" s="51" t="str">
        <f t="array" ref="C1286">IFERROR(INDEX(Portfolio!$B:$B, MATCH($B1286, Portfolio!$A:$A, 0)),Transactions!$B1286)</f>
        <v/>
      </c>
      <c r="D1286" s="51" t="str">
        <f>IF($B1286&lt;&gt;"",Transactions!$E1286*1,)</f>
        <v/>
      </c>
      <c r="E1286" s="51" t="str">
        <f>IF($B1286&lt;&gt;"",Transactions!$F1286*1,)</f>
        <v/>
      </c>
      <c r="F1286" s="42" t="str">
        <f>IF(Transactions!$G1286&lt;&gt;"",Transactions!$H1286&amp;" "&amp;Transactions!$G1286,)</f>
        <v/>
      </c>
    </row>
    <row r="1287">
      <c r="A1287" s="55" t="str">
        <f>IF(Transactions!$B1287&lt;&gt;"",DATE(LEFT(Transactions!$B1287,4),MID(Transactions!$B1287,6,2),MID(Transactions!$B1287,9,2)),)</f>
        <v/>
      </c>
      <c r="B1287" s="56" t="str">
        <f>Transactions!$C1287</f>
        <v/>
      </c>
      <c r="C1287" s="51" t="str">
        <f t="array" ref="C1287">IFERROR(INDEX(Portfolio!$B:$B, MATCH($B1287, Portfolio!$A:$A, 0)),Transactions!$B1287)</f>
        <v/>
      </c>
      <c r="D1287" s="51" t="str">
        <f>IF($B1287&lt;&gt;"",Transactions!$E1287*1,)</f>
        <v/>
      </c>
      <c r="E1287" s="51" t="str">
        <f>IF($B1287&lt;&gt;"",Transactions!$F1287*1,)</f>
        <v/>
      </c>
      <c r="F1287" s="42" t="str">
        <f>IF(Transactions!$G1287&lt;&gt;"",Transactions!$H1287&amp;" "&amp;Transactions!$G1287,)</f>
        <v/>
      </c>
    </row>
    <row r="1288">
      <c r="A1288" s="55" t="str">
        <f>IF(Transactions!$B1288&lt;&gt;"",DATE(LEFT(Transactions!$B1288,4),MID(Transactions!$B1288,6,2),MID(Transactions!$B1288,9,2)),)</f>
        <v/>
      </c>
      <c r="B1288" s="56" t="str">
        <f>Transactions!$C1288</f>
        <v/>
      </c>
      <c r="C1288" s="51" t="str">
        <f t="array" ref="C1288">IFERROR(INDEX(Portfolio!$B:$B, MATCH($B1288, Portfolio!$A:$A, 0)),Transactions!$B1288)</f>
        <v/>
      </c>
      <c r="D1288" s="51" t="str">
        <f>IF($B1288&lt;&gt;"",Transactions!$E1288*1,)</f>
        <v/>
      </c>
      <c r="E1288" s="51" t="str">
        <f>IF($B1288&lt;&gt;"",Transactions!$F1288*1,)</f>
        <v/>
      </c>
      <c r="F1288" s="42" t="str">
        <f>IF(Transactions!$G1288&lt;&gt;"",Transactions!$H1288&amp;" "&amp;Transactions!$G1288,)</f>
        <v/>
      </c>
    </row>
    <row r="1289">
      <c r="A1289" s="55" t="str">
        <f>IF(Transactions!$B1289&lt;&gt;"",DATE(LEFT(Transactions!$B1289,4),MID(Transactions!$B1289,6,2),MID(Transactions!$B1289,9,2)),)</f>
        <v/>
      </c>
      <c r="B1289" s="56" t="str">
        <f>Transactions!$C1289</f>
        <v/>
      </c>
      <c r="C1289" s="51" t="str">
        <f t="array" ref="C1289">IFERROR(INDEX(Portfolio!$B:$B, MATCH($B1289, Portfolio!$A:$A, 0)),Transactions!$B1289)</f>
        <v/>
      </c>
      <c r="D1289" s="51" t="str">
        <f>IF($B1289&lt;&gt;"",Transactions!$E1289*1,)</f>
        <v/>
      </c>
      <c r="E1289" s="51" t="str">
        <f>IF($B1289&lt;&gt;"",Transactions!$F1289*1,)</f>
        <v/>
      </c>
      <c r="F1289" s="42" t="str">
        <f>IF(Transactions!$G1289&lt;&gt;"",Transactions!$H1289&amp;" "&amp;Transactions!$G1289,)</f>
        <v/>
      </c>
    </row>
    <row r="1290">
      <c r="A1290" s="55" t="str">
        <f>IF(Transactions!$B1290&lt;&gt;"",DATE(LEFT(Transactions!$B1290,4),MID(Transactions!$B1290,6,2),MID(Transactions!$B1290,9,2)),)</f>
        <v/>
      </c>
      <c r="B1290" s="56" t="str">
        <f>Transactions!$C1290</f>
        <v/>
      </c>
      <c r="C1290" s="51" t="str">
        <f t="array" ref="C1290">IFERROR(INDEX(Portfolio!$B:$B, MATCH($B1290, Portfolio!$A:$A, 0)),Transactions!$B1290)</f>
        <v/>
      </c>
      <c r="D1290" s="51" t="str">
        <f>IF($B1290&lt;&gt;"",Transactions!$E1290*1,)</f>
        <v/>
      </c>
      <c r="E1290" s="51" t="str">
        <f>IF($B1290&lt;&gt;"",Transactions!$F1290*1,)</f>
        <v/>
      </c>
      <c r="F1290" s="42" t="str">
        <f>IF(Transactions!$G1290&lt;&gt;"",Transactions!$H1290&amp;" "&amp;Transactions!$G1290,)</f>
        <v/>
      </c>
    </row>
    <row r="1291">
      <c r="A1291" s="55" t="str">
        <f>IF(Transactions!$B1291&lt;&gt;"",DATE(LEFT(Transactions!$B1291,4),MID(Transactions!$B1291,6,2),MID(Transactions!$B1291,9,2)),)</f>
        <v/>
      </c>
      <c r="B1291" s="56" t="str">
        <f>Transactions!$C1291</f>
        <v/>
      </c>
      <c r="C1291" s="51" t="str">
        <f t="array" ref="C1291">IFERROR(INDEX(Portfolio!$B:$B, MATCH($B1291, Portfolio!$A:$A, 0)),Transactions!$B1291)</f>
        <v/>
      </c>
      <c r="D1291" s="51" t="str">
        <f>IF($B1291&lt;&gt;"",Transactions!$E1291*1,)</f>
        <v/>
      </c>
      <c r="E1291" s="51" t="str">
        <f>IF($B1291&lt;&gt;"",Transactions!$F1291*1,)</f>
        <v/>
      </c>
      <c r="F1291" s="42" t="str">
        <f>IF(Transactions!$G1291&lt;&gt;"",Transactions!$H1291&amp;" "&amp;Transactions!$G1291,)</f>
        <v/>
      </c>
    </row>
    <row r="1292">
      <c r="A1292" s="55" t="str">
        <f>IF(Transactions!$B1292&lt;&gt;"",DATE(LEFT(Transactions!$B1292,4),MID(Transactions!$B1292,6,2),MID(Transactions!$B1292,9,2)),)</f>
        <v/>
      </c>
      <c r="B1292" s="56" t="str">
        <f>Transactions!$C1292</f>
        <v/>
      </c>
      <c r="C1292" s="51" t="str">
        <f t="array" ref="C1292">IFERROR(INDEX(Portfolio!$B:$B, MATCH($B1292, Portfolio!$A:$A, 0)),Transactions!$B1292)</f>
        <v/>
      </c>
      <c r="D1292" s="51" t="str">
        <f>IF($B1292&lt;&gt;"",Transactions!$E1292*1,)</f>
        <v/>
      </c>
      <c r="E1292" s="51" t="str">
        <f>IF($B1292&lt;&gt;"",Transactions!$F1292*1,)</f>
        <v/>
      </c>
      <c r="F1292" s="42" t="str">
        <f>IF(Transactions!$G1292&lt;&gt;"",Transactions!$H1292&amp;" "&amp;Transactions!$G1292,)</f>
        <v/>
      </c>
    </row>
    <row r="1293">
      <c r="A1293" s="55" t="str">
        <f>IF(Transactions!$B1293&lt;&gt;"",DATE(LEFT(Transactions!$B1293,4),MID(Transactions!$B1293,6,2),MID(Transactions!$B1293,9,2)),)</f>
        <v/>
      </c>
      <c r="B1293" s="56" t="str">
        <f>Transactions!$C1293</f>
        <v/>
      </c>
      <c r="C1293" s="51" t="str">
        <f t="array" ref="C1293">IFERROR(INDEX(Portfolio!$B:$B, MATCH($B1293, Portfolio!$A:$A, 0)),Transactions!$B1293)</f>
        <v/>
      </c>
      <c r="D1293" s="51" t="str">
        <f>IF($B1293&lt;&gt;"",Transactions!$E1293*1,)</f>
        <v/>
      </c>
      <c r="E1293" s="51" t="str">
        <f>IF($B1293&lt;&gt;"",Transactions!$F1293*1,)</f>
        <v/>
      </c>
      <c r="F1293" s="42" t="str">
        <f>IF(Transactions!$G1293&lt;&gt;"",Transactions!$H1293&amp;" "&amp;Transactions!$G1293,)</f>
        <v/>
      </c>
    </row>
    <row r="1294">
      <c r="A1294" s="55" t="str">
        <f>IF(Transactions!$B1294&lt;&gt;"",DATE(LEFT(Transactions!$B1294,4),MID(Transactions!$B1294,6,2),MID(Transactions!$B1294,9,2)),)</f>
        <v/>
      </c>
      <c r="B1294" s="56" t="str">
        <f>Transactions!$C1294</f>
        <v/>
      </c>
      <c r="C1294" s="51" t="str">
        <f t="array" ref="C1294">IFERROR(INDEX(Portfolio!$B:$B, MATCH($B1294, Portfolio!$A:$A, 0)),Transactions!$B1294)</f>
        <v/>
      </c>
      <c r="D1294" s="51" t="str">
        <f>IF($B1294&lt;&gt;"",Transactions!$E1294*1,)</f>
        <v/>
      </c>
      <c r="E1294" s="51" t="str">
        <f>IF($B1294&lt;&gt;"",Transactions!$F1294*1,)</f>
        <v/>
      </c>
      <c r="F1294" s="42" t="str">
        <f>IF(Transactions!$G1294&lt;&gt;"",Transactions!$H1294&amp;" "&amp;Transactions!$G1294,)</f>
        <v/>
      </c>
    </row>
    <row r="1295">
      <c r="A1295" s="55" t="str">
        <f>IF(Transactions!$B1295&lt;&gt;"",DATE(LEFT(Transactions!$B1295,4),MID(Transactions!$B1295,6,2),MID(Transactions!$B1295,9,2)),)</f>
        <v/>
      </c>
      <c r="B1295" s="56" t="str">
        <f>Transactions!$C1295</f>
        <v/>
      </c>
      <c r="C1295" s="51" t="str">
        <f t="array" ref="C1295">IFERROR(INDEX(Portfolio!$B:$B, MATCH($B1295, Portfolio!$A:$A, 0)),Transactions!$B1295)</f>
        <v/>
      </c>
      <c r="D1295" s="51" t="str">
        <f>IF($B1295&lt;&gt;"",Transactions!$E1295*1,)</f>
        <v/>
      </c>
      <c r="E1295" s="51" t="str">
        <f>IF($B1295&lt;&gt;"",Transactions!$F1295*1,)</f>
        <v/>
      </c>
      <c r="F1295" s="42" t="str">
        <f>IF(Transactions!$G1295&lt;&gt;"",Transactions!$H1295&amp;" "&amp;Transactions!$G1295,)</f>
        <v/>
      </c>
    </row>
    <row r="1296">
      <c r="A1296" s="55" t="str">
        <f>IF(Transactions!$B1296&lt;&gt;"",DATE(LEFT(Transactions!$B1296,4),MID(Transactions!$B1296,6,2),MID(Transactions!$B1296,9,2)),)</f>
        <v/>
      </c>
      <c r="B1296" s="56" t="str">
        <f>Transactions!$C1296</f>
        <v/>
      </c>
      <c r="C1296" s="51" t="str">
        <f t="array" ref="C1296">IFERROR(INDEX(Portfolio!$B:$B, MATCH($B1296, Portfolio!$A:$A, 0)),Transactions!$B1296)</f>
        <v/>
      </c>
      <c r="D1296" s="51" t="str">
        <f>IF($B1296&lt;&gt;"",Transactions!$E1296*1,)</f>
        <v/>
      </c>
      <c r="E1296" s="51" t="str">
        <f>IF($B1296&lt;&gt;"",Transactions!$F1296*1,)</f>
        <v/>
      </c>
      <c r="F1296" s="42" t="str">
        <f>IF(Transactions!$G1296&lt;&gt;"",Transactions!$H1296&amp;" "&amp;Transactions!$G1296,)</f>
        <v/>
      </c>
    </row>
    <row r="1297">
      <c r="A1297" s="55" t="str">
        <f>IF(Transactions!$B1297&lt;&gt;"",DATE(LEFT(Transactions!$B1297,4),MID(Transactions!$B1297,6,2),MID(Transactions!$B1297,9,2)),)</f>
        <v/>
      </c>
      <c r="B1297" s="56" t="str">
        <f>Transactions!$C1297</f>
        <v/>
      </c>
      <c r="C1297" s="51" t="str">
        <f t="array" ref="C1297">IFERROR(INDEX(Portfolio!$B:$B, MATCH($B1297, Portfolio!$A:$A, 0)),Transactions!$B1297)</f>
        <v/>
      </c>
      <c r="D1297" s="51" t="str">
        <f>IF($B1297&lt;&gt;"",Transactions!$E1297*1,)</f>
        <v/>
      </c>
      <c r="E1297" s="51" t="str">
        <f>IF($B1297&lt;&gt;"",Transactions!$F1297*1,)</f>
        <v/>
      </c>
      <c r="F1297" s="42" t="str">
        <f>IF(Transactions!$G1297&lt;&gt;"",Transactions!$H1297&amp;" "&amp;Transactions!$G1297,)</f>
        <v/>
      </c>
    </row>
    <row r="1298">
      <c r="A1298" s="55" t="str">
        <f>IF(Transactions!$B1298&lt;&gt;"",DATE(LEFT(Transactions!$B1298,4),MID(Transactions!$B1298,6,2),MID(Transactions!$B1298,9,2)),)</f>
        <v/>
      </c>
      <c r="B1298" s="56" t="str">
        <f>Transactions!$C1298</f>
        <v/>
      </c>
      <c r="C1298" s="51" t="str">
        <f t="array" ref="C1298">IFERROR(INDEX(Portfolio!$B:$B, MATCH($B1298, Portfolio!$A:$A, 0)),Transactions!$B1298)</f>
        <v/>
      </c>
      <c r="D1298" s="51" t="str">
        <f>IF($B1298&lt;&gt;"",Transactions!$E1298*1,)</f>
        <v/>
      </c>
      <c r="E1298" s="51" t="str">
        <f>IF($B1298&lt;&gt;"",Transactions!$F1298*1,)</f>
        <v/>
      </c>
      <c r="F1298" s="42" t="str">
        <f>IF(Transactions!$G1298&lt;&gt;"",Transactions!$H1298&amp;" "&amp;Transactions!$G1298,)</f>
        <v/>
      </c>
    </row>
    <row r="1299">
      <c r="A1299" s="55" t="str">
        <f>IF(Transactions!$B1299&lt;&gt;"",DATE(LEFT(Transactions!$B1299,4),MID(Transactions!$B1299,6,2),MID(Transactions!$B1299,9,2)),)</f>
        <v/>
      </c>
      <c r="B1299" s="56" t="str">
        <f>Transactions!$C1299</f>
        <v/>
      </c>
      <c r="C1299" s="51" t="str">
        <f t="array" ref="C1299">IFERROR(INDEX(Portfolio!$B:$B, MATCH($B1299, Portfolio!$A:$A, 0)),Transactions!$B1299)</f>
        <v/>
      </c>
      <c r="D1299" s="51" t="str">
        <f>IF($B1299&lt;&gt;"",Transactions!$E1299*1,)</f>
        <v/>
      </c>
      <c r="E1299" s="51" t="str">
        <f>IF($B1299&lt;&gt;"",Transactions!$F1299*1,)</f>
        <v/>
      </c>
      <c r="F1299" s="42" t="str">
        <f>IF(Transactions!$G1299&lt;&gt;"",Transactions!$H1299&amp;" "&amp;Transactions!$G1299,)</f>
        <v/>
      </c>
    </row>
    <row r="1300">
      <c r="A1300" s="55" t="str">
        <f>IF(Transactions!$B1300&lt;&gt;"",DATE(LEFT(Transactions!$B1300,4),MID(Transactions!$B1300,6,2),MID(Transactions!$B1300,9,2)),)</f>
        <v/>
      </c>
      <c r="B1300" s="56" t="str">
        <f>Transactions!$C1300</f>
        <v/>
      </c>
      <c r="C1300" s="51" t="str">
        <f t="array" ref="C1300">IFERROR(INDEX(Portfolio!$B:$B, MATCH($B1300, Portfolio!$A:$A, 0)),Transactions!$B1300)</f>
        <v/>
      </c>
      <c r="D1300" s="51" t="str">
        <f>IF($B1300&lt;&gt;"",Transactions!$E1300*1,)</f>
        <v/>
      </c>
      <c r="E1300" s="51" t="str">
        <f>IF($B1300&lt;&gt;"",Transactions!$F1300*1,)</f>
        <v/>
      </c>
      <c r="F1300" s="42" t="str">
        <f>IF(Transactions!$G1300&lt;&gt;"",Transactions!$H1300&amp;" "&amp;Transactions!$G1300,)</f>
        <v/>
      </c>
    </row>
    <row r="1301">
      <c r="A1301" s="55" t="str">
        <f>IF(Transactions!$B1301&lt;&gt;"",DATE(LEFT(Transactions!$B1301,4),MID(Transactions!$B1301,6,2),MID(Transactions!$B1301,9,2)),)</f>
        <v/>
      </c>
      <c r="B1301" s="56" t="str">
        <f>Transactions!$C1301</f>
        <v/>
      </c>
      <c r="C1301" s="51" t="str">
        <f t="array" ref="C1301">IFERROR(INDEX(Portfolio!$B:$B, MATCH($B1301, Portfolio!$A:$A, 0)),Transactions!$B1301)</f>
        <v/>
      </c>
      <c r="D1301" s="51" t="str">
        <f>IF($B1301&lt;&gt;"",Transactions!$E1301*1,)</f>
        <v/>
      </c>
      <c r="E1301" s="51" t="str">
        <f>IF($B1301&lt;&gt;"",Transactions!$F1301*1,)</f>
        <v/>
      </c>
      <c r="F1301" s="42" t="str">
        <f>IF(Transactions!$G1301&lt;&gt;"",Transactions!$H1301&amp;" "&amp;Transactions!$G1301,)</f>
        <v/>
      </c>
    </row>
    <row r="1302">
      <c r="A1302" s="55" t="str">
        <f>IF(Transactions!$B1302&lt;&gt;"",DATE(LEFT(Transactions!$B1302,4),MID(Transactions!$B1302,6,2),MID(Transactions!$B1302,9,2)),)</f>
        <v/>
      </c>
      <c r="B1302" s="56" t="str">
        <f>Transactions!$C1302</f>
        <v/>
      </c>
      <c r="C1302" s="51" t="str">
        <f t="array" ref="C1302">IFERROR(INDEX(Portfolio!$B:$B, MATCH($B1302, Portfolio!$A:$A, 0)),Transactions!$B1302)</f>
        <v/>
      </c>
      <c r="D1302" s="51" t="str">
        <f>IF($B1302&lt;&gt;"",Transactions!$E1302*1,)</f>
        <v/>
      </c>
      <c r="E1302" s="51" t="str">
        <f>IF($B1302&lt;&gt;"",Transactions!$F1302*1,)</f>
        <v/>
      </c>
      <c r="F1302" s="42" t="str">
        <f>IF(Transactions!$G1302&lt;&gt;"",Transactions!$H1302&amp;" "&amp;Transactions!$G1302,)</f>
        <v/>
      </c>
    </row>
    <row r="1303">
      <c r="A1303" s="55" t="str">
        <f>IF(Transactions!$B1303&lt;&gt;"",DATE(LEFT(Transactions!$B1303,4),MID(Transactions!$B1303,6,2),MID(Transactions!$B1303,9,2)),)</f>
        <v/>
      </c>
      <c r="B1303" s="56" t="str">
        <f>Transactions!$C1303</f>
        <v/>
      </c>
      <c r="C1303" s="51" t="str">
        <f t="array" ref="C1303">IFERROR(INDEX(Portfolio!$B:$B, MATCH($B1303, Portfolio!$A:$A, 0)),Transactions!$B1303)</f>
        <v/>
      </c>
      <c r="D1303" s="51" t="str">
        <f>IF($B1303&lt;&gt;"",Transactions!$E1303*1,)</f>
        <v/>
      </c>
      <c r="E1303" s="51" t="str">
        <f>IF($B1303&lt;&gt;"",Transactions!$F1303*1,)</f>
        <v/>
      </c>
      <c r="F1303" s="42" t="str">
        <f>IF(Transactions!$G1303&lt;&gt;"",Transactions!$H1303&amp;" "&amp;Transactions!$G1303,)</f>
        <v/>
      </c>
    </row>
    <row r="1304">
      <c r="A1304" s="55" t="str">
        <f>IF(Transactions!$B1304&lt;&gt;"",DATE(LEFT(Transactions!$B1304,4),MID(Transactions!$B1304,6,2),MID(Transactions!$B1304,9,2)),)</f>
        <v/>
      </c>
      <c r="B1304" s="56" t="str">
        <f>Transactions!$C1304</f>
        <v/>
      </c>
      <c r="C1304" s="51" t="str">
        <f t="array" ref="C1304">IFERROR(INDEX(Portfolio!$B:$B, MATCH($B1304, Portfolio!$A:$A, 0)),Transactions!$B1304)</f>
        <v/>
      </c>
      <c r="D1304" s="51" t="str">
        <f>IF($B1304&lt;&gt;"",Transactions!$E1304*1,)</f>
        <v/>
      </c>
      <c r="E1304" s="51" t="str">
        <f>IF($B1304&lt;&gt;"",Transactions!$F1304*1,)</f>
        <v/>
      </c>
      <c r="F1304" s="42" t="str">
        <f>IF(Transactions!$G1304&lt;&gt;"",Transactions!$H1304&amp;" "&amp;Transactions!$G1304,)</f>
        <v/>
      </c>
    </row>
    <row r="1305">
      <c r="A1305" s="55" t="str">
        <f>IF(Transactions!$B1305&lt;&gt;"",DATE(LEFT(Transactions!$B1305,4),MID(Transactions!$B1305,6,2),MID(Transactions!$B1305,9,2)),)</f>
        <v/>
      </c>
      <c r="B1305" s="56" t="str">
        <f>Transactions!$C1305</f>
        <v/>
      </c>
      <c r="C1305" s="51" t="str">
        <f t="array" ref="C1305">IFERROR(INDEX(Portfolio!$B:$B, MATCH($B1305, Portfolio!$A:$A, 0)),Transactions!$B1305)</f>
        <v/>
      </c>
      <c r="D1305" s="51" t="str">
        <f>IF($B1305&lt;&gt;"",Transactions!$E1305*1,)</f>
        <v/>
      </c>
      <c r="E1305" s="51" t="str">
        <f>IF($B1305&lt;&gt;"",Transactions!$F1305*1,)</f>
        <v/>
      </c>
      <c r="F1305" s="42" t="str">
        <f>IF(Transactions!$G1305&lt;&gt;"",Transactions!$H1305&amp;" "&amp;Transactions!$G1305,)</f>
        <v/>
      </c>
    </row>
    <row r="1306">
      <c r="A1306" s="55" t="str">
        <f>IF(Transactions!$B1306&lt;&gt;"",DATE(LEFT(Transactions!$B1306,4),MID(Transactions!$B1306,6,2),MID(Transactions!$B1306,9,2)),)</f>
        <v/>
      </c>
      <c r="B1306" s="56" t="str">
        <f>Transactions!$C1306</f>
        <v/>
      </c>
      <c r="C1306" s="51" t="str">
        <f t="array" ref="C1306">IFERROR(INDEX(Portfolio!$B:$B, MATCH($B1306, Portfolio!$A:$A, 0)),Transactions!$B1306)</f>
        <v/>
      </c>
      <c r="D1306" s="51" t="str">
        <f>IF($B1306&lt;&gt;"",Transactions!$E1306*1,)</f>
        <v/>
      </c>
      <c r="E1306" s="51" t="str">
        <f>IF($B1306&lt;&gt;"",Transactions!$F1306*1,)</f>
        <v/>
      </c>
      <c r="F1306" s="42" t="str">
        <f>IF(Transactions!$G1306&lt;&gt;"",Transactions!$H1306&amp;" "&amp;Transactions!$G1306,)</f>
        <v/>
      </c>
    </row>
    <row r="1307">
      <c r="A1307" s="55" t="str">
        <f>IF(Transactions!$B1307&lt;&gt;"",DATE(LEFT(Transactions!$B1307,4),MID(Transactions!$B1307,6,2),MID(Transactions!$B1307,9,2)),)</f>
        <v/>
      </c>
      <c r="B1307" s="56" t="str">
        <f>Transactions!$C1307</f>
        <v/>
      </c>
      <c r="C1307" s="51" t="str">
        <f t="array" ref="C1307">IFERROR(INDEX(Portfolio!$B:$B, MATCH($B1307, Portfolio!$A:$A, 0)),Transactions!$B1307)</f>
        <v/>
      </c>
      <c r="D1307" s="51" t="str">
        <f>IF($B1307&lt;&gt;"",Transactions!$E1307*1,)</f>
        <v/>
      </c>
      <c r="E1307" s="51" t="str">
        <f>IF($B1307&lt;&gt;"",Transactions!$F1307*1,)</f>
        <v/>
      </c>
      <c r="F1307" s="42" t="str">
        <f>IF(Transactions!$G1307&lt;&gt;"",Transactions!$H1307&amp;" "&amp;Transactions!$G1307,)</f>
        <v/>
      </c>
    </row>
    <row r="1308">
      <c r="A1308" s="55" t="str">
        <f>IF(Transactions!$B1308&lt;&gt;"",DATE(LEFT(Transactions!$B1308,4),MID(Transactions!$B1308,6,2),MID(Transactions!$B1308,9,2)),)</f>
        <v/>
      </c>
      <c r="B1308" s="56" t="str">
        <f>Transactions!$C1308</f>
        <v/>
      </c>
      <c r="C1308" s="51" t="str">
        <f t="array" ref="C1308">IFERROR(INDEX(Portfolio!$B:$B, MATCH($B1308, Portfolio!$A:$A, 0)),Transactions!$B1308)</f>
        <v/>
      </c>
      <c r="D1308" s="51" t="str">
        <f>IF($B1308&lt;&gt;"",Transactions!$E1308*1,)</f>
        <v/>
      </c>
      <c r="E1308" s="51" t="str">
        <f>IF($B1308&lt;&gt;"",Transactions!$F1308*1,)</f>
        <v/>
      </c>
      <c r="F1308" s="42" t="str">
        <f>IF(Transactions!$G1308&lt;&gt;"",Transactions!$H1308&amp;" "&amp;Transactions!$G1308,)</f>
        <v/>
      </c>
    </row>
    <row r="1309">
      <c r="A1309" s="55" t="str">
        <f>IF(Transactions!$B1309&lt;&gt;"",DATE(LEFT(Transactions!$B1309,4),MID(Transactions!$B1309,6,2),MID(Transactions!$B1309,9,2)),)</f>
        <v/>
      </c>
      <c r="B1309" s="56" t="str">
        <f>Transactions!$C1309</f>
        <v/>
      </c>
      <c r="C1309" s="51" t="str">
        <f t="array" ref="C1309">IFERROR(INDEX(Portfolio!$B:$B, MATCH($B1309, Portfolio!$A:$A, 0)),Transactions!$B1309)</f>
        <v/>
      </c>
      <c r="D1309" s="51" t="str">
        <f>IF($B1309&lt;&gt;"",Transactions!$E1309*1,)</f>
        <v/>
      </c>
      <c r="E1309" s="51" t="str">
        <f>IF($B1309&lt;&gt;"",Transactions!$F1309*1,)</f>
        <v/>
      </c>
      <c r="F1309" s="42" t="str">
        <f>IF(Transactions!$G1309&lt;&gt;"",Transactions!$H1309&amp;" "&amp;Transactions!$G1309,)</f>
        <v/>
      </c>
    </row>
    <row r="1310">
      <c r="A1310" s="55" t="str">
        <f>IF(Transactions!$B1310&lt;&gt;"",DATE(LEFT(Transactions!$B1310,4),MID(Transactions!$B1310,6,2),MID(Transactions!$B1310,9,2)),)</f>
        <v/>
      </c>
      <c r="B1310" s="56" t="str">
        <f>Transactions!$C1310</f>
        <v/>
      </c>
      <c r="C1310" s="51" t="str">
        <f t="array" ref="C1310">IFERROR(INDEX(Portfolio!$B:$B, MATCH($B1310, Portfolio!$A:$A, 0)),Transactions!$B1310)</f>
        <v/>
      </c>
      <c r="D1310" s="51" t="str">
        <f>IF($B1310&lt;&gt;"",Transactions!$E1310*1,)</f>
        <v/>
      </c>
      <c r="E1310" s="51" t="str">
        <f>IF($B1310&lt;&gt;"",Transactions!$F1310*1,)</f>
        <v/>
      </c>
      <c r="F1310" s="42" t="str">
        <f>IF(Transactions!$G1310&lt;&gt;"",Transactions!$H1310&amp;" "&amp;Transactions!$G1310,)</f>
        <v/>
      </c>
    </row>
    <row r="1311">
      <c r="A1311" s="55" t="str">
        <f>IF(Transactions!$B1311&lt;&gt;"",DATE(LEFT(Transactions!$B1311,4),MID(Transactions!$B1311,6,2),MID(Transactions!$B1311,9,2)),)</f>
        <v/>
      </c>
      <c r="B1311" s="56" t="str">
        <f>Transactions!$C1311</f>
        <v/>
      </c>
      <c r="C1311" s="51" t="str">
        <f t="array" ref="C1311">IFERROR(INDEX(Portfolio!$B:$B, MATCH($B1311, Portfolio!$A:$A, 0)),Transactions!$B1311)</f>
        <v/>
      </c>
      <c r="D1311" s="51" t="str">
        <f>IF($B1311&lt;&gt;"",Transactions!$E1311*1,)</f>
        <v/>
      </c>
      <c r="E1311" s="51" t="str">
        <f>IF($B1311&lt;&gt;"",Transactions!$F1311*1,)</f>
        <v/>
      </c>
      <c r="F1311" s="42" t="str">
        <f>IF(Transactions!$G1311&lt;&gt;"",Transactions!$H1311&amp;" "&amp;Transactions!$G1311,)</f>
        <v/>
      </c>
    </row>
    <row r="1312">
      <c r="A1312" s="55" t="str">
        <f>IF(Transactions!$B1312&lt;&gt;"",DATE(LEFT(Transactions!$B1312,4),MID(Transactions!$B1312,6,2),MID(Transactions!$B1312,9,2)),)</f>
        <v/>
      </c>
      <c r="B1312" s="56" t="str">
        <f>Transactions!$C1312</f>
        <v/>
      </c>
      <c r="C1312" s="51" t="str">
        <f t="array" ref="C1312">IFERROR(INDEX(Portfolio!$B:$B, MATCH($B1312, Portfolio!$A:$A, 0)),Transactions!$B1312)</f>
        <v/>
      </c>
      <c r="D1312" s="51" t="str">
        <f>IF($B1312&lt;&gt;"",Transactions!$E1312*1,)</f>
        <v/>
      </c>
      <c r="E1312" s="51" t="str">
        <f>IF($B1312&lt;&gt;"",Transactions!$F1312*1,)</f>
        <v/>
      </c>
      <c r="F1312" s="42" t="str">
        <f>IF(Transactions!$G1312&lt;&gt;"",Transactions!$H1312&amp;" "&amp;Transactions!$G1312,)</f>
        <v/>
      </c>
    </row>
    <row r="1313">
      <c r="A1313" s="55" t="str">
        <f>IF(Transactions!$B1313&lt;&gt;"",DATE(LEFT(Transactions!$B1313,4),MID(Transactions!$B1313,6,2),MID(Transactions!$B1313,9,2)),)</f>
        <v/>
      </c>
      <c r="B1313" s="56" t="str">
        <f>Transactions!$C1313</f>
        <v/>
      </c>
      <c r="C1313" s="51" t="str">
        <f t="array" ref="C1313">IFERROR(INDEX(Portfolio!$B:$B, MATCH($B1313, Portfolio!$A:$A, 0)),Transactions!$B1313)</f>
        <v/>
      </c>
      <c r="D1313" s="51" t="str">
        <f>IF($B1313&lt;&gt;"",Transactions!$E1313*1,)</f>
        <v/>
      </c>
      <c r="E1313" s="51" t="str">
        <f>IF($B1313&lt;&gt;"",Transactions!$F1313*1,)</f>
        <v/>
      </c>
      <c r="F1313" s="42" t="str">
        <f>IF(Transactions!$G1313&lt;&gt;"",Transactions!$H1313&amp;" "&amp;Transactions!$G1313,)</f>
        <v/>
      </c>
    </row>
    <row r="1314">
      <c r="A1314" s="55" t="str">
        <f>IF(Transactions!$B1314&lt;&gt;"",DATE(LEFT(Transactions!$B1314,4),MID(Transactions!$B1314,6,2),MID(Transactions!$B1314,9,2)),)</f>
        <v/>
      </c>
      <c r="B1314" s="56" t="str">
        <f>Transactions!$C1314</f>
        <v/>
      </c>
      <c r="C1314" s="51" t="str">
        <f t="array" ref="C1314">IFERROR(INDEX(Portfolio!$B:$B, MATCH($B1314, Portfolio!$A:$A, 0)),Transactions!$B1314)</f>
        <v/>
      </c>
      <c r="D1314" s="51" t="str">
        <f>IF($B1314&lt;&gt;"",Transactions!$E1314*1,)</f>
        <v/>
      </c>
      <c r="E1314" s="51" t="str">
        <f>IF($B1314&lt;&gt;"",Transactions!$F1314*1,)</f>
        <v/>
      </c>
      <c r="F1314" s="42" t="str">
        <f>IF(Transactions!$G1314&lt;&gt;"",Transactions!$H1314&amp;" "&amp;Transactions!$G1314,)</f>
        <v/>
      </c>
    </row>
    <row r="1315">
      <c r="A1315" s="55" t="str">
        <f>IF(Transactions!$B1315&lt;&gt;"",DATE(LEFT(Transactions!$B1315,4),MID(Transactions!$B1315,6,2),MID(Transactions!$B1315,9,2)),)</f>
        <v/>
      </c>
      <c r="B1315" s="56" t="str">
        <f>Transactions!$C1315</f>
        <v/>
      </c>
      <c r="C1315" s="51" t="str">
        <f t="array" ref="C1315">IFERROR(INDEX(Portfolio!$B:$B, MATCH($B1315, Portfolio!$A:$A, 0)),Transactions!$B1315)</f>
        <v/>
      </c>
      <c r="D1315" s="51" t="str">
        <f>IF($B1315&lt;&gt;"",Transactions!$E1315*1,)</f>
        <v/>
      </c>
      <c r="E1315" s="51" t="str">
        <f>IF($B1315&lt;&gt;"",Transactions!$F1315*1,)</f>
        <v/>
      </c>
      <c r="F1315" s="42" t="str">
        <f>IF(Transactions!$G1315&lt;&gt;"",Transactions!$H1315&amp;" "&amp;Transactions!$G1315,)</f>
        <v/>
      </c>
    </row>
    <row r="1316">
      <c r="A1316" s="55" t="str">
        <f>IF(Transactions!$B1316&lt;&gt;"",DATE(LEFT(Transactions!$B1316,4),MID(Transactions!$B1316,6,2),MID(Transactions!$B1316,9,2)),)</f>
        <v/>
      </c>
      <c r="B1316" s="56" t="str">
        <f>Transactions!$C1316</f>
        <v/>
      </c>
      <c r="C1316" s="51" t="str">
        <f t="array" ref="C1316">IFERROR(INDEX(Portfolio!$B:$B, MATCH($B1316, Portfolio!$A:$A, 0)),Transactions!$B1316)</f>
        <v/>
      </c>
      <c r="D1316" s="51" t="str">
        <f>IF($B1316&lt;&gt;"",Transactions!$E1316*1,)</f>
        <v/>
      </c>
      <c r="E1316" s="51" t="str">
        <f>IF($B1316&lt;&gt;"",Transactions!$F1316*1,)</f>
        <v/>
      </c>
      <c r="F1316" s="42" t="str">
        <f>IF(Transactions!$G1316&lt;&gt;"",Transactions!$H1316&amp;" "&amp;Transactions!$G1316,)</f>
        <v/>
      </c>
    </row>
    <row r="1317">
      <c r="A1317" s="55" t="str">
        <f>IF(Transactions!$B1317&lt;&gt;"",DATE(LEFT(Transactions!$B1317,4),MID(Transactions!$B1317,6,2),MID(Transactions!$B1317,9,2)),)</f>
        <v/>
      </c>
      <c r="B1317" s="56" t="str">
        <f>Transactions!$C1317</f>
        <v/>
      </c>
      <c r="C1317" s="51" t="str">
        <f t="array" ref="C1317">IFERROR(INDEX(Portfolio!$B:$B, MATCH($B1317, Portfolio!$A:$A, 0)),Transactions!$B1317)</f>
        <v/>
      </c>
      <c r="D1317" s="51" t="str">
        <f>IF($B1317&lt;&gt;"",Transactions!$E1317*1,)</f>
        <v/>
      </c>
      <c r="E1317" s="51" t="str">
        <f>IF($B1317&lt;&gt;"",Transactions!$F1317*1,)</f>
        <v/>
      </c>
      <c r="F1317" s="42" t="str">
        <f>IF(Transactions!$G1317&lt;&gt;"",Transactions!$H1317&amp;" "&amp;Transactions!$G1317,)</f>
        <v/>
      </c>
    </row>
    <row r="1318">
      <c r="A1318" s="55" t="str">
        <f>IF(Transactions!$B1318&lt;&gt;"",DATE(LEFT(Transactions!$B1318,4),MID(Transactions!$B1318,6,2),MID(Transactions!$B1318,9,2)),)</f>
        <v/>
      </c>
      <c r="B1318" s="56" t="str">
        <f>Transactions!$C1318</f>
        <v/>
      </c>
      <c r="C1318" s="51" t="str">
        <f t="array" ref="C1318">IFERROR(INDEX(Portfolio!$B:$B, MATCH($B1318, Portfolio!$A:$A, 0)),Transactions!$B1318)</f>
        <v/>
      </c>
      <c r="D1318" s="51" t="str">
        <f>IF($B1318&lt;&gt;"",Transactions!$E1318*1,)</f>
        <v/>
      </c>
      <c r="E1318" s="51" t="str">
        <f>IF($B1318&lt;&gt;"",Transactions!$F1318*1,)</f>
        <v/>
      </c>
      <c r="F1318" s="42" t="str">
        <f>IF(Transactions!$G1318&lt;&gt;"",Transactions!$H1318&amp;" "&amp;Transactions!$G1318,)</f>
        <v/>
      </c>
    </row>
    <row r="1319">
      <c r="A1319" s="55" t="str">
        <f>IF(Transactions!$B1319&lt;&gt;"",DATE(LEFT(Transactions!$B1319,4),MID(Transactions!$B1319,6,2),MID(Transactions!$B1319,9,2)),)</f>
        <v/>
      </c>
      <c r="B1319" s="56" t="str">
        <f>Transactions!$C1319</f>
        <v/>
      </c>
      <c r="C1319" s="51" t="str">
        <f t="array" ref="C1319">IFERROR(INDEX(Portfolio!$B:$B, MATCH($B1319, Portfolio!$A:$A, 0)),Transactions!$B1319)</f>
        <v/>
      </c>
      <c r="D1319" s="51" t="str">
        <f>IF($B1319&lt;&gt;"",Transactions!$E1319*1,)</f>
        <v/>
      </c>
      <c r="E1319" s="51" t="str">
        <f>IF($B1319&lt;&gt;"",Transactions!$F1319*1,)</f>
        <v/>
      </c>
      <c r="F1319" s="42" t="str">
        <f>IF(Transactions!$G1319&lt;&gt;"",Transactions!$H1319&amp;" "&amp;Transactions!$G1319,)</f>
        <v/>
      </c>
    </row>
    <row r="1320">
      <c r="A1320" s="55" t="str">
        <f>IF(Transactions!$B1320&lt;&gt;"",DATE(LEFT(Transactions!$B1320,4),MID(Transactions!$B1320,6,2),MID(Transactions!$B1320,9,2)),)</f>
        <v/>
      </c>
      <c r="B1320" s="56" t="str">
        <f>Transactions!$C1320</f>
        <v/>
      </c>
      <c r="C1320" s="51" t="str">
        <f t="array" ref="C1320">IFERROR(INDEX(Portfolio!$B:$B, MATCH($B1320, Portfolio!$A:$A, 0)),Transactions!$B1320)</f>
        <v/>
      </c>
      <c r="D1320" s="51" t="str">
        <f>IF($B1320&lt;&gt;"",Transactions!$E1320*1,)</f>
        <v/>
      </c>
      <c r="E1320" s="51" t="str">
        <f>IF($B1320&lt;&gt;"",Transactions!$F1320*1,)</f>
        <v/>
      </c>
      <c r="F1320" s="42" t="str">
        <f>IF(Transactions!$G1320&lt;&gt;"",Transactions!$H1320&amp;" "&amp;Transactions!$G1320,)</f>
        <v/>
      </c>
    </row>
    <row r="1321">
      <c r="A1321" s="55" t="str">
        <f>IF(Transactions!$B1321&lt;&gt;"",DATE(LEFT(Transactions!$B1321,4),MID(Transactions!$B1321,6,2),MID(Transactions!$B1321,9,2)),)</f>
        <v/>
      </c>
      <c r="B1321" s="56" t="str">
        <f>Transactions!$C1321</f>
        <v/>
      </c>
      <c r="C1321" s="51" t="str">
        <f t="array" ref="C1321">IFERROR(INDEX(Portfolio!$B:$B, MATCH($B1321, Portfolio!$A:$A, 0)),Transactions!$B1321)</f>
        <v/>
      </c>
      <c r="D1321" s="51" t="str">
        <f>IF($B1321&lt;&gt;"",Transactions!$E1321*1,)</f>
        <v/>
      </c>
      <c r="E1321" s="51" t="str">
        <f>IF($B1321&lt;&gt;"",Transactions!$F1321*1,)</f>
        <v/>
      </c>
      <c r="F1321" s="42" t="str">
        <f>IF(Transactions!$G1321&lt;&gt;"",Transactions!$H1321&amp;" "&amp;Transactions!$G1321,)</f>
        <v/>
      </c>
    </row>
    <row r="1322">
      <c r="A1322" s="55" t="str">
        <f>IF(Transactions!$B1322&lt;&gt;"",DATE(LEFT(Transactions!$B1322,4),MID(Transactions!$B1322,6,2),MID(Transactions!$B1322,9,2)),)</f>
        <v/>
      </c>
      <c r="B1322" s="56" t="str">
        <f>Transactions!$C1322</f>
        <v/>
      </c>
      <c r="C1322" s="51" t="str">
        <f t="array" ref="C1322">IFERROR(INDEX(Portfolio!$B:$B, MATCH($B1322, Portfolio!$A:$A, 0)),Transactions!$B1322)</f>
        <v/>
      </c>
      <c r="D1322" s="51" t="str">
        <f>IF($B1322&lt;&gt;"",Transactions!$E1322*1,)</f>
        <v/>
      </c>
      <c r="E1322" s="51" t="str">
        <f>IF($B1322&lt;&gt;"",Transactions!$F1322*1,)</f>
        <v/>
      </c>
      <c r="F1322" s="42" t="str">
        <f>IF(Transactions!$G1322&lt;&gt;"",Transactions!$H1322&amp;" "&amp;Transactions!$G1322,)</f>
        <v/>
      </c>
    </row>
    <row r="1323">
      <c r="A1323" s="55" t="str">
        <f>IF(Transactions!$B1323&lt;&gt;"",DATE(LEFT(Transactions!$B1323,4),MID(Transactions!$B1323,6,2),MID(Transactions!$B1323,9,2)),)</f>
        <v/>
      </c>
      <c r="B1323" s="56" t="str">
        <f>Transactions!$C1323</f>
        <v/>
      </c>
      <c r="C1323" s="51" t="str">
        <f t="array" ref="C1323">IFERROR(INDEX(Portfolio!$B:$B, MATCH($B1323, Portfolio!$A:$A, 0)),Transactions!$B1323)</f>
        <v/>
      </c>
      <c r="D1323" s="51" t="str">
        <f>IF($B1323&lt;&gt;"",Transactions!$E1323*1,)</f>
        <v/>
      </c>
      <c r="E1323" s="51" t="str">
        <f>IF($B1323&lt;&gt;"",Transactions!$F1323*1,)</f>
        <v/>
      </c>
      <c r="F1323" s="42" t="str">
        <f>IF(Transactions!$G1323&lt;&gt;"",Transactions!$H1323&amp;" "&amp;Transactions!$G1323,)</f>
        <v/>
      </c>
    </row>
    <row r="1324">
      <c r="A1324" s="55" t="str">
        <f>IF(Transactions!$B1324&lt;&gt;"",DATE(LEFT(Transactions!$B1324,4),MID(Transactions!$B1324,6,2),MID(Transactions!$B1324,9,2)),)</f>
        <v/>
      </c>
      <c r="B1324" s="56" t="str">
        <f>Transactions!$C1324</f>
        <v/>
      </c>
      <c r="C1324" s="51" t="str">
        <f t="array" ref="C1324">IFERROR(INDEX(Portfolio!$B:$B, MATCH($B1324, Portfolio!$A:$A, 0)),Transactions!$B1324)</f>
        <v/>
      </c>
      <c r="D1324" s="51" t="str">
        <f>IF($B1324&lt;&gt;"",Transactions!$E1324*1,)</f>
        <v/>
      </c>
      <c r="E1324" s="51" t="str">
        <f>IF($B1324&lt;&gt;"",Transactions!$F1324*1,)</f>
        <v/>
      </c>
      <c r="F1324" s="42" t="str">
        <f>IF(Transactions!$G1324&lt;&gt;"",Transactions!$H1324&amp;" "&amp;Transactions!$G1324,)</f>
        <v/>
      </c>
    </row>
    <row r="1325">
      <c r="A1325" s="55" t="str">
        <f>IF(Transactions!$B1325&lt;&gt;"",DATE(LEFT(Transactions!$B1325,4),MID(Transactions!$B1325,6,2),MID(Transactions!$B1325,9,2)),)</f>
        <v/>
      </c>
      <c r="B1325" s="56" t="str">
        <f>Transactions!$C1325</f>
        <v/>
      </c>
      <c r="C1325" s="51" t="str">
        <f t="array" ref="C1325">IFERROR(INDEX(Portfolio!$B:$B, MATCH($B1325, Portfolio!$A:$A, 0)),Transactions!$B1325)</f>
        <v/>
      </c>
      <c r="D1325" s="51" t="str">
        <f>IF($B1325&lt;&gt;"",Transactions!$E1325*1,)</f>
        <v/>
      </c>
      <c r="E1325" s="51" t="str">
        <f>IF($B1325&lt;&gt;"",Transactions!$F1325*1,)</f>
        <v/>
      </c>
      <c r="F1325" s="42" t="str">
        <f>IF(Transactions!$G1325&lt;&gt;"",Transactions!$H1325&amp;" "&amp;Transactions!$G1325,)</f>
        <v/>
      </c>
    </row>
    <row r="1326">
      <c r="A1326" s="55" t="str">
        <f>IF(Transactions!$B1326&lt;&gt;"",DATE(LEFT(Transactions!$B1326,4),MID(Transactions!$B1326,6,2),MID(Transactions!$B1326,9,2)),)</f>
        <v/>
      </c>
      <c r="B1326" s="56" t="str">
        <f>Transactions!$C1326</f>
        <v/>
      </c>
      <c r="C1326" s="51" t="str">
        <f t="array" ref="C1326">IFERROR(INDEX(Portfolio!$B:$B, MATCH($B1326, Portfolio!$A:$A, 0)),Transactions!$B1326)</f>
        <v/>
      </c>
      <c r="D1326" s="51" t="str">
        <f>IF($B1326&lt;&gt;"",Transactions!$E1326*1,)</f>
        <v/>
      </c>
      <c r="E1326" s="51" t="str">
        <f>IF($B1326&lt;&gt;"",Transactions!$F1326*1,)</f>
        <v/>
      </c>
      <c r="F1326" s="42" t="str">
        <f>IF(Transactions!$G1326&lt;&gt;"",Transactions!$H1326&amp;" "&amp;Transactions!$G1326,)</f>
        <v/>
      </c>
    </row>
    <row r="1327">
      <c r="A1327" s="55" t="str">
        <f>IF(Transactions!$B1327&lt;&gt;"",DATE(LEFT(Transactions!$B1327,4),MID(Transactions!$B1327,6,2),MID(Transactions!$B1327,9,2)),)</f>
        <v/>
      </c>
      <c r="B1327" s="56" t="str">
        <f>Transactions!$C1327</f>
        <v/>
      </c>
      <c r="C1327" s="51" t="str">
        <f t="array" ref="C1327">IFERROR(INDEX(Portfolio!$B:$B, MATCH($B1327, Portfolio!$A:$A, 0)),Transactions!$B1327)</f>
        <v/>
      </c>
      <c r="D1327" s="51" t="str">
        <f>IF($B1327&lt;&gt;"",Transactions!$E1327*1,)</f>
        <v/>
      </c>
      <c r="E1327" s="51" t="str">
        <f>IF($B1327&lt;&gt;"",Transactions!$F1327*1,)</f>
        <v/>
      </c>
      <c r="F1327" s="42" t="str">
        <f>IF(Transactions!$G1327&lt;&gt;"",Transactions!$H1327&amp;" "&amp;Transactions!$G1327,)</f>
        <v/>
      </c>
    </row>
    <row r="1328">
      <c r="A1328" s="55" t="str">
        <f>IF(Transactions!$B1328&lt;&gt;"",DATE(LEFT(Transactions!$B1328,4),MID(Transactions!$B1328,6,2),MID(Transactions!$B1328,9,2)),)</f>
        <v/>
      </c>
      <c r="B1328" s="56" t="str">
        <f>Transactions!$C1328</f>
        <v/>
      </c>
      <c r="C1328" s="51" t="str">
        <f t="array" ref="C1328">IFERROR(INDEX(Portfolio!$B:$B, MATCH($B1328, Portfolio!$A:$A, 0)),Transactions!$B1328)</f>
        <v/>
      </c>
      <c r="D1328" s="51" t="str">
        <f>IF($B1328&lt;&gt;"",Transactions!$E1328*1,)</f>
        <v/>
      </c>
      <c r="E1328" s="51" t="str">
        <f>IF($B1328&lt;&gt;"",Transactions!$F1328*1,)</f>
        <v/>
      </c>
      <c r="F1328" s="42" t="str">
        <f>IF(Transactions!$G1328&lt;&gt;"",Transactions!$H1328&amp;" "&amp;Transactions!$G1328,)</f>
        <v/>
      </c>
    </row>
    <row r="1329">
      <c r="A1329" s="55" t="str">
        <f>IF(Transactions!$B1329&lt;&gt;"",DATE(LEFT(Transactions!$B1329,4),MID(Transactions!$B1329,6,2),MID(Transactions!$B1329,9,2)),)</f>
        <v/>
      </c>
      <c r="B1329" s="56" t="str">
        <f>Transactions!$C1329</f>
        <v/>
      </c>
      <c r="C1329" s="51" t="str">
        <f t="array" ref="C1329">IFERROR(INDEX(Portfolio!$B:$B, MATCH($B1329, Portfolio!$A:$A, 0)),Transactions!$B1329)</f>
        <v/>
      </c>
      <c r="D1329" s="51" t="str">
        <f>IF($B1329&lt;&gt;"",Transactions!$E1329*1,)</f>
        <v/>
      </c>
      <c r="E1329" s="51" t="str">
        <f>IF($B1329&lt;&gt;"",Transactions!$F1329*1,)</f>
        <v/>
      </c>
      <c r="F1329" s="42" t="str">
        <f>IF(Transactions!$G1329&lt;&gt;"",Transactions!$H1329&amp;" "&amp;Transactions!$G1329,)</f>
        <v/>
      </c>
    </row>
    <row r="1330">
      <c r="A1330" s="55" t="str">
        <f>IF(Transactions!$B1330&lt;&gt;"",DATE(LEFT(Transactions!$B1330,4),MID(Transactions!$B1330,6,2),MID(Transactions!$B1330,9,2)),)</f>
        <v/>
      </c>
      <c r="B1330" s="56" t="str">
        <f>Transactions!$C1330</f>
        <v/>
      </c>
      <c r="C1330" s="51" t="str">
        <f t="array" ref="C1330">IFERROR(INDEX(Portfolio!$B:$B, MATCH($B1330, Portfolio!$A:$A, 0)),Transactions!$B1330)</f>
        <v/>
      </c>
      <c r="D1330" s="51" t="str">
        <f>IF($B1330&lt;&gt;"",Transactions!$E1330*1,)</f>
        <v/>
      </c>
      <c r="E1330" s="51" t="str">
        <f>IF($B1330&lt;&gt;"",Transactions!$F1330*1,)</f>
        <v/>
      </c>
      <c r="F1330" s="42" t="str">
        <f>IF(Transactions!$G1330&lt;&gt;"",Transactions!$H1330&amp;" "&amp;Transactions!$G1330,)</f>
        <v/>
      </c>
    </row>
    <row r="1331">
      <c r="A1331" s="55" t="str">
        <f>IF(Transactions!$B1331&lt;&gt;"",DATE(LEFT(Transactions!$B1331,4),MID(Transactions!$B1331,6,2),MID(Transactions!$B1331,9,2)),)</f>
        <v/>
      </c>
      <c r="B1331" s="56" t="str">
        <f>Transactions!$C1331</f>
        <v/>
      </c>
      <c r="C1331" s="51" t="str">
        <f t="array" ref="C1331">IFERROR(INDEX(Portfolio!$B:$B, MATCH($B1331, Portfolio!$A:$A, 0)),Transactions!$B1331)</f>
        <v/>
      </c>
      <c r="D1331" s="51" t="str">
        <f>IF($B1331&lt;&gt;"",Transactions!$E1331*1,)</f>
        <v/>
      </c>
      <c r="E1331" s="51" t="str">
        <f>IF($B1331&lt;&gt;"",Transactions!$F1331*1,)</f>
        <v/>
      </c>
      <c r="F1331" s="42" t="str">
        <f>IF(Transactions!$G1331&lt;&gt;"",Transactions!$H1331&amp;" "&amp;Transactions!$G1331,)</f>
        <v/>
      </c>
    </row>
    <row r="1332">
      <c r="A1332" s="55" t="str">
        <f>IF(Transactions!$B1332&lt;&gt;"",DATE(LEFT(Transactions!$B1332,4),MID(Transactions!$B1332,6,2),MID(Transactions!$B1332,9,2)),)</f>
        <v/>
      </c>
      <c r="B1332" s="56" t="str">
        <f>Transactions!$C1332</f>
        <v/>
      </c>
      <c r="C1332" s="51" t="str">
        <f t="array" ref="C1332">IFERROR(INDEX(Portfolio!$B:$B, MATCH($B1332, Portfolio!$A:$A, 0)),Transactions!$B1332)</f>
        <v/>
      </c>
      <c r="D1332" s="51" t="str">
        <f>IF($B1332&lt;&gt;"",Transactions!$E1332*1,)</f>
        <v/>
      </c>
      <c r="E1332" s="51" t="str">
        <f>IF($B1332&lt;&gt;"",Transactions!$F1332*1,)</f>
        <v/>
      </c>
      <c r="F1332" s="42" t="str">
        <f>IF(Transactions!$G1332&lt;&gt;"",Transactions!$H1332&amp;" "&amp;Transactions!$G1332,)</f>
        <v/>
      </c>
    </row>
    <row r="1333">
      <c r="A1333" s="55" t="str">
        <f>IF(Transactions!$B1333&lt;&gt;"",DATE(LEFT(Transactions!$B1333,4),MID(Transactions!$B1333,6,2),MID(Transactions!$B1333,9,2)),)</f>
        <v/>
      </c>
      <c r="B1333" s="56" t="str">
        <f>Transactions!$C1333</f>
        <v/>
      </c>
      <c r="C1333" s="51" t="str">
        <f t="array" ref="C1333">IFERROR(INDEX(Portfolio!$B:$B, MATCH($B1333, Portfolio!$A:$A, 0)),Transactions!$B1333)</f>
        <v/>
      </c>
      <c r="D1333" s="51" t="str">
        <f>IF($B1333&lt;&gt;"",Transactions!$E1333*1,)</f>
        <v/>
      </c>
      <c r="E1333" s="51" t="str">
        <f>IF($B1333&lt;&gt;"",Transactions!$F1333*1,)</f>
        <v/>
      </c>
      <c r="F1333" s="42" t="str">
        <f>IF(Transactions!$G1333&lt;&gt;"",Transactions!$H1333&amp;" "&amp;Transactions!$G1333,)</f>
        <v/>
      </c>
    </row>
    <row r="1334">
      <c r="A1334" s="55" t="str">
        <f>IF(Transactions!$B1334&lt;&gt;"",DATE(LEFT(Transactions!$B1334,4),MID(Transactions!$B1334,6,2),MID(Transactions!$B1334,9,2)),)</f>
        <v/>
      </c>
      <c r="B1334" s="56" t="str">
        <f>Transactions!$C1334</f>
        <v/>
      </c>
      <c r="C1334" s="51" t="str">
        <f t="array" ref="C1334">IFERROR(INDEX(Portfolio!$B:$B, MATCH($B1334, Portfolio!$A:$A, 0)),Transactions!$B1334)</f>
        <v/>
      </c>
      <c r="D1334" s="51" t="str">
        <f>IF($B1334&lt;&gt;"",Transactions!$E1334*1,)</f>
        <v/>
      </c>
      <c r="E1334" s="51" t="str">
        <f>IF($B1334&lt;&gt;"",Transactions!$F1334*1,)</f>
        <v/>
      </c>
      <c r="F1334" s="42" t="str">
        <f>IF(Transactions!$G1334&lt;&gt;"",Transactions!$H1334&amp;" "&amp;Transactions!$G1334,)</f>
        <v/>
      </c>
    </row>
    <row r="1335">
      <c r="A1335" s="55" t="str">
        <f>IF(Transactions!$B1335&lt;&gt;"",DATE(LEFT(Transactions!$B1335,4),MID(Transactions!$B1335,6,2),MID(Transactions!$B1335,9,2)),)</f>
        <v/>
      </c>
      <c r="B1335" s="56" t="str">
        <f>Transactions!$C1335</f>
        <v/>
      </c>
      <c r="C1335" s="51" t="str">
        <f t="array" ref="C1335">IFERROR(INDEX(Portfolio!$B:$B, MATCH($B1335, Portfolio!$A:$A, 0)),Transactions!$B1335)</f>
        <v/>
      </c>
      <c r="D1335" s="51" t="str">
        <f>IF($B1335&lt;&gt;"",Transactions!$E1335*1,)</f>
        <v/>
      </c>
      <c r="E1335" s="51" t="str">
        <f>IF($B1335&lt;&gt;"",Transactions!$F1335*1,)</f>
        <v/>
      </c>
      <c r="F1335" s="42" t="str">
        <f>IF(Transactions!$G1335&lt;&gt;"",Transactions!$H1335&amp;" "&amp;Transactions!$G1335,)</f>
        <v/>
      </c>
    </row>
    <row r="1336">
      <c r="A1336" s="55" t="str">
        <f>IF(Transactions!$B1336&lt;&gt;"",DATE(LEFT(Transactions!$B1336,4),MID(Transactions!$B1336,6,2),MID(Transactions!$B1336,9,2)),)</f>
        <v/>
      </c>
      <c r="B1336" s="56" t="str">
        <f>Transactions!$C1336</f>
        <v/>
      </c>
      <c r="C1336" s="51" t="str">
        <f t="array" ref="C1336">IFERROR(INDEX(Portfolio!$B:$B, MATCH($B1336, Portfolio!$A:$A, 0)),Transactions!$B1336)</f>
        <v/>
      </c>
      <c r="D1336" s="51" t="str">
        <f>IF($B1336&lt;&gt;"",Transactions!$E1336*1,)</f>
        <v/>
      </c>
      <c r="E1336" s="51" t="str">
        <f>IF($B1336&lt;&gt;"",Transactions!$F1336*1,)</f>
        <v/>
      </c>
      <c r="F1336" s="42" t="str">
        <f>IF(Transactions!$G1336&lt;&gt;"",Transactions!$H1336&amp;" "&amp;Transactions!$G1336,)</f>
        <v/>
      </c>
    </row>
    <row r="1337">
      <c r="A1337" s="55" t="str">
        <f>IF(Transactions!$B1337&lt;&gt;"",DATE(LEFT(Transactions!$B1337,4),MID(Transactions!$B1337,6,2),MID(Transactions!$B1337,9,2)),)</f>
        <v/>
      </c>
      <c r="B1337" s="56" t="str">
        <f>Transactions!$C1337</f>
        <v/>
      </c>
      <c r="C1337" s="51" t="str">
        <f t="array" ref="C1337">IFERROR(INDEX(Portfolio!$B:$B, MATCH($B1337, Portfolio!$A:$A, 0)),Transactions!$B1337)</f>
        <v/>
      </c>
      <c r="D1337" s="51" t="str">
        <f>IF($B1337&lt;&gt;"",Transactions!$E1337*1,)</f>
        <v/>
      </c>
      <c r="E1337" s="51" t="str">
        <f>IF($B1337&lt;&gt;"",Transactions!$F1337*1,)</f>
        <v/>
      </c>
      <c r="F1337" s="42" t="str">
        <f>IF(Transactions!$G1337&lt;&gt;"",Transactions!$H1337&amp;" "&amp;Transactions!$G1337,)</f>
        <v/>
      </c>
    </row>
    <row r="1338">
      <c r="A1338" s="55" t="str">
        <f>IF(Transactions!$B1338&lt;&gt;"",DATE(LEFT(Transactions!$B1338,4),MID(Transactions!$B1338,6,2),MID(Transactions!$B1338,9,2)),)</f>
        <v/>
      </c>
      <c r="B1338" s="56" t="str">
        <f>Transactions!$C1338</f>
        <v/>
      </c>
      <c r="C1338" s="51" t="str">
        <f t="array" ref="C1338">IFERROR(INDEX(Portfolio!$B:$B, MATCH($B1338, Portfolio!$A:$A, 0)),Transactions!$B1338)</f>
        <v/>
      </c>
      <c r="D1338" s="51" t="str">
        <f>IF($B1338&lt;&gt;"",Transactions!$E1338*1,)</f>
        <v/>
      </c>
      <c r="E1338" s="51" t="str">
        <f>IF($B1338&lt;&gt;"",Transactions!$F1338*1,)</f>
        <v/>
      </c>
      <c r="F1338" s="42" t="str">
        <f>IF(Transactions!$G1338&lt;&gt;"",Transactions!$H1338&amp;" "&amp;Transactions!$G1338,)</f>
        <v/>
      </c>
    </row>
    <row r="1339">
      <c r="A1339" s="55" t="str">
        <f>IF(Transactions!$B1339&lt;&gt;"",DATE(LEFT(Transactions!$B1339,4),MID(Transactions!$B1339,6,2),MID(Transactions!$B1339,9,2)),)</f>
        <v/>
      </c>
      <c r="B1339" s="56" t="str">
        <f>Transactions!$C1339</f>
        <v/>
      </c>
      <c r="C1339" s="51" t="str">
        <f t="array" ref="C1339">IFERROR(INDEX(Portfolio!$B:$B, MATCH($B1339, Portfolio!$A:$A, 0)),Transactions!$B1339)</f>
        <v/>
      </c>
      <c r="D1339" s="51" t="str">
        <f>IF($B1339&lt;&gt;"",Transactions!$E1339*1,)</f>
        <v/>
      </c>
      <c r="E1339" s="51" t="str">
        <f>IF($B1339&lt;&gt;"",Transactions!$F1339*1,)</f>
        <v/>
      </c>
      <c r="F1339" s="42" t="str">
        <f>IF(Transactions!$G1339&lt;&gt;"",Transactions!$H1339&amp;" "&amp;Transactions!$G1339,)</f>
        <v/>
      </c>
    </row>
    <row r="1340">
      <c r="A1340" s="55" t="str">
        <f>IF(Transactions!$B1340&lt;&gt;"",DATE(LEFT(Transactions!$B1340,4),MID(Transactions!$B1340,6,2),MID(Transactions!$B1340,9,2)),)</f>
        <v/>
      </c>
      <c r="B1340" s="56" t="str">
        <f>Transactions!$C1340</f>
        <v/>
      </c>
      <c r="C1340" s="51" t="str">
        <f t="array" ref="C1340">IFERROR(INDEX(Portfolio!$B:$B, MATCH($B1340, Portfolio!$A:$A, 0)),Transactions!$B1340)</f>
        <v/>
      </c>
      <c r="D1340" s="51" t="str">
        <f>IF($B1340&lt;&gt;"",Transactions!$E1340*1,)</f>
        <v/>
      </c>
      <c r="E1340" s="51" t="str">
        <f>IF($B1340&lt;&gt;"",Transactions!$F1340*1,)</f>
        <v/>
      </c>
      <c r="F1340" s="42" t="str">
        <f>IF(Transactions!$G1340&lt;&gt;"",Transactions!$H1340&amp;" "&amp;Transactions!$G1340,)</f>
        <v/>
      </c>
    </row>
    <row r="1341">
      <c r="A1341" s="55" t="str">
        <f>IF(Transactions!$B1341&lt;&gt;"",DATE(LEFT(Transactions!$B1341,4),MID(Transactions!$B1341,6,2),MID(Transactions!$B1341,9,2)),)</f>
        <v/>
      </c>
      <c r="B1341" s="56" t="str">
        <f>Transactions!$C1341</f>
        <v/>
      </c>
      <c r="C1341" s="51" t="str">
        <f t="array" ref="C1341">IFERROR(INDEX(Portfolio!$B:$B, MATCH($B1341, Portfolio!$A:$A, 0)),Transactions!$B1341)</f>
        <v/>
      </c>
      <c r="D1341" s="51" t="str">
        <f>IF($B1341&lt;&gt;"",Transactions!$E1341*1,)</f>
        <v/>
      </c>
      <c r="E1341" s="51" t="str">
        <f>IF($B1341&lt;&gt;"",Transactions!$F1341*1,)</f>
        <v/>
      </c>
      <c r="F1341" s="42" t="str">
        <f>IF(Transactions!$G1341&lt;&gt;"",Transactions!$H1341&amp;" "&amp;Transactions!$G1341,)</f>
        <v/>
      </c>
    </row>
    <row r="1342">
      <c r="A1342" s="55" t="str">
        <f>IF(Transactions!$B1342&lt;&gt;"",DATE(LEFT(Transactions!$B1342,4),MID(Transactions!$B1342,6,2),MID(Transactions!$B1342,9,2)),)</f>
        <v/>
      </c>
      <c r="B1342" s="56" t="str">
        <f>Transactions!$C1342</f>
        <v/>
      </c>
      <c r="C1342" s="51" t="str">
        <f t="array" ref="C1342">IFERROR(INDEX(Portfolio!$B:$B, MATCH($B1342, Portfolio!$A:$A, 0)),Transactions!$B1342)</f>
        <v/>
      </c>
      <c r="D1342" s="51" t="str">
        <f>IF($B1342&lt;&gt;"",Transactions!$E1342*1,)</f>
        <v/>
      </c>
      <c r="E1342" s="51" t="str">
        <f>IF($B1342&lt;&gt;"",Transactions!$F1342*1,)</f>
        <v/>
      </c>
      <c r="F1342" s="42" t="str">
        <f>IF(Transactions!$G1342&lt;&gt;"",Transactions!$H1342&amp;" "&amp;Transactions!$G1342,)</f>
        <v/>
      </c>
    </row>
    <row r="1343">
      <c r="A1343" s="55" t="str">
        <f>IF(Transactions!$B1343&lt;&gt;"",DATE(LEFT(Transactions!$B1343,4),MID(Transactions!$B1343,6,2),MID(Transactions!$B1343,9,2)),)</f>
        <v/>
      </c>
      <c r="B1343" s="56" t="str">
        <f>Transactions!$C1343</f>
        <v/>
      </c>
      <c r="C1343" s="51" t="str">
        <f t="array" ref="C1343">IFERROR(INDEX(Portfolio!$B:$B, MATCH($B1343, Portfolio!$A:$A, 0)),Transactions!$B1343)</f>
        <v/>
      </c>
      <c r="D1343" s="51" t="str">
        <f>IF($B1343&lt;&gt;"",Transactions!$E1343*1,)</f>
        <v/>
      </c>
      <c r="E1343" s="51" t="str">
        <f>IF($B1343&lt;&gt;"",Transactions!$F1343*1,)</f>
        <v/>
      </c>
      <c r="F1343" s="42" t="str">
        <f>IF(Transactions!$G1343&lt;&gt;"",Transactions!$H1343&amp;" "&amp;Transactions!$G1343,)</f>
        <v/>
      </c>
    </row>
    <row r="1344">
      <c r="A1344" s="55" t="str">
        <f>IF(Transactions!$B1344&lt;&gt;"",DATE(LEFT(Transactions!$B1344,4),MID(Transactions!$B1344,6,2),MID(Transactions!$B1344,9,2)),)</f>
        <v/>
      </c>
      <c r="B1344" s="56" t="str">
        <f>Transactions!$C1344</f>
        <v/>
      </c>
      <c r="C1344" s="51" t="str">
        <f t="array" ref="C1344">IFERROR(INDEX(Portfolio!$B:$B, MATCH($B1344, Portfolio!$A:$A, 0)),Transactions!$B1344)</f>
        <v/>
      </c>
      <c r="D1344" s="51" t="str">
        <f>IF($B1344&lt;&gt;"",Transactions!$E1344*1,)</f>
        <v/>
      </c>
      <c r="E1344" s="51" t="str">
        <f>IF($B1344&lt;&gt;"",Transactions!$F1344*1,)</f>
        <v/>
      </c>
      <c r="F1344" s="42" t="str">
        <f>IF(Transactions!$G1344&lt;&gt;"",Transactions!$H1344&amp;" "&amp;Transactions!$G1344,)</f>
        <v/>
      </c>
    </row>
    <row r="1345">
      <c r="A1345" s="55" t="str">
        <f>IF(Transactions!$B1345&lt;&gt;"",DATE(LEFT(Transactions!$B1345,4),MID(Transactions!$B1345,6,2),MID(Transactions!$B1345,9,2)),)</f>
        <v/>
      </c>
      <c r="B1345" s="56" t="str">
        <f>Transactions!$C1345</f>
        <v/>
      </c>
      <c r="C1345" s="51" t="str">
        <f t="array" ref="C1345">IFERROR(INDEX(Portfolio!$B:$B, MATCH($B1345, Portfolio!$A:$A, 0)),Transactions!$B1345)</f>
        <v/>
      </c>
      <c r="D1345" s="51" t="str">
        <f>IF($B1345&lt;&gt;"",Transactions!$E1345*1,)</f>
        <v/>
      </c>
      <c r="E1345" s="51" t="str">
        <f>IF($B1345&lt;&gt;"",Transactions!$F1345*1,)</f>
        <v/>
      </c>
      <c r="F1345" s="42" t="str">
        <f>IF(Transactions!$G1345&lt;&gt;"",Transactions!$H1345&amp;" "&amp;Transactions!$G1345,)</f>
        <v/>
      </c>
    </row>
    <row r="1346">
      <c r="A1346" s="55" t="str">
        <f>IF(Transactions!$B1346&lt;&gt;"",DATE(LEFT(Transactions!$B1346,4),MID(Transactions!$B1346,6,2),MID(Transactions!$B1346,9,2)),)</f>
        <v/>
      </c>
      <c r="B1346" s="56" t="str">
        <f>Transactions!$C1346</f>
        <v/>
      </c>
      <c r="C1346" s="51" t="str">
        <f t="array" ref="C1346">IFERROR(INDEX(Portfolio!$B:$B, MATCH($B1346, Portfolio!$A:$A, 0)),Transactions!$B1346)</f>
        <v/>
      </c>
      <c r="D1346" s="51" t="str">
        <f>IF($B1346&lt;&gt;"",Transactions!$E1346*1,)</f>
        <v/>
      </c>
      <c r="E1346" s="51" t="str">
        <f>IF($B1346&lt;&gt;"",Transactions!$F1346*1,)</f>
        <v/>
      </c>
      <c r="F1346" s="42" t="str">
        <f>IF(Transactions!$G1346&lt;&gt;"",Transactions!$H1346&amp;" "&amp;Transactions!$G1346,)</f>
        <v/>
      </c>
    </row>
    <row r="1347">
      <c r="A1347" s="55" t="str">
        <f>IF(Transactions!$B1347&lt;&gt;"",DATE(LEFT(Transactions!$B1347,4),MID(Transactions!$B1347,6,2),MID(Transactions!$B1347,9,2)),)</f>
        <v/>
      </c>
      <c r="B1347" s="56" t="str">
        <f>Transactions!$C1347</f>
        <v/>
      </c>
      <c r="C1347" s="51" t="str">
        <f t="array" ref="C1347">IFERROR(INDEX(Portfolio!$B:$B, MATCH($B1347, Portfolio!$A:$A, 0)),Transactions!$B1347)</f>
        <v/>
      </c>
      <c r="D1347" s="51" t="str">
        <f>IF($B1347&lt;&gt;"",Transactions!$E1347*1,)</f>
        <v/>
      </c>
      <c r="E1347" s="51" t="str">
        <f>IF($B1347&lt;&gt;"",Transactions!$F1347*1,)</f>
        <v/>
      </c>
      <c r="F1347" s="42" t="str">
        <f>IF(Transactions!$G1347&lt;&gt;"",Transactions!$H1347&amp;" "&amp;Transactions!$G1347,)</f>
        <v/>
      </c>
    </row>
    <row r="1348">
      <c r="A1348" s="55" t="str">
        <f>IF(Transactions!$B1348&lt;&gt;"",DATE(LEFT(Transactions!$B1348,4),MID(Transactions!$B1348,6,2),MID(Transactions!$B1348,9,2)),)</f>
        <v/>
      </c>
      <c r="B1348" s="56" t="str">
        <f>Transactions!$C1348</f>
        <v/>
      </c>
      <c r="C1348" s="51" t="str">
        <f t="array" ref="C1348">IFERROR(INDEX(Portfolio!$B:$B, MATCH($B1348, Portfolio!$A:$A, 0)),Transactions!$B1348)</f>
        <v/>
      </c>
      <c r="D1348" s="51" t="str">
        <f>IF($B1348&lt;&gt;"",Transactions!$E1348*1,)</f>
        <v/>
      </c>
      <c r="E1348" s="51" t="str">
        <f>IF($B1348&lt;&gt;"",Transactions!$F1348*1,)</f>
        <v/>
      </c>
      <c r="F1348" s="42" t="str">
        <f>IF(Transactions!$G1348&lt;&gt;"",Transactions!$H1348&amp;" "&amp;Transactions!$G1348,)</f>
        <v/>
      </c>
    </row>
    <row r="1349">
      <c r="A1349" s="55" t="str">
        <f>IF(Transactions!$B1349&lt;&gt;"",DATE(LEFT(Transactions!$B1349,4),MID(Transactions!$B1349,6,2),MID(Transactions!$B1349,9,2)),)</f>
        <v/>
      </c>
      <c r="B1349" s="56" t="str">
        <f>Transactions!$C1349</f>
        <v/>
      </c>
      <c r="C1349" s="51" t="str">
        <f t="array" ref="C1349">IFERROR(INDEX(Portfolio!$B:$B, MATCH($B1349, Portfolio!$A:$A, 0)),Transactions!$B1349)</f>
        <v/>
      </c>
      <c r="D1349" s="51" t="str">
        <f>IF($B1349&lt;&gt;"",Transactions!$E1349*1,)</f>
        <v/>
      </c>
      <c r="E1349" s="51" t="str">
        <f>IF($B1349&lt;&gt;"",Transactions!$F1349*1,)</f>
        <v/>
      </c>
      <c r="F1349" s="42" t="str">
        <f>IF(Transactions!$G1349&lt;&gt;"",Transactions!$H1349&amp;" "&amp;Transactions!$G1349,)</f>
        <v/>
      </c>
    </row>
    <row r="1350">
      <c r="A1350" s="55" t="str">
        <f>IF(Transactions!$B1350&lt;&gt;"",DATE(LEFT(Transactions!$B1350,4),MID(Transactions!$B1350,6,2),MID(Transactions!$B1350,9,2)),)</f>
        <v/>
      </c>
      <c r="B1350" s="56" t="str">
        <f>Transactions!$C1350</f>
        <v/>
      </c>
      <c r="C1350" s="51" t="str">
        <f t="array" ref="C1350">IFERROR(INDEX(Portfolio!$B:$B, MATCH($B1350, Portfolio!$A:$A, 0)),Transactions!$B1350)</f>
        <v/>
      </c>
      <c r="D1350" s="51" t="str">
        <f>IF($B1350&lt;&gt;"",Transactions!$E1350*1,)</f>
        <v/>
      </c>
      <c r="E1350" s="51" t="str">
        <f>IF($B1350&lt;&gt;"",Transactions!$F1350*1,)</f>
        <v/>
      </c>
      <c r="F1350" s="42" t="str">
        <f>IF(Transactions!$G1350&lt;&gt;"",Transactions!$H1350&amp;" "&amp;Transactions!$G1350,)</f>
        <v/>
      </c>
    </row>
    <row r="1351">
      <c r="A1351" s="55" t="str">
        <f>IF(Transactions!$B1351&lt;&gt;"",DATE(LEFT(Transactions!$B1351,4),MID(Transactions!$B1351,6,2),MID(Transactions!$B1351,9,2)),)</f>
        <v/>
      </c>
      <c r="B1351" s="56" t="str">
        <f>Transactions!$C1351</f>
        <v/>
      </c>
      <c r="C1351" s="51" t="str">
        <f t="array" ref="C1351">IFERROR(INDEX(Portfolio!$B:$B, MATCH($B1351, Portfolio!$A:$A, 0)),Transactions!$B1351)</f>
        <v/>
      </c>
      <c r="D1351" s="51" t="str">
        <f>IF($B1351&lt;&gt;"",Transactions!$E1351*1,)</f>
        <v/>
      </c>
      <c r="E1351" s="51" t="str">
        <f>IF($B1351&lt;&gt;"",Transactions!$F1351*1,)</f>
        <v/>
      </c>
      <c r="F1351" s="42" t="str">
        <f>IF(Transactions!$G1351&lt;&gt;"",Transactions!$H1351&amp;" "&amp;Transactions!$G1351,)</f>
        <v/>
      </c>
    </row>
    <row r="1352">
      <c r="A1352" s="55" t="str">
        <f>IF(Transactions!$B1352&lt;&gt;"",DATE(LEFT(Transactions!$B1352,4),MID(Transactions!$B1352,6,2),MID(Transactions!$B1352,9,2)),)</f>
        <v/>
      </c>
      <c r="B1352" s="56" t="str">
        <f>Transactions!$C1352</f>
        <v/>
      </c>
      <c r="C1352" s="51" t="str">
        <f t="array" ref="C1352">IFERROR(INDEX(Portfolio!$B:$B, MATCH($B1352, Portfolio!$A:$A, 0)),Transactions!$B1352)</f>
        <v/>
      </c>
      <c r="D1352" s="51" t="str">
        <f>IF($B1352&lt;&gt;"",Transactions!$E1352*1,)</f>
        <v/>
      </c>
      <c r="E1352" s="51" t="str">
        <f>IF($B1352&lt;&gt;"",Transactions!$F1352*1,)</f>
        <v/>
      </c>
      <c r="F1352" s="42" t="str">
        <f>IF(Transactions!$G1352&lt;&gt;"",Transactions!$H1352&amp;" "&amp;Transactions!$G1352,)</f>
        <v/>
      </c>
    </row>
    <row r="1353">
      <c r="A1353" s="55" t="str">
        <f>IF(Transactions!$B1353&lt;&gt;"",DATE(LEFT(Transactions!$B1353,4),MID(Transactions!$B1353,6,2),MID(Transactions!$B1353,9,2)),)</f>
        <v/>
      </c>
      <c r="B1353" s="56" t="str">
        <f>Transactions!$C1353</f>
        <v/>
      </c>
      <c r="C1353" s="51" t="str">
        <f t="array" ref="C1353">IFERROR(INDEX(Portfolio!$B:$B, MATCH($B1353, Portfolio!$A:$A, 0)),Transactions!$B1353)</f>
        <v/>
      </c>
      <c r="D1353" s="51" t="str">
        <f>IF($B1353&lt;&gt;"",Transactions!$E1353*1,)</f>
        <v/>
      </c>
      <c r="E1353" s="51" t="str">
        <f>IF($B1353&lt;&gt;"",Transactions!$F1353*1,)</f>
        <v/>
      </c>
      <c r="F1353" s="42" t="str">
        <f>IF(Transactions!$G1353&lt;&gt;"",Transactions!$H1353&amp;" "&amp;Transactions!$G1353,)</f>
        <v/>
      </c>
    </row>
    <row r="1354">
      <c r="A1354" s="55" t="str">
        <f>IF(Transactions!$B1354&lt;&gt;"",DATE(LEFT(Transactions!$B1354,4),MID(Transactions!$B1354,6,2),MID(Transactions!$B1354,9,2)),)</f>
        <v/>
      </c>
      <c r="B1354" s="56" t="str">
        <f>Transactions!$C1354</f>
        <v/>
      </c>
      <c r="C1354" s="51" t="str">
        <f t="array" ref="C1354">IFERROR(INDEX(Portfolio!$B:$B, MATCH($B1354, Portfolio!$A:$A, 0)),Transactions!$B1354)</f>
        <v/>
      </c>
      <c r="D1354" s="51" t="str">
        <f>IF($B1354&lt;&gt;"",Transactions!$E1354*1,)</f>
        <v/>
      </c>
      <c r="E1354" s="51" t="str">
        <f>IF($B1354&lt;&gt;"",Transactions!$F1354*1,)</f>
        <v/>
      </c>
      <c r="F1354" s="42" t="str">
        <f>IF(Transactions!$G1354&lt;&gt;"",Transactions!$H1354&amp;" "&amp;Transactions!$G1354,)</f>
        <v/>
      </c>
    </row>
    <row r="1355">
      <c r="A1355" s="55" t="str">
        <f>IF(Transactions!$B1355&lt;&gt;"",DATE(LEFT(Transactions!$B1355,4),MID(Transactions!$B1355,6,2),MID(Transactions!$B1355,9,2)),)</f>
        <v/>
      </c>
      <c r="B1355" s="56" t="str">
        <f>Transactions!$C1355</f>
        <v/>
      </c>
      <c r="C1355" s="51" t="str">
        <f t="array" ref="C1355">IFERROR(INDEX(Portfolio!$B:$B, MATCH($B1355, Portfolio!$A:$A, 0)),Transactions!$B1355)</f>
        <v/>
      </c>
      <c r="D1355" s="51" t="str">
        <f>IF($B1355&lt;&gt;"",Transactions!$E1355*1,)</f>
        <v/>
      </c>
      <c r="E1355" s="51" t="str">
        <f>IF($B1355&lt;&gt;"",Transactions!$F1355*1,)</f>
        <v/>
      </c>
      <c r="F1355" s="42" t="str">
        <f>IF(Transactions!$G1355&lt;&gt;"",Transactions!$H1355&amp;" "&amp;Transactions!$G1355,)</f>
        <v/>
      </c>
    </row>
    <row r="1356">
      <c r="A1356" s="55" t="str">
        <f>IF(Transactions!$B1356&lt;&gt;"",DATE(LEFT(Transactions!$B1356,4),MID(Transactions!$B1356,6,2),MID(Transactions!$B1356,9,2)),)</f>
        <v/>
      </c>
      <c r="B1356" s="56" t="str">
        <f>Transactions!$C1356</f>
        <v/>
      </c>
      <c r="C1356" s="51" t="str">
        <f t="array" ref="C1356">IFERROR(INDEX(Portfolio!$B:$B, MATCH($B1356, Portfolio!$A:$A, 0)),Transactions!$B1356)</f>
        <v/>
      </c>
      <c r="D1356" s="51" t="str">
        <f>IF($B1356&lt;&gt;"",Transactions!$E1356*1,)</f>
        <v/>
      </c>
      <c r="E1356" s="51" t="str">
        <f>IF($B1356&lt;&gt;"",Transactions!$F1356*1,)</f>
        <v/>
      </c>
      <c r="F1356" s="42" t="str">
        <f>IF(Transactions!$G1356&lt;&gt;"",Transactions!$H1356&amp;" "&amp;Transactions!$G1356,)</f>
        <v/>
      </c>
    </row>
    <row r="1357">
      <c r="A1357" s="55" t="str">
        <f>IF(Transactions!$B1357&lt;&gt;"",DATE(LEFT(Transactions!$B1357,4),MID(Transactions!$B1357,6,2),MID(Transactions!$B1357,9,2)),)</f>
        <v/>
      </c>
      <c r="B1357" s="56" t="str">
        <f>Transactions!$C1357</f>
        <v/>
      </c>
      <c r="C1357" s="51" t="str">
        <f t="array" ref="C1357">IFERROR(INDEX(Portfolio!$B:$B, MATCH($B1357, Portfolio!$A:$A, 0)),Transactions!$B1357)</f>
        <v/>
      </c>
      <c r="D1357" s="51" t="str">
        <f>IF($B1357&lt;&gt;"",Transactions!$E1357*1,)</f>
        <v/>
      </c>
      <c r="E1357" s="51" t="str">
        <f>IF($B1357&lt;&gt;"",Transactions!$F1357*1,)</f>
        <v/>
      </c>
      <c r="F1357" s="42" t="str">
        <f>IF(Transactions!$G1357&lt;&gt;"",Transactions!$H1357&amp;" "&amp;Transactions!$G1357,)</f>
        <v/>
      </c>
    </row>
    <row r="1358">
      <c r="A1358" s="55" t="str">
        <f>IF(Transactions!$B1358&lt;&gt;"",DATE(LEFT(Transactions!$B1358,4),MID(Transactions!$B1358,6,2),MID(Transactions!$B1358,9,2)),)</f>
        <v/>
      </c>
      <c r="B1358" s="56" t="str">
        <f>Transactions!$C1358</f>
        <v/>
      </c>
      <c r="C1358" s="51" t="str">
        <f t="array" ref="C1358">IFERROR(INDEX(Portfolio!$B:$B, MATCH($B1358, Portfolio!$A:$A, 0)),Transactions!$B1358)</f>
        <v/>
      </c>
      <c r="D1358" s="51" t="str">
        <f>IF($B1358&lt;&gt;"",Transactions!$E1358*1,)</f>
        <v/>
      </c>
      <c r="E1358" s="51" t="str">
        <f>IF($B1358&lt;&gt;"",Transactions!$F1358*1,)</f>
        <v/>
      </c>
      <c r="F1358" s="42" t="str">
        <f>IF(Transactions!$G1358&lt;&gt;"",Transactions!$H1358&amp;" "&amp;Transactions!$G1358,)</f>
        <v/>
      </c>
    </row>
    <row r="1359">
      <c r="A1359" s="55" t="str">
        <f>IF(Transactions!$B1359&lt;&gt;"",DATE(LEFT(Transactions!$B1359,4),MID(Transactions!$B1359,6,2),MID(Transactions!$B1359,9,2)),)</f>
        <v/>
      </c>
      <c r="B1359" s="56" t="str">
        <f>Transactions!$C1359</f>
        <v/>
      </c>
      <c r="C1359" s="51" t="str">
        <f t="array" ref="C1359">IFERROR(INDEX(Portfolio!$B:$B, MATCH($B1359, Portfolio!$A:$A, 0)),Transactions!$B1359)</f>
        <v/>
      </c>
      <c r="D1359" s="51" t="str">
        <f>IF($B1359&lt;&gt;"",Transactions!$E1359*1,)</f>
        <v/>
      </c>
      <c r="E1359" s="51" t="str">
        <f>IF($B1359&lt;&gt;"",Transactions!$F1359*1,)</f>
        <v/>
      </c>
      <c r="F1359" s="42" t="str">
        <f>IF(Transactions!$G1359&lt;&gt;"",Transactions!$H1359&amp;" "&amp;Transactions!$G1359,)</f>
        <v/>
      </c>
    </row>
    <row r="1360">
      <c r="A1360" s="55" t="str">
        <f>IF(Transactions!$B1360&lt;&gt;"",DATE(LEFT(Transactions!$B1360,4),MID(Transactions!$B1360,6,2),MID(Transactions!$B1360,9,2)),)</f>
        <v/>
      </c>
      <c r="B1360" s="56" t="str">
        <f>Transactions!$C1360</f>
        <v/>
      </c>
      <c r="C1360" s="51" t="str">
        <f t="array" ref="C1360">IFERROR(INDEX(Portfolio!$B:$B, MATCH($B1360, Portfolio!$A:$A, 0)),Transactions!$B1360)</f>
        <v/>
      </c>
      <c r="D1360" s="51" t="str">
        <f>IF($B1360&lt;&gt;"",Transactions!$E1360*1,)</f>
        <v/>
      </c>
      <c r="E1360" s="51" t="str">
        <f>IF($B1360&lt;&gt;"",Transactions!$F1360*1,)</f>
        <v/>
      </c>
      <c r="F1360" s="42" t="str">
        <f>IF(Transactions!$G1360&lt;&gt;"",Transactions!$H1360&amp;" "&amp;Transactions!$G1360,)</f>
        <v/>
      </c>
    </row>
    <row r="1361">
      <c r="A1361" s="55" t="str">
        <f>IF(Transactions!$B1361&lt;&gt;"",DATE(LEFT(Transactions!$B1361,4),MID(Transactions!$B1361,6,2),MID(Transactions!$B1361,9,2)),)</f>
        <v/>
      </c>
      <c r="B1361" s="56" t="str">
        <f>Transactions!$C1361</f>
        <v/>
      </c>
      <c r="C1361" s="51" t="str">
        <f t="array" ref="C1361">IFERROR(INDEX(Portfolio!$B:$B, MATCH($B1361, Portfolio!$A:$A, 0)),Transactions!$B1361)</f>
        <v/>
      </c>
      <c r="D1361" s="51" t="str">
        <f>IF($B1361&lt;&gt;"",Transactions!$E1361*1,)</f>
        <v/>
      </c>
      <c r="E1361" s="51" t="str">
        <f>IF($B1361&lt;&gt;"",Transactions!$F1361*1,)</f>
        <v/>
      </c>
      <c r="F1361" s="42" t="str">
        <f>IF(Transactions!$G1361&lt;&gt;"",Transactions!$H1361&amp;" "&amp;Transactions!$G1361,)</f>
        <v/>
      </c>
    </row>
    <row r="1362">
      <c r="A1362" s="55" t="str">
        <f>IF(Transactions!$B1362&lt;&gt;"",DATE(LEFT(Transactions!$B1362,4),MID(Transactions!$B1362,6,2),MID(Transactions!$B1362,9,2)),)</f>
        <v/>
      </c>
      <c r="B1362" s="56" t="str">
        <f>Transactions!$C1362</f>
        <v/>
      </c>
      <c r="C1362" s="51" t="str">
        <f t="array" ref="C1362">IFERROR(INDEX(Portfolio!$B:$B, MATCH($B1362, Portfolio!$A:$A, 0)),Transactions!$B1362)</f>
        <v/>
      </c>
      <c r="D1362" s="51" t="str">
        <f>IF($B1362&lt;&gt;"",Transactions!$E1362*1,)</f>
        <v/>
      </c>
      <c r="E1362" s="51" t="str">
        <f>IF($B1362&lt;&gt;"",Transactions!$F1362*1,)</f>
        <v/>
      </c>
      <c r="F1362" s="42" t="str">
        <f>IF(Transactions!$G1362&lt;&gt;"",Transactions!$H1362&amp;" "&amp;Transactions!$G1362,)</f>
        <v/>
      </c>
    </row>
    <row r="1363">
      <c r="A1363" s="55" t="str">
        <f>IF(Transactions!$B1363&lt;&gt;"",DATE(LEFT(Transactions!$B1363,4),MID(Transactions!$B1363,6,2),MID(Transactions!$B1363,9,2)),)</f>
        <v/>
      </c>
      <c r="B1363" s="56" t="str">
        <f>Transactions!$C1363</f>
        <v/>
      </c>
      <c r="C1363" s="51" t="str">
        <f t="array" ref="C1363">IFERROR(INDEX(Portfolio!$B:$B, MATCH($B1363, Portfolio!$A:$A, 0)),Transactions!$B1363)</f>
        <v/>
      </c>
      <c r="D1363" s="51" t="str">
        <f>IF($B1363&lt;&gt;"",Transactions!$E1363*1,)</f>
        <v/>
      </c>
      <c r="E1363" s="51" t="str">
        <f>IF($B1363&lt;&gt;"",Transactions!$F1363*1,)</f>
        <v/>
      </c>
      <c r="F1363" s="42" t="str">
        <f>IF(Transactions!$G1363&lt;&gt;"",Transactions!$H1363&amp;" "&amp;Transactions!$G1363,)</f>
        <v/>
      </c>
    </row>
    <row r="1364">
      <c r="A1364" s="55" t="str">
        <f>IF(Transactions!$B1364&lt;&gt;"",DATE(LEFT(Transactions!$B1364,4),MID(Transactions!$B1364,6,2),MID(Transactions!$B1364,9,2)),)</f>
        <v/>
      </c>
      <c r="B1364" s="56" t="str">
        <f>Transactions!$C1364</f>
        <v/>
      </c>
      <c r="C1364" s="51" t="str">
        <f t="array" ref="C1364">IFERROR(INDEX(Portfolio!$B:$B, MATCH($B1364, Portfolio!$A:$A, 0)),Transactions!$B1364)</f>
        <v/>
      </c>
      <c r="D1364" s="51" t="str">
        <f>IF($B1364&lt;&gt;"",Transactions!$E1364*1,)</f>
        <v/>
      </c>
      <c r="E1364" s="51" t="str">
        <f>IF($B1364&lt;&gt;"",Transactions!$F1364*1,)</f>
        <v/>
      </c>
      <c r="F1364" s="42" t="str">
        <f>IF(Transactions!$G1364&lt;&gt;"",Transactions!$H1364&amp;" "&amp;Transactions!$G1364,)</f>
        <v/>
      </c>
    </row>
    <row r="1365">
      <c r="A1365" s="55" t="str">
        <f>IF(Transactions!$B1365&lt;&gt;"",DATE(LEFT(Transactions!$B1365,4),MID(Transactions!$B1365,6,2),MID(Transactions!$B1365,9,2)),)</f>
        <v/>
      </c>
      <c r="B1365" s="56" t="str">
        <f>Transactions!$C1365</f>
        <v/>
      </c>
      <c r="C1365" s="51" t="str">
        <f t="array" ref="C1365">IFERROR(INDEX(Portfolio!$B:$B, MATCH($B1365, Portfolio!$A:$A, 0)),Transactions!$B1365)</f>
        <v/>
      </c>
      <c r="D1365" s="51" t="str">
        <f>IF($B1365&lt;&gt;"",Transactions!$E1365*1,)</f>
        <v/>
      </c>
      <c r="E1365" s="51" t="str">
        <f>IF($B1365&lt;&gt;"",Transactions!$F1365*1,)</f>
        <v/>
      </c>
      <c r="F1365" s="42" t="str">
        <f>IF(Transactions!$G1365&lt;&gt;"",Transactions!$H1365&amp;" "&amp;Transactions!$G1365,)</f>
        <v/>
      </c>
    </row>
    <row r="1366">
      <c r="A1366" s="55" t="str">
        <f>IF(Transactions!$B1366&lt;&gt;"",DATE(LEFT(Transactions!$B1366,4),MID(Transactions!$B1366,6,2),MID(Transactions!$B1366,9,2)),)</f>
        <v/>
      </c>
      <c r="B1366" s="56" t="str">
        <f>Transactions!$C1366</f>
        <v/>
      </c>
      <c r="C1366" s="51" t="str">
        <f t="array" ref="C1366">IFERROR(INDEX(Portfolio!$B:$B, MATCH($B1366, Portfolio!$A:$A, 0)),Transactions!$B1366)</f>
        <v/>
      </c>
      <c r="D1366" s="51" t="str">
        <f>IF($B1366&lt;&gt;"",Transactions!$E1366*1,)</f>
        <v/>
      </c>
      <c r="E1366" s="51" t="str">
        <f>IF($B1366&lt;&gt;"",Transactions!$F1366*1,)</f>
        <v/>
      </c>
      <c r="F1366" s="42" t="str">
        <f>IF(Transactions!$G1366&lt;&gt;"",Transactions!$H1366&amp;" "&amp;Transactions!$G1366,)</f>
        <v/>
      </c>
    </row>
    <row r="1367">
      <c r="A1367" s="55" t="str">
        <f>IF(Transactions!$B1367&lt;&gt;"",DATE(LEFT(Transactions!$B1367,4),MID(Transactions!$B1367,6,2),MID(Transactions!$B1367,9,2)),)</f>
        <v/>
      </c>
      <c r="B1367" s="56" t="str">
        <f>Transactions!$C1367</f>
        <v/>
      </c>
      <c r="C1367" s="51" t="str">
        <f t="array" ref="C1367">IFERROR(INDEX(Portfolio!$B:$B, MATCH($B1367, Portfolio!$A:$A, 0)),Transactions!$B1367)</f>
        <v/>
      </c>
      <c r="D1367" s="51" t="str">
        <f>IF($B1367&lt;&gt;"",Transactions!$E1367*1,)</f>
        <v/>
      </c>
      <c r="E1367" s="51" t="str">
        <f>IF($B1367&lt;&gt;"",Transactions!$F1367*1,)</f>
        <v/>
      </c>
      <c r="F1367" s="42" t="str">
        <f>IF(Transactions!$G1367&lt;&gt;"",Transactions!$H1367&amp;" "&amp;Transactions!$G1367,)</f>
        <v/>
      </c>
    </row>
    <row r="1368">
      <c r="A1368" s="55" t="str">
        <f>IF(Transactions!$B1368&lt;&gt;"",DATE(LEFT(Transactions!$B1368,4),MID(Transactions!$B1368,6,2),MID(Transactions!$B1368,9,2)),)</f>
        <v/>
      </c>
      <c r="B1368" s="56" t="str">
        <f>Transactions!$C1368</f>
        <v/>
      </c>
      <c r="C1368" s="51" t="str">
        <f t="array" ref="C1368">IFERROR(INDEX(Portfolio!$B:$B, MATCH($B1368, Portfolio!$A:$A, 0)),Transactions!$B1368)</f>
        <v/>
      </c>
      <c r="D1368" s="51" t="str">
        <f>IF($B1368&lt;&gt;"",Transactions!$E1368*1,)</f>
        <v/>
      </c>
      <c r="E1368" s="51" t="str">
        <f>IF($B1368&lt;&gt;"",Transactions!$F1368*1,)</f>
        <v/>
      </c>
      <c r="F1368" s="42" t="str">
        <f>IF(Transactions!$G1368&lt;&gt;"",Transactions!$H1368&amp;" "&amp;Transactions!$G1368,)</f>
        <v/>
      </c>
    </row>
    <row r="1369">
      <c r="A1369" s="55" t="str">
        <f>IF(Transactions!$B1369&lt;&gt;"",DATE(LEFT(Transactions!$B1369,4),MID(Transactions!$B1369,6,2),MID(Transactions!$B1369,9,2)),)</f>
        <v/>
      </c>
      <c r="B1369" s="56" t="str">
        <f>Transactions!$C1369</f>
        <v/>
      </c>
      <c r="C1369" s="51" t="str">
        <f t="array" ref="C1369">IFERROR(INDEX(Portfolio!$B:$B, MATCH($B1369, Portfolio!$A:$A, 0)),Transactions!$B1369)</f>
        <v/>
      </c>
      <c r="D1369" s="51" t="str">
        <f>IF($B1369&lt;&gt;"",Transactions!$E1369*1,)</f>
        <v/>
      </c>
      <c r="E1369" s="51" t="str">
        <f>IF($B1369&lt;&gt;"",Transactions!$F1369*1,)</f>
        <v/>
      </c>
      <c r="F1369" s="42" t="str">
        <f>IF(Transactions!$G1369&lt;&gt;"",Transactions!$H1369&amp;" "&amp;Transactions!$G1369,)</f>
        <v/>
      </c>
    </row>
    <row r="1370">
      <c r="A1370" s="55" t="str">
        <f>IF(Transactions!$B1370&lt;&gt;"",DATE(LEFT(Transactions!$B1370,4),MID(Transactions!$B1370,6,2),MID(Transactions!$B1370,9,2)),)</f>
        <v/>
      </c>
      <c r="B1370" s="56" t="str">
        <f>Transactions!$C1370</f>
        <v/>
      </c>
      <c r="C1370" s="51" t="str">
        <f t="array" ref="C1370">IFERROR(INDEX(Portfolio!$B:$B, MATCH($B1370, Portfolio!$A:$A, 0)),Transactions!$B1370)</f>
        <v/>
      </c>
      <c r="D1370" s="51" t="str">
        <f>IF($B1370&lt;&gt;"",Transactions!$E1370*1,)</f>
        <v/>
      </c>
      <c r="E1370" s="51" t="str">
        <f>IF($B1370&lt;&gt;"",Transactions!$F1370*1,)</f>
        <v/>
      </c>
      <c r="F1370" s="42" t="str">
        <f>IF(Transactions!$G1370&lt;&gt;"",Transactions!$H1370&amp;" "&amp;Transactions!$G1370,)</f>
        <v/>
      </c>
    </row>
    <row r="1371">
      <c r="A1371" s="55" t="str">
        <f>IF(Transactions!$B1371&lt;&gt;"",DATE(LEFT(Transactions!$B1371,4),MID(Transactions!$B1371,6,2),MID(Transactions!$B1371,9,2)),)</f>
        <v/>
      </c>
      <c r="B1371" s="56" t="str">
        <f>Transactions!$C1371</f>
        <v/>
      </c>
      <c r="C1371" s="51" t="str">
        <f t="array" ref="C1371">IFERROR(INDEX(Portfolio!$B:$B, MATCH($B1371, Portfolio!$A:$A, 0)),Transactions!$B1371)</f>
        <v/>
      </c>
      <c r="D1371" s="51" t="str">
        <f>IF($B1371&lt;&gt;"",Transactions!$E1371*1,)</f>
        <v/>
      </c>
      <c r="E1371" s="51" t="str">
        <f>IF($B1371&lt;&gt;"",Transactions!$F1371*1,)</f>
        <v/>
      </c>
      <c r="F1371" s="42" t="str">
        <f>IF(Transactions!$G1371&lt;&gt;"",Transactions!$H1371&amp;" "&amp;Transactions!$G1371,)</f>
        <v/>
      </c>
    </row>
    <row r="1372">
      <c r="A1372" s="55" t="str">
        <f>IF(Transactions!$B1372&lt;&gt;"",DATE(LEFT(Transactions!$B1372,4),MID(Transactions!$B1372,6,2),MID(Transactions!$B1372,9,2)),)</f>
        <v/>
      </c>
      <c r="B1372" s="56" t="str">
        <f>Transactions!$C1372</f>
        <v/>
      </c>
      <c r="C1372" s="51" t="str">
        <f t="array" ref="C1372">IFERROR(INDEX(Portfolio!$B:$B, MATCH($B1372, Portfolio!$A:$A, 0)),Transactions!$B1372)</f>
        <v/>
      </c>
      <c r="D1372" s="51" t="str">
        <f>IF($B1372&lt;&gt;"",Transactions!$E1372*1,)</f>
        <v/>
      </c>
      <c r="E1372" s="51" t="str">
        <f>IF($B1372&lt;&gt;"",Transactions!$F1372*1,)</f>
        <v/>
      </c>
      <c r="F1372" s="42" t="str">
        <f>IF(Transactions!$G1372&lt;&gt;"",Transactions!$H1372&amp;" "&amp;Transactions!$G1372,)</f>
        <v/>
      </c>
    </row>
    <row r="1373">
      <c r="A1373" s="55" t="str">
        <f>IF(Transactions!$B1373&lt;&gt;"",DATE(LEFT(Transactions!$B1373,4),MID(Transactions!$B1373,6,2),MID(Transactions!$B1373,9,2)),)</f>
        <v/>
      </c>
      <c r="B1373" s="56" t="str">
        <f>Transactions!$C1373</f>
        <v/>
      </c>
      <c r="C1373" s="51" t="str">
        <f t="array" ref="C1373">IFERROR(INDEX(Portfolio!$B:$B, MATCH($B1373, Portfolio!$A:$A, 0)),Transactions!$B1373)</f>
        <v/>
      </c>
      <c r="D1373" s="51" t="str">
        <f>IF($B1373&lt;&gt;"",Transactions!$E1373*1,)</f>
        <v/>
      </c>
      <c r="E1373" s="51" t="str">
        <f>IF($B1373&lt;&gt;"",Transactions!$F1373*1,)</f>
        <v/>
      </c>
      <c r="F1373" s="42" t="str">
        <f>IF(Transactions!$G1373&lt;&gt;"",Transactions!$H1373&amp;" "&amp;Transactions!$G1373,)</f>
        <v/>
      </c>
    </row>
    <row r="1374">
      <c r="A1374" s="55" t="str">
        <f>IF(Transactions!$B1374&lt;&gt;"",DATE(LEFT(Transactions!$B1374,4),MID(Transactions!$B1374,6,2),MID(Transactions!$B1374,9,2)),)</f>
        <v/>
      </c>
      <c r="B1374" s="56" t="str">
        <f>Transactions!$C1374</f>
        <v/>
      </c>
      <c r="C1374" s="51" t="str">
        <f t="array" ref="C1374">IFERROR(INDEX(Portfolio!$B:$B, MATCH($B1374, Portfolio!$A:$A, 0)),Transactions!$B1374)</f>
        <v/>
      </c>
      <c r="D1374" s="51" t="str">
        <f>IF($B1374&lt;&gt;"",Transactions!$E1374*1,)</f>
        <v/>
      </c>
      <c r="E1374" s="51" t="str">
        <f>IF($B1374&lt;&gt;"",Transactions!$F1374*1,)</f>
        <v/>
      </c>
      <c r="F1374" s="42" t="str">
        <f>IF(Transactions!$G1374&lt;&gt;"",Transactions!$H1374&amp;" "&amp;Transactions!$G1374,)</f>
        <v/>
      </c>
    </row>
    <row r="1375">
      <c r="A1375" s="55" t="str">
        <f>IF(Transactions!$B1375&lt;&gt;"",DATE(LEFT(Transactions!$B1375,4),MID(Transactions!$B1375,6,2),MID(Transactions!$B1375,9,2)),)</f>
        <v/>
      </c>
      <c r="B1375" s="56" t="str">
        <f>Transactions!$C1375</f>
        <v/>
      </c>
      <c r="C1375" s="51" t="str">
        <f t="array" ref="C1375">IFERROR(INDEX(Portfolio!$B:$B, MATCH($B1375, Portfolio!$A:$A, 0)),Transactions!$B1375)</f>
        <v/>
      </c>
      <c r="D1375" s="51" t="str">
        <f>IF($B1375&lt;&gt;"",Transactions!$E1375*1,)</f>
        <v/>
      </c>
      <c r="E1375" s="51" t="str">
        <f>IF($B1375&lt;&gt;"",Transactions!$F1375*1,)</f>
        <v/>
      </c>
      <c r="F1375" s="42" t="str">
        <f>IF(Transactions!$G1375&lt;&gt;"",Transactions!$H1375&amp;" "&amp;Transactions!$G1375,)</f>
        <v/>
      </c>
    </row>
    <row r="1376">
      <c r="A1376" s="55" t="str">
        <f>IF(Transactions!$B1376&lt;&gt;"",DATE(LEFT(Transactions!$B1376,4),MID(Transactions!$B1376,6,2),MID(Transactions!$B1376,9,2)),)</f>
        <v/>
      </c>
      <c r="B1376" s="56" t="str">
        <f>Transactions!$C1376</f>
        <v/>
      </c>
      <c r="C1376" s="51" t="str">
        <f t="array" ref="C1376">IFERROR(INDEX(Portfolio!$B:$B, MATCH($B1376, Portfolio!$A:$A, 0)),Transactions!$B1376)</f>
        <v/>
      </c>
      <c r="D1376" s="51" t="str">
        <f>IF($B1376&lt;&gt;"",Transactions!$E1376*1,)</f>
        <v/>
      </c>
      <c r="E1376" s="51" t="str">
        <f>IF($B1376&lt;&gt;"",Transactions!$F1376*1,)</f>
        <v/>
      </c>
      <c r="F1376" s="42" t="str">
        <f>IF(Transactions!$G1376&lt;&gt;"",Transactions!$H1376&amp;" "&amp;Transactions!$G1376,)</f>
        <v/>
      </c>
    </row>
    <row r="1377">
      <c r="A1377" s="55" t="str">
        <f>IF(Transactions!$B1377&lt;&gt;"",DATE(LEFT(Transactions!$B1377,4),MID(Transactions!$B1377,6,2),MID(Transactions!$B1377,9,2)),)</f>
        <v/>
      </c>
      <c r="B1377" s="56" t="str">
        <f>Transactions!$C1377</f>
        <v/>
      </c>
      <c r="C1377" s="51" t="str">
        <f t="array" ref="C1377">IFERROR(INDEX(Portfolio!$B:$B, MATCH($B1377, Portfolio!$A:$A, 0)),Transactions!$B1377)</f>
        <v/>
      </c>
      <c r="D1377" s="51" t="str">
        <f>IF($B1377&lt;&gt;"",Transactions!$E1377*1,)</f>
        <v/>
      </c>
      <c r="E1377" s="51" t="str">
        <f>IF($B1377&lt;&gt;"",Transactions!$F1377*1,)</f>
        <v/>
      </c>
      <c r="F1377" s="42" t="str">
        <f>IF(Transactions!$G1377&lt;&gt;"",Transactions!$H1377&amp;" "&amp;Transactions!$G1377,)</f>
        <v/>
      </c>
    </row>
    <row r="1378">
      <c r="A1378" s="55" t="str">
        <f>IF(Transactions!$B1378&lt;&gt;"",DATE(LEFT(Transactions!$B1378,4),MID(Transactions!$B1378,6,2),MID(Transactions!$B1378,9,2)),)</f>
        <v/>
      </c>
      <c r="B1378" s="56" t="str">
        <f>Transactions!$C1378</f>
        <v/>
      </c>
      <c r="C1378" s="51" t="str">
        <f t="array" ref="C1378">IFERROR(INDEX(Portfolio!$B:$B, MATCH($B1378, Portfolio!$A:$A, 0)),Transactions!$B1378)</f>
        <v/>
      </c>
      <c r="D1378" s="51" t="str">
        <f>IF($B1378&lt;&gt;"",Transactions!$E1378*1,)</f>
        <v/>
      </c>
      <c r="E1378" s="51" t="str">
        <f>IF($B1378&lt;&gt;"",Transactions!$F1378*1,)</f>
        <v/>
      </c>
      <c r="F1378" s="42" t="str">
        <f>IF(Transactions!$G1378&lt;&gt;"",Transactions!$H1378&amp;" "&amp;Transactions!$G1378,)</f>
        <v/>
      </c>
    </row>
    <row r="1379">
      <c r="A1379" s="55" t="str">
        <f>IF(Transactions!$B1379&lt;&gt;"",DATE(LEFT(Transactions!$B1379,4),MID(Transactions!$B1379,6,2),MID(Transactions!$B1379,9,2)),)</f>
        <v/>
      </c>
      <c r="B1379" s="56" t="str">
        <f>Transactions!$C1379</f>
        <v/>
      </c>
      <c r="C1379" s="51" t="str">
        <f t="array" ref="C1379">IFERROR(INDEX(Portfolio!$B:$B, MATCH($B1379, Portfolio!$A:$A, 0)),Transactions!$B1379)</f>
        <v/>
      </c>
      <c r="D1379" s="51" t="str">
        <f>IF($B1379&lt;&gt;"",Transactions!$E1379*1,)</f>
        <v/>
      </c>
      <c r="E1379" s="51" t="str">
        <f>IF($B1379&lt;&gt;"",Transactions!$F1379*1,)</f>
        <v/>
      </c>
      <c r="F1379" s="42" t="str">
        <f>IF(Transactions!$G1379&lt;&gt;"",Transactions!$H1379&amp;" "&amp;Transactions!$G1379,)</f>
        <v/>
      </c>
    </row>
    <row r="1380">
      <c r="A1380" s="55" t="str">
        <f>IF(Transactions!$B1380&lt;&gt;"",DATE(LEFT(Transactions!$B1380,4),MID(Transactions!$B1380,6,2),MID(Transactions!$B1380,9,2)),)</f>
        <v/>
      </c>
      <c r="B1380" s="56" t="str">
        <f>Transactions!$C1380</f>
        <v/>
      </c>
      <c r="C1380" s="51" t="str">
        <f t="array" ref="C1380">IFERROR(INDEX(Portfolio!$B:$B, MATCH($B1380, Portfolio!$A:$A, 0)),Transactions!$B1380)</f>
        <v/>
      </c>
      <c r="D1380" s="51" t="str">
        <f>IF($B1380&lt;&gt;"",Transactions!$E1380*1,)</f>
        <v/>
      </c>
      <c r="E1380" s="51" t="str">
        <f>IF($B1380&lt;&gt;"",Transactions!$F1380*1,)</f>
        <v/>
      </c>
      <c r="F1380" s="42" t="str">
        <f>IF(Transactions!$G1380&lt;&gt;"",Transactions!$H1380&amp;" "&amp;Transactions!$G1380,)</f>
        <v/>
      </c>
    </row>
    <row r="1381">
      <c r="A1381" s="55" t="str">
        <f>IF(Transactions!$B1381&lt;&gt;"",DATE(LEFT(Transactions!$B1381,4),MID(Transactions!$B1381,6,2),MID(Transactions!$B1381,9,2)),)</f>
        <v/>
      </c>
      <c r="B1381" s="56" t="str">
        <f>Transactions!$C1381</f>
        <v/>
      </c>
      <c r="C1381" s="51" t="str">
        <f t="array" ref="C1381">IFERROR(INDEX(Portfolio!$B:$B, MATCH($B1381, Portfolio!$A:$A, 0)),Transactions!$B1381)</f>
        <v/>
      </c>
      <c r="D1381" s="51" t="str">
        <f>IF($B1381&lt;&gt;"",Transactions!$E1381*1,)</f>
        <v/>
      </c>
      <c r="E1381" s="51" t="str">
        <f>IF($B1381&lt;&gt;"",Transactions!$F1381*1,)</f>
        <v/>
      </c>
      <c r="F1381" s="42" t="str">
        <f>IF(Transactions!$G1381&lt;&gt;"",Transactions!$H1381&amp;" "&amp;Transactions!$G1381,)</f>
        <v/>
      </c>
    </row>
    <row r="1382">
      <c r="A1382" s="55" t="str">
        <f>IF(Transactions!$B1382&lt;&gt;"",DATE(LEFT(Transactions!$B1382,4),MID(Transactions!$B1382,6,2),MID(Transactions!$B1382,9,2)),)</f>
        <v/>
      </c>
      <c r="B1382" s="56" t="str">
        <f>Transactions!$C1382</f>
        <v/>
      </c>
      <c r="C1382" s="51" t="str">
        <f t="array" ref="C1382">IFERROR(INDEX(Portfolio!$B:$B, MATCH($B1382, Portfolio!$A:$A, 0)),Transactions!$B1382)</f>
        <v/>
      </c>
      <c r="D1382" s="51" t="str">
        <f>IF($B1382&lt;&gt;"",Transactions!$E1382*1,)</f>
        <v/>
      </c>
      <c r="E1382" s="51" t="str">
        <f>IF($B1382&lt;&gt;"",Transactions!$F1382*1,)</f>
        <v/>
      </c>
      <c r="F1382" s="42" t="str">
        <f>IF(Transactions!$G1382&lt;&gt;"",Transactions!$H1382&amp;" "&amp;Transactions!$G1382,)</f>
        <v/>
      </c>
    </row>
    <row r="1383">
      <c r="A1383" s="55" t="str">
        <f>IF(Transactions!$B1383&lt;&gt;"",DATE(LEFT(Transactions!$B1383,4),MID(Transactions!$B1383,6,2),MID(Transactions!$B1383,9,2)),)</f>
        <v/>
      </c>
      <c r="B1383" s="56" t="str">
        <f>Transactions!$C1383</f>
        <v/>
      </c>
      <c r="C1383" s="51" t="str">
        <f t="array" ref="C1383">IFERROR(INDEX(Portfolio!$B:$B, MATCH($B1383, Portfolio!$A:$A, 0)),Transactions!$B1383)</f>
        <v/>
      </c>
      <c r="D1383" s="51" t="str">
        <f>IF($B1383&lt;&gt;"",Transactions!$E1383*1,)</f>
        <v/>
      </c>
      <c r="E1383" s="51" t="str">
        <f>IF($B1383&lt;&gt;"",Transactions!$F1383*1,)</f>
        <v/>
      </c>
      <c r="F1383" s="42" t="str">
        <f>IF(Transactions!$G1383&lt;&gt;"",Transactions!$H1383&amp;" "&amp;Transactions!$G1383,)</f>
        <v/>
      </c>
    </row>
    <row r="1384">
      <c r="A1384" s="55" t="str">
        <f>IF(Transactions!$B1384&lt;&gt;"",DATE(LEFT(Transactions!$B1384,4),MID(Transactions!$B1384,6,2),MID(Transactions!$B1384,9,2)),)</f>
        <v/>
      </c>
      <c r="B1384" s="56" t="str">
        <f>Transactions!$C1384</f>
        <v/>
      </c>
      <c r="C1384" s="51" t="str">
        <f t="array" ref="C1384">IFERROR(INDEX(Portfolio!$B:$B, MATCH($B1384, Portfolio!$A:$A, 0)),Transactions!$B1384)</f>
        <v/>
      </c>
      <c r="D1384" s="51" t="str">
        <f>IF($B1384&lt;&gt;"",Transactions!$E1384*1,)</f>
        <v/>
      </c>
      <c r="E1384" s="51" t="str">
        <f>IF($B1384&lt;&gt;"",Transactions!$F1384*1,)</f>
        <v/>
      </c>
      <c r="F1384" s="42" t="str">
        <f>IF(Transactions!$G1384&lt;&gt;"",Transactions!$H1384&amp;" "&amp;Transactions!$G1384,)</f>
        <v/>
      </c>
    </row>
    <row r="1385">
      <c r="A1385" s="55" t="str">
        <f>IF(Transactions!$B1385&lt;&gt;"",DATE(LEFT(Transactions!$B1385,4),MID(Transactions!$B1385,6,2),MID(Transactions!$B1385,9,2)),)</f>
        <v/>
      </c>
      <c r="B1385" s="56" t="str">
        <f>Transactions!$C1385</f>
        <v/>
      </c>
      <c r="C1385" s="51" t="str">
        <f t="array" ref="C1385">IFERROR(INDEX(Portfolio!$B:$B, MATCH($B1385, Portfolio!$A:$A, 0)),Transactions!$B1385)</f>
        <v/>
      </c>
      <c r="D1385" s="51" t="str">
        <f>IF($B1385&lt;&gt;"",Transactions!$E1385*1,)</f>
        <v/>
      </c>
      <c r="E1385" s="51" t="str">
        <f>IF($B1385&lt;&gt;"",Transactions!$F1385*1,)</f>
        <v/>
      </c>
      <c r="F1385" s="42" t="str">
        <f>IF(Transactions!$G1385&lt;&gt;"",Transactions!$H1385&amp;" "&amp;Transactions!$G1385,)</f>
        <v/>
      </c>
    </row>
    <row r="1386">
      <c r="A1386" s="55" t="str">
        <f>IF(Transactions!$B1386&lt;&gt;"",DATE(LEFT(Transactions!$B1386,4),MID(Transactions!$B1386,6,2),MID(Transactions!$B1386,9,2)),)</f>
        <v/>
      </c>
      <c r="B1386" s="56" t="str">
        <f>Transactions!$C1386</f>
        <v/>
      </c>
      <c r="C1386" s="51" t="str">
        <f t="array" ref="C1386">IFERROR(INDEX(Portfolio!$B:$B, MATCH($B1386, Portfolio!$A:$A, 0)),Transactions!$B1386)</f>
        <v/>
      </c>
      <c r="D1386" s="51" t="str">
        <f>IF($B1386&lt;&gt;"",Transactions!$E1386*1,)</f>
        <v/>
      </c>
      <c r="E1386" s="51" t="str">
        <f>IF($B1386&lt;&gt;"",Transactions!$F1386*1,)</f>
        <v/>
      </c>
      <c r="F1386" s="42" t="str">
        <f>IF(Transactions!$G1386&lt;&gt;"",Transactions!$H1386&amp;" "&amp;Transactions!$G1386,)</f>
        <v/>
      </c>
    </row>
    <row r="1387">
      <c r="A1387" s="55" t="str">
        <f>IF(Transactions!$B1387&lt;&gt;"",DATE(LEFT(Transactions!$B1387,4),MID(Transactions!$B1387,6,2),MID(Transactions!$B1387,9,2)),)</f>
        <v/>
      </c>
      <c r="B1387" s="56" t="str">
        <f>Transactions!$C1387</f>
        <v/>
      </c>
      <c r="C1387" s="51" t="str">
        <f t="array" ref="C1387">IFERROR(INDEX(Portfolio!$B:$B, MATCH($B1387, Portfolio!$A:$A, 0)),Transactions!$B1387)</f>
        <v/>
      </c>
      <c r="D1387" s="51" t="str">
        <f>IF($B1387&lt;&gt;"",Transactions!$E1387*1,)</f>
        <v/>
      </c>
      <c r="E1387" s="51" t="str">
        <f>IF($B1387&lt;&gt;"",Transactions!$F1387*1,)</f>
        <v/>
      </c>
      <c r="F1387" s="42" t="str">
        <f>IF(Transactions!$G1387&lt;&gt;"",Transactions!$H1387&amp;" "&amp;Transactions!$G1387,)</f>
        <v/>
      </c>
    </row>
    <row r="1388">
      <c r="A1388" s="55" t="str">
        <f>IF(Transactions!$B1388&lt;&gt;"",DATE(LEFT(Transactions!$B1388,4),MID(Transactions!$B1388,6,2),MID(Transactions!$B1388,9,2)),)</f>
        <v/>
      </c>
      <c r="B1388" s="56" t="str">
        <f>Transactions!$C1388</f>
        <v/>
      </c>
      <c r="C1388" s="51" t="str">
        <f t="array" ref="C1388">IFERROR(INDEX(Portfolio!$B:$B, MATCH($B1388, Portfolio!$A:$A, 0)),Transactions!$B1388)</f>
        <v/>
      </c>
      <c r="D1388" s="51" t="str">
        <f>IF($B1388&lt;&gt;"",Transactions!$E1388*1,)</f>
        <v/>
      </c>
      <c r="E1388" s="51" t="str">
        <f>IF($B1388&lt;&gt;"",Transactions!$F1388*1,)</f>
        <v/>
      </c>
      <c r="F1388" s="42" t="str">
        <f>IF(Transactions!$G1388&lt;&gt;"",Transactions!$H1388&amp;" "&amp;Transactions!$G1388,)</f>
        <v/>
      </c>
    </row>
    <row r="1389">
      <c r="A1389" s="55" t="str">
        <f>IF(Transactions!$B1389&lt;&gt;"",DATE(LEFT(Transactions!$B1389,4),MID(Transactions!$B1389,6,2),MID(Transactions!$B1389,9,2)),)</f>
        <v/>
      </c>
      <c r="B1389" s="56" t="str">
        <f>Transactions!$C1389</f>
        <v/>
      </c>
      <c r="C1389" s="51" t="str">
        <f t="array" ref="C1389">IFERROR(INDEX(Portfolio!$B:$B, MATCH($B1389, Portfolio!$A:$A, 0)),Transactions!$B1389)</f>
        <v/>
      </c>
      <c r="D1389" s="51" t="str">
        <f>IF($B1389&lt;&gt;"",Transactions!$E1389*1,)</f>
        <v/>
      </c>
      <c r="E1389" s="51" t="str">
        <f>IF($B1389&lt;&gt;"",Transactions!$F1389*1,)</f>
        <v/>
      </c>
      <c r="F1389" s="42" t="str">
        <f>IF(Transactions!$G1389&lt;&gt;"",Transactions!$H1389&amp;" "&amp;Transactions!$G1389,)</f>
        <v/>
      </c>
    </row>
    <row r="1390">
      <c r="A1390" s="55" t="str">
        <f>IF(Transactions!$B1390&lt;&gt;"",DATE(LEFT(Transactions!$B1390,4),MID(Transactions!$B1390,6,2),MID(Transactions!$B1390,9,2)),)</f>
        <v/>
      </c>
      <c r="B1390" s="56" t="str">
        <f>Transactions!$C1390</f>
        <v/>
      </c>
      <c r="C1390" s="51" t="str">
        <f t="array" ref="C1390">IFERROR(INDEX(Portfolio!$B:$B, MATCH($B1390, Portfolio!$A:$A, 0)),Transactions!$B1390)</f>
        <v/>
      </c>
      <c r="D1390" s="51" t="str">
        <f>IF($B1390&lt;&gt;"",Transactions!$E1390*1,)</f>
        <v/>
      </c>
      <c r="E1390" s="51" t="str">
        <f>IF($B1390&lt;&gt;"",Transactions!$F1390*1,)</f>
        <v/>
      </c>
      <c r="F1390" s="42" t="str">
        <f>IF(Transactions!$G1390&lt;&gt;"",Transactions!$H1390&amp;" "&amp;Transactions!$G1390,)</f>
        <v/>
      </c>
    </row>
    <row r="1391">
      <c r="A1391" s="55" t="str">
        <f>IF(Transactions!$B1391&lt;&gt;"",DATE(LEFT(Transactions!$B1391,4),MID(Transactions!$B1391,6,2),MID(Transactions!$B1391,9,2)),)</f>
        <v/>
      </c>
      <c r="B1391" s="56" t="str">
        <f>Transactions!$C1391</f>
        <v/>
      </c>
      <c r="C1391" s="51" t="str">
        <f t="array" ref="C1391">IFERROR(INDEX(Portfolio!$B:$B, MATCH($B1391, Portfolio!$A:$A, 0)),Transactions!$B1391)</f>
        <v/>
      </c>
      <c r="D1391" s="51" t="str">
        <f>IF($B1391&lt;&gt;"",Transactions!$E1391*1,)</f>
        <v/>
      </c>
      <c r="E1391" s="51" t="str">
        <f>IF($B1391&lt;&gt;"",Transactions!$F1391*1,)</f>
        <v/>
      </c>
      <c r="F1391" s="42" t="str">
        <f>IF(Transactions!$G1391&lt;&gt;"",Transactions!$H1391&amp;" "&amp;Transactions!$G1391,)</f>
        <v/>
      </c>
    </row>
    <row r="1392">
      <c r="A1392" s="55" t="str">
        <f>IF(Transactions!$B1392&lt;&gt;"",DATE(LEFT(Transactions!$B1392,4),MID(Transactions!$B1392,6,2),MID(Transactions!$B1392,9,2)),)</f>
        <v/>
      </c>
      <c r="B1392" s="56" t="str">
        <f>Transactions!$C1392</f>
        <v/>
      </c>
      <c r="C1392" s="51" t="str">
        <f t="array" ref="C1392">IFERROR(INDEX(Portfolio!$B:$B, MATCH($B1392, Portfolio!$A:$A, 0)),Transactions!$B1392)</f>
        <v/>
      </c>
      <c r="D1392" s="51" t="str">
        <f>IF($B1392&lt;&gt;"",Transactions!$E1392*1,)</f>
        <v/>
      </c>
      <c r="E1392" s="51" t="str">
        <f>IF($B1392&lt;&gt;"",Transactions!$F1392*1,)</f>
        <v/>
      </c>
      <c r="F1392" s="42" t="str">
        <f>IF(Transactions!$G1392&lt;&gt;"",Transactions!$H1392&amp;" "&amp;Transactions!$G1392,)</f>
        <v/>
      </c>
    </row>
    <row r="1393">
      <c r="A1393" s="55" t="str">
        <f>IF(Transactions!$B1393&lt;&gt;"",DATE(LEFT(Transactions!$B1393,4),MID(Transactions!$B1393,6,2),MID(Transactions!$B1393,9,2)),)</f>
        <v/>
      </c>
      <c r="B1393" s="56" t="str">
        <f>Transactions!$C1393</f>
        <v/>
      </c>
      <c r="C1393" s="51" t="str">
        <f t="array" ref="C1393">IFERROR(INDEX(Portfolio!$B:$B, MATCH($B1393, Portfolio!$A:$A, 0)),Transactions!$B1393)</f>
        <v/>
      </c>
      <c r="D1393" s="51" t="str">
        <f>IF($B1393&lt;&gt;"",Transactions!$E1393*1,)</f>
        <v/>
      </c>
      <c r="E1393" s="51" t="str">
        <f>IF($B1393&lt;&gt;"",Transactions!$F1393*1,)</f>
        <v/>
      </c>
      <c r="F1393" s="42" t="str">
        <f>IF(Transactions!$G1393&lt;&gt;"",Transactions!$H1393&amp;" "&amp;Transactions!$G1393,)</f>
        <v/>
      </c>
    </row>
    <row r="1394">
      <c r="A1394" s="55" t="str">
        <f>IF(Transactions!$B1394&lt;&gt;"",DATE(LEFT(Transactions!$B1394,4),MID(Transactions!$B1394,6,2),MID(Transactions!$B1394,9,2)),)</f>
        <v/>
      </c>
      <c r="B1394" s="56" t="str">
        <f>Transactions!$C1394</f>
        <v/>
      </c>
      <c r="C1394" s="51" t="str">
        <f t="array" ref="C1394">IFERROR(INDEX(Portfolio!$B:$B, MATCH($B1394, Portfolio!$A:$A, 0)),Transactions!$B1394)</f>
        <v/>
      </c>
      <c r="D1394" s="51" t="str">
        <f>IF($B1394&lt;&gt;"",Transactions!$E1394*1,)</f>
        <v/>
      </c>
      <c r="E1394" s="51" t="str">
        <f>IF($B1394&lt;&gt;"",Transactions!$F1394*1,)</f>
        <v/>
      </c>
      <c r="F1394" s="42" t="str">
        <f>IF(Transactions!$G1394&lt;&gt;"",Transactions!$H1394&amp;" "&amp;Transactions!$G1394,)</f>
        <v/>
      </c>
    </row>
    <row r="1395">
      <c r="A1395" s="55" t="str">
        <f>IF(Transactions!$B1395&lt;&gt;"",DATE(LEFT(Transactions!$B1395,4),MID(Transactions!$B1395,6,2),MID(Transactions!$B1395,9,2)),)</f>
        <v/>
      </c>
      <c r="B1395" s="56" t="str">
        <f>Transactions!$C1395</f>
        <v/>
      </c>
      <c r="C1395" s="51" t="str">
        <f t="array" ref="C1395">IFERROR(INDEX(Portfolio!$B:$B, MATCH($B1395, Portfolio!$A:$A, 0)),Transactions!$B1395)</f>
        <v/>
      </c>
      <c r="D1395" s="51" t="str">
        <f>IF($B1395&lt;&gt;"",Transactions!$E1395*1,)</f>
        <v/>
      </c>
      <c r="E1395" s="51" t="str">
        <f>IF($B1395&lt;&gt;"",Transactions!$F1395*1,)</f>
        <v/>
      </c>
      <c r="F1395" s="42" t="str">
        <f>IF(Transactions!$G1395&lt;&gt;"",Transactions!$H1395&amp;" "&amp;Transactions!$G1395,)</f>
        <v/>
      </c>
    </row>
    <row r="1396">
      <c r="A1396" s="55" t="str">
        <f>IF(Transactions!$B1396&lt;&gt;"",DATE(LEFT(Transactions!$B1396,4),MID(Transactions!$B1396,6,2),MID(Transactions!$B1396,9,2)),)</f>
        <v/>
      </c>
      <c r="B1396" s="56" t="str">
        <f>Transactions!$C1396</f>
        <v/>
      </c>
      <c r="C1396" s="51" t="str">
        <f t="array" ref="C1396">IFERROR(INDEX(Portfolio!$B:$B, MATCH($B1396, Portfolio!$A:$A, 0)),Transactions!$B1396)</f>
        <v/>
      </c>
      <c r="D1396" s="51" t="str">
        <f>IF($B1396&lt;&gt;"",Transactions!$E1396*1,)</f>
        <v/>
      </c>
      <c r="E1396" s="51" t="str">
        <f>IF($B1396&lt;&gt;"",Transactions!$F1396*1,)</f>
        <v/>
      </c>
      <c r="F1396" s="42" t="str">
        <f>IF(Transactions!$G1396&lt;&gt;"",Transactions!$H1396&amp;" "&amp;Transactions!$G1396,)</f>
        <v/>
      </c>
    </row>
    <row r="1397">
      <c r="A1397" s="55" t="str">
        <f>IF(Transactions!$B1397&lt;&gt;"",DATE(LEFT(Transactions!$B1397,4),MID(Transactions!$B1397,6,2),MID(Transactions!$B1397,9,2)),)</f>
        <v/>
      </c>
      <c r="B1397" s="56" t="str">
        <f>Transactions!$C1397</f>
        <v/>
      </c>
      <c r="C1397" s="51" t="str">
        <f t="array" ref="C1397">IFERROR(INDEX(Portfolio!$B:$B, MATCH($B1397, Portfolio!$A:$A, 0)),Transactions!$B1397)</f>
        <v/>
      </c>
      <c r="D1397" s="51" t="str">
        <f>IF($B1397&lt;&gt;"",Transactions!$E1397*1,)</f>
        <v/>
      </c>
      <c r="E1397" s="51" t="str">
        <f>IF($B1397&lt;&gt;"",Transactions!$F1397*1,)</f>
        <v/>
      </c>
      <c r="F1397" s="42" t="str">
        <f>IF(Transactions!$G1397&lt;&gt;"",Transactions!$H1397&amp;" "&amp;Transactions!$G1397,)</f>
        <v/>
      </c>
    </row>
    <row r="1398">
      <c r="A1398" s="55" t="str">
        <f>IF(Transactions!$B1398&lt;&gt;"",DATE(LEFT(Transactions!$B1398,4),MID(Transactions!$B1398,6,2),MID(Transactions!$B1398,9,2)),)</f>
        <v/>
      </c>
      <c r="B1398" s="56" t="str">
        <f>Transactions!$C1398</f>
        <v/>
      </c>
      <c r="C1398" s="51" t="str">
        <f t="array" ref="C1398">IFERROR(INDEX(Portfolio!$B:$B, MATCH($B1398, Portfolio!$A:$A, 0)),Transactions!$B1398)</f>
        <v/>
      </c>
      <c r="D1398" s="51" t="str">
        <f>IF($B1398&lt;&gt;"",Transactions!$E1398*1,)</f>
        <v/>
      </c>
      <c r="E1398" s="51" t="str">
        <f>IF($B1398&lt;&gt;"",Transactions!$F1398*1,)</f>
        <v/>
      </c>
      <c r="F1398" s="42" t="str">
        <f>IF(Transactions!$G1398&lt;&gt;"",Transactions!$H1398&amp;" "&amp;Transactions!$G1398,)</f>
        <v/>
      </c>
    </row>
    <row r="1399">
      <c r="A1399" s="55" t="str">
        <f>IF(Transactions!$B1399&lt;&gt;"",DATE(LEFT(Transactions!$B1399,4),MID(Transactions!$B1399,6,2),MID(Transactions!$B1399,9,2)),)</f>
        <v/>
      </c>
      <c r="B1399" s="56" t="str">
        <f>Transactions!$C1399</f>
        <v/>
      </c>
      <c r="C1399" s="51" t="str">
        <f t="array" ref="C1399">IFERROR(INDEX(Portfolio!$B:$B, MATCH($B1399, Portfolio!$A:$A, 0)),Transactions!$B1399)</f>
        <v/>
      </c>
      <c r="D1399" s="51" t="str">
        <f>IF($B1399&lt;&gt;"",Transactions!$E1399*1,)</f>
        <v/>
      </c>
      <c r="E1399" s="51" t="str">
        <f>IF($B1399&lt;&gt;"",Transactions!$F1399*1,)</f>
        <v/>
      </c>
      <c r="F1399" s="42" t="str">
        <f>IF(Transactions!$G1399&lt;&gt;"",Transactions!$H1399&amp;" "&amp;Transactions!$G1399,)</f>
        <v/>
      </c>
    </row>
    <row r="1400">
      <c r="A1400" s="55" t="str">
        <f>IF(Transactions!$B1400&lt;&gt;"",DATE(LEFT(Transactions!$B1400,4),MID(Transactions!$B1400,6,2),MID(Transactions!$B1400,9,2)),)</f>
        <v/>
      </c>
      <c r="B1400" s="56" t="str">
        <f>Transactions!$C1400</f>
        <v/>
      </c>
      <c r="C1400" s="51" t="str">
        <f t="array" ref="C1400">IFERROR(INDEX(Portfolio!$B:$B, MATCH($B1400, Portfolio!$A:$A, 0)),Transactions!$B1400)</f>
        <v/>
      </c>
      <c r="D1400" s="51" t="str">
        <f>IF($B1400&lt;&gt;"",Transactions!$E1400*1,)</f>
        <v/>
      </c>
      <c r="E1400" s="51" t="str">
        <f>IF($B1400&lt;&gt;"",Transactions!$F1400*1,)</f>
        <v/>
      </c>
      <c r="F1400" s="42" t="str">
        <f>IF(Transactions!$G1400&lt;&gt;"",Transactions!$H1400&amp;" "&amp;Transactions!$G1400,)</f>
        <v/>
      </c>
    </row>
    <row r="1401">
      <c r="A1401" s="55" t="str">
        <f>IF(Transactions!$B1401&lt;&gt;"",DATE(LEFT(Transactions!$B1401,4),MID(Transactions!$B1401,6,2),MID(Transactions!$B1401,9,2)),)</f>
        <v/>
      </c>
      <c r="B1401" s="56" t="str">
        <f>Transactions!$C1401</f>
        <v/>
      </c>
      <c r="C1401" s="51" t="str">
        <f t="array" ref="C1401">IFERROR(INDEX(Portfolio!$B:$B, MATCH($B1401, Portfolio!$A:$A, 0)),Transactions!$B1401)</f>
        <v/>
      </c>
      <c r="D1401" s="51" t="str">
        <f>IF($B1401&lt;&gt;"",Transactions!$E1401*1,)</f>
        <v/>
      </c>
      <c r="E1401" s="51" t="str">
        <f>IF($B1401&lt;&gt;"",Transactions!$F1401*1,)</f>
        <v/>
      </c>
      <c r="F1401" s="42" t="str">
        <f>IF(Transactions!$G1401&lt;&gt;"",Transactions!$H1401&amp;" "&amp;Transactions!$G1401,)</f>
        <v/>
      </c>
    </row>
    <row r="1402">
      <c r="A1402" s="55" t="str">
        <f>IF(Transactions!$B1402&lt;&gt;"",DATE(LEFT(Transactions!$B1402,4),MID(Transactions!$B1402,6,2),MID(Transactions!$B1402,9,2)),)</f>
        <v/>
      </c>
      <c r="B1402" s="56" t="str">
        <f>Transactions!$C1402</f>
        <v/>
      </c>
      <c r="C1402" s="51" t="str">
        <f t="array" ref="C1402">IFERROR(INDEX(Portfolio!$B:$B, MATCH($B1402, Portfolio!$A:$A, 0)),Transactions!$B1402)</f>
        <v/>
      </c>
      <c r="D1402" s="51" t="str">
        <f>IF($B1402&lt;&gt;"",Transactions!$E1402*1,)</f>
        <v/>
      </c>
      <c r="E1402" s="51" t="str">
        <f>IF($B1402&lt;&gt;"",Transactions!$F1402*1,)</f>
        <v/>
      </c>
      <c r="F1402" s="42" t="str">
        <f>IF(Transactions!$G1402&lt;&gt;"",Transactions!$H1402&amp;" "&amp;Transactions!$G1402,)</f>
        <v/>
      </c>
    </row>
    <row r="1403">
      <c r="A1403" s="55" t="str">
        <f>IF(Transactions!$B1403&lt;&gt;"",DATE(LEFT(Transactions!$B1403,4),MID(Transactions!$B1403,6,2),MID(Transactions!$B1403,9,2)),)</f>
        <v/>
      </c>
      <c r="B1403" s="56" t="str">
        <f>Transactions!$C1403</f>
        <v/>
      </c>
      <c r="C1403" s="51" t="str">
        <f t="array" ref="C1403">IFERROR(INDEX(Portfolio!$B:$B, MATCH($B1403, Portfolio!$A:$A, 0)),Transactions!$B1403)</f>
        <v/>
      </c>
      <c r="D1403" s="51" t="str">
        <f>IF($B1403&lt;&gt;"",Transactions!$E1403*1,)</f>
        <v/>
      </c>
      <c r="E1403" s="51" t="str">
        <f>IF($B1403&lt;&gt;"",Transactions!$F1403*1,)</f>
        <v/>
      </c>
      <c r="F1403" s="42" t="str">
        <f>IF(Transactions!$G1403&lt;&gt;"",Transactions!$H1403&amp;" "&amp;Transactions!$G1403,)</f>
        <v/>
      </c>
    </row>
    <row r="1404">
      <c r="A1404" s="55" t="str">
        <f>IF(Transactions!$B1404&lt;&gt;"",DATE(LEFT(Transactions!$B1404,4),MID(Transactions!$B1404,6,2),MID(Transactions!$B1404,9,2)),)</f>
        <v/>
      </c>
      <c r="B1404" s="56" t="str">
        <f>Transactions!$C1404</f>
        <v/>
      </c>
      <c r="C1404" s="51" t="str">
        <f t="array" ref="C1404">IFERROR(INDEX(Portfolio!$B:$B, MATCH($B1404, Portfolio!$A:$A, 0)),Transactions!$B1404)</f>
        <v/>
      </c>
      <c r="D1404" s="51" t="str">
        <f>IF($B1404&lt;&gt;"",Transactions!$E1404*1,)</f>
        <v/>
      </c>
      <c r="E1404" s="51" t="str">
        <f>IF($B1404&lt;&gt;"",Transactions!$F1404*1,)</f>
        <v/>
      </c>
      <c r="F1404" s="42" t="str">
        <f>IF(Transactions!$G1404&lt;&gt;"",Transactions!$H1404&amp;" "&amp;Transactions!$G1404,)</f>
        <v/>
      </c>
    </row>
    <row r="1405">
      <c r="A1405" s="55" t="str">
        <f>IF(Transactions!$B1405&lt;&gt;"",DATE(LEFT(Transactions!$B1405,4),MID(Transactions!$B1405,6,2),MID(Transactions!$B1405,9,2)),)</f>
        <v/>
      </c>
      <c r="B1405" s="56" t="str">
        <f>Transactions!$C1405</f>
        <v/>
      </c>
      <c r="C1405" s="51" t="str">
        <f t="array" ref="C1405">IFERROR(INDEX(Portfolio!$B:$B, MATCH($B1405, Portfolio!$A:$A, 0)),Transactions!$B1405)</f>
        <v/>
      </c>
      <c r="D1405" s="51" t="str">
        <f>IF($B1405&lt;&gt;"",Transactions!$E1405*1,)</f>
        <v/>
      </c>
      <c r="E1405" s="51" t="str">
        <f>IF($B1405&lt;&gt;"",Transactions!$F1405*1,)</f>
        <v/>
      </c>
      <c r="F1405" s="42" t="str">
        <f>IF(Transactions!$G1405&lt;&gt;"",Transactions!$H1405&amp;" "&amp;Transactions!$G1405,)</f>
        <v/>
      </c>
    </row>
    <row r="1406">
      <c r="A1406" s="55" t="str">
        <f>IF(Transactions!$B1406&lt;&gt;"",DATE(LEFT(Transactions!$B1406,4),MID(Transactions!$B1406,6,2),MID(Transactions!$B1406,9,2)),)</f>
        <v/>
      </c>
      <c r="B1406" s="56" t="str">
        <f>Transactions!$C1406</f>
        <v/>
      </c>
      <c r="C1406" s="51" t="str">
        <f t="array" ref="C1406">IFERROR(INDEX(Portfolio!$B:$B, MATCH($B1406, Portfolio!$A:$A, 0)),Transactions!$B1406)</f>
        <v/>
      </c>
      <c r="D1406" s="51" t="str">
        <f>IF($B1406&lt;&gt;"",Transactions!$E1406*1,)</f>
        <v/>
      </c>
      <c r="E1406" s="51" t="str">
        <f>IF($B1406&lt;&gt;"",Transactions!$F1406*1,)</f>
        <v/>
      </c>
      <c r="F1406" s="42" t="str">
        <f>IF(Transactions!$G1406&lt;&gt;"",Transactions!$H1406&amp;" "&amp;Transactions!$G1406,)</f>
        <v/>
      </c>
    </row>
    <row r="1407">
      <c r="A1407" s="55" t="str">
        <f>IF(Transactions!$B1407&lt;&gt;"",DATE(LEFT(Transactions!$B1407,4),MID(Transactions!$B1407,6,2),MID(Transactions!$B1407,9,2)),)</f>
        <v/>
      </c>
      <c r="B1407" s="56" t="str">
        <f>Transactions!$C1407</f>
        <v/>
      </c>
      <c r="C1407" s="51" t="str">
        <f t="array" ref="C1407">IFERROR(INDEX(Portfolio!$B:$B, MATCH($B1407, Portfolio!$A:$A, 0)),Transactions!$B1407)</f>
        <v/>
      </c>
      <c r="D1407" s="51" t="str">
        <f>IF($B1407&lt;&gt;"",Transactions!$E1407*1,)</f>
        <v/>
      </c>
      <c r="E1407" s="51" t="str">
        <f>IF($B1407&lt;&gt;"",Transactions!$F1407*1,)</f>
        <v/>
      </c>
      <c r="F1407" s="42" t="str">
        <f>IF(Transactions!$G1407&lt;&gt;"",Transactions!$H1407&amp;" "&amp;Transactions!$G1407,)</f>
        <v/>
      </c>
    </row>
    <row r="1408">
      <c r="A1408" s="55" t="str">
        <f>IF(Transactions!$B1408&lt;&gt;"",DATE(LEFT(Transactions!$B1408,4),MID(Transactions!$B1408,6,2),MID(Transactions!$B1408,9,2)),)</f>
        <v/>
      </c>
      <c r="B1408" s="56" t="str">
        <f>Transactions!$C1408</f>
        <v/>
      </c>
      <c r="C1408" s="51" t="str">
        <f t="array" ref="C1408">IFERROR(INDEX(Portfolio!$B:$B, MATCH($B1408, Portfolio!$A:$A, 0)),Transactions!$B1408)</f>
        <v/>
      </c>
      <c r="D1408" s="51" t="str">
        <f>IF($B1408&lt;&gt;"",Transactions!$E1408*1,)</f>
        <v/>
      </c>
      <c r="E1408" s="51" t="str">
        <f>IF($B1408&lt;&gt;"",Transactions!$F1408*1,)</f>
        <v/>
      </c>
      <c r="F1408" s="42" t="str">
        <f>IF(Transactions!$G1408&lt;&gt;"",Transactions!$H1408&amp;" "&amp;Transactions!$G1408,)</f>
        <v/>
      </c>
    </row>
    <row r="1409">
      <c r="A1409" s="55" t="str">
        <f>IF(Transactions!$B1409&lt;&gt;"",DATE(LEFT(Transactions!$B1409,4),MID(Transactions!$B1409,6,2),MID(Transactions!$B1409,9,2)),)</f>
        <v/>
      </c>
      <c r="B1409" s="56" t="str">
        <f>Transactions!$C1409</f>
        <v/>
      </c>
      <c r="C1409" s="51" t="str">
        <f t="array" ref="C1409">IFERROR(INDEX(Portfolio!$B:$B, MATCH($B1409, Portfolio!$A:$A, 0)),Transactions!$B1409)</f>
        <v/>
      </c>
      <c r="D1409" s="51" t="str">
        <f>IF($B1409&lt;&gt;"",Transactions!$E1409*1,)</f>
        <v/>
      </c>
      <c r="E1409" s="51" t="str">
        <f>IF($B1409&lt;&gt;"",Transactions!$F1409*1,)</f>
        <v/>
      </c>
      <c r="F1409" s="42" t="str">
        <f>IF(Transactions!$G1409&lt;&gt;"",Transactions!$H1409&amp;" "&amp;Transactions!$G1409,)</f>
        <v/>
      </c>
    </row>
    <row r="1410">
      <c r="A1410" s="55" t="str">
        <f>IF(Transactions!$B1410&lt;&gt;"",DATE(LEFT(Transactions!$B1410,4),MID(Transactions!$B1410,6,2),MID(Transactions!$B1410,9,2)),)</f>
        <v/>
      </c>
      <c r="B1410" s="56" t="str">
        <f>Transactions!$C1410</f>
        <v/>
      </c>
      <c r="C1410" s="51" t="str">
        <f t="array" ref="C1410">IFERROR(INDEX(Portfolio!$B:$B, MATCH($B1410, Portfolio!$A:$A, 0)),Transactions!$B1410)</f>
        <v/>
      </c>
      <c r="D1410" s="51" t="str">
        <f>IF($B1410&lt;&gt;"",Transactions!$E1410*1,)</f>
        <v/>
      </c>
      <c r="E1410" s="51" t="str">
        <f>IF($B1410&lt;&gt;"",Transactions!$F1410*1,)</f>
        <v/>
      </c>
      <c r="F1410" s="42" t="str">
        <f>IF(Transactions!$G1410&lt;&gt;"",Transactions!$H1410&amp;" "&amp;Transactions!$G1410,)</f>
        <v/>
      </c>
    </row>
    <row r="1411">
      <c r="A1411" s="55" t="str">
        <f>IF(Transactions!$B1411&lt;&gt;"",DATE(LEFT(Transactions!$B1411,4),MID(Transactions!$B1411,6,2),MID(Transactions!$B1411,9,2)),)</f>
        <v/>
      </c>
      <c r="B1411" s="56" t="str">
        <f>Transactions!$C1411</f>
        <v/>
      </c>
      <c r="C1411" s="51" t="str">
        <f t="array" ref="C1411">IFERROR(INDEX(Portfolio!$B:$B, MATCH($B1411, Portfolio!$A:$A, 0)),Transactions!$B1411)</f>
        <v/>
      </c>
      <c r="D1411" s="51" t="str">
        <f>IF($B1411&lt;&gt;"",Transactions!$E1411*1,)</f>
        <v/>
      </c>
      <c r="E1411" s="51" t="str">
        <f>IF($B1411&lt;&gt;"",Transactions!$F1411*1,)</f>
        <v/>
      </c>
      <c r="F1411" s="42" t="str">
        <f>IF(Transactions!$G1411&lt;&gt;"",Transactions!$H1411&amp;" "&amp;Transactions!$G1411,)</f>
        <v/>
      </c>
    </row>
    <row r="1412">
      <c r="A1412" s="55" t="str">
        <f>IF(Transactions!$B1412&lt;&gt;"",DATE(LEFT(Transactions!$B1412,4),MID(Transactions!$B1412,6,2),MID(Transactions!$B1412,9,2)),)</f>
        <v/>
      </c>
      <c r="B1412" s="56" t="str">
        <f>Transactions!$C1412</f>
        <v/>
      </c>
      <c r="C1412" s="51" t="str">
        <f t="array" ref="C1412">IFERROR(INDEX(Portfolio!$B:$B, MATCH($B1412, Portfolio!$A:$A, 0)),Transactions!$B1412)</f>
        <v/>
      </c>
      <c r="D1412" s="51" t="str">
        <f>IF($B1412&lt;&gt;"",Transactions!$E1412*1,)</f>
        <v/>
      </c>
      <c r="E1412" s="51" t="str">
        <f>IF($B1412&lt;&gt;"",Transactions!$F1412*1,)</f>
        <v/>
      </c>
      <c r="F1412" s="42" t="str">
        <f>IF(Transactions!$G1412&lt;&gt;"",Transactions!$H1412&amp;" "&amp;Transactions!$G1412,)</f>
        <v/>
      </c>
    </row>
    <row r="1413">
      <c r="A1413" s="55" t="str">
        <f>IF(Transactions!$B1413&lt;&gt;"",DATE(LEFT(Transactions!$B1413,4),MID(Transactions!$B1413,6,2),MID(Transactions!$B1413,9,2)),)</f>
        <v/>
      </c>
      <c r="B1413" s="56" t="str">
        <f>Transactions!$C1413</f>
        <v/>
      </c>
      <c r="C1413" s="51" t="str">
        <f t="array" ref="C1413">IFERROR(INDEX(Portfolio!$B:$B, MATCH($B1413, Portfolio!$A:$A, 0)),Transactions!$B1413)</f>
        <v/>
      </c>
      <c r="D1413" s="51" t="str">
        <f>IF($B1413&lt;&gt;"",Transactions!$E1413*1,)</f>
        <v/>
      </c>
      <c r="E1413" s="51" t="str">
        <f>IF($B1413&lt;&gt;"",Transactions!$F1413*1,)</f>
        <v/>
      </c>
      <c r="F1413" s="42" t="str">
        <f>IF(Transactions!$G1413&lt;&gt;"",Transactions!$H1413&amp;" "&amp;Transactions!$G1413,)</f>
        <v/>
      </c>
    </row>
    <row r="1414">
      <c r="A1414" s="55" t="str">
        <f>IF(Transactions!$B1414&lt;&gt;"",DATE(LEFT(Transactions!$B1414,4),MID(Transactions!$B1414,6,2),MID(Transactions!$B1414,9,2)),)</f>
        <v/>
      </c>
      <c r="B1414" s="56" t="str">
        <f>Transactions!$C1414</f>
        <v/>
      </c>
      <c r="C1414" s="51" t="str">
        <f t="array" ref="C1414">IFERROR(INDEX(Portfolio!$B:$B, MATCH($B1414, Portfolio!$A:$A, 0)),Transactions!$B1414)</f>
        <v/>
      </c>
      <c r="D1414" s="51" t="str">
        <f>IF($B1414&lt;&gt;"",Transactions!$E1414*1,)</f>
        <v/>
      </c>
      <c r="E1414" s="51" t="str">
        <f>IF($B1414&lt;&gt;"",Transactions!$F1414*1,)</f>
        <v/>
      </c>
      <c r="F1414" s="42" t="str">
        <f>IF(Transactions!$G1414&lt;&gt;"",Transactions!$H1414&amp;" "&amp;Transactions!$G1414,)</f>
        <v/>
      </c>
    </row>
    <row r="1415">
      <c r="A1415" s="55" t="str">
        <f>IF(Transactions!$B1415&lt;&gt;"",DATE(LEFT(Transactions!$B1415,4),MID(Transactions!$B1415,6,2),MID(Transactions!$B1415,9,2)),)</f>
        <v/>
      </c>
      <c r="B1415" s="56" t="str">
        <f>Transactions!$C1415</f>
        <v/>
      </c>
      <c r="C1415" s="51" t="str">
        <f t="array" ref="C1415">IFERROR(INDEX(Portfolio!$B:$B, MATCH($B1415, Portfolio!$A:$A, 0)),Transactions!$B1415)</f>
        <v/>
      </c>
      <c r="D1415" s="51" t="str">
        <f>IF($B1415&lt;&gt;"",Transactions!$E1415*1,)</f>
        <v/>
      </c>
      <c r="E1415" s="51" t="str">
        <f>IF($B1415&lt;&gt;"",Transactions!$F1415*1,)</f>
        <v/>
      </c>
      <c r="F1415" s="42" t="str">
        <f>IF(Transactions!$G1415&lt;&gt;"",Transactions!$H1415&amp;" "&amp;Transactions!$G1415,)</f>
        <v/>
      </c>
    </row>
    <row r="1416">
      <c r="A1416" s="55" t="str">
        <f>IF(Transactions!$B1416&lt;&gt;"",DATE(LEFT(Transactions!$B1416,4),MID(Transactions!$B1416,6,2),MID(Transactions!$B1416,9,2)),)</f>
        <v/>
      </c>
      <c r="B1416" s="56" t="str">
        <f>Transactions!$C1416</f>
        <v/>
      </c>
      <c r="C1416" s="51" t="str">
        <f t="array" ref="C1416">IFERROR(INDEX(Portfolio!$B:$B, MATCH($B1416, Portfolio!$A:$A, 0)),Transactions!$B1416)</f>
        <v/>
      </c>
      <c r="D1416" s="51" t="str">
        <f>IF($B1416&lt;&gt;"",Transactions!$E1416*1,)</f>
        <v/>
      </c>
      <c r="E1416" s="51" t="str">
        <f>IF($B1416&lt;&gt;"",Transactions!$F1416*1,)</f>
        <v/>
      </c>
      <c r="F1416" s="42" t="str">
        <f>IF(Transactions!$G1416&lt;&gt;"",Transactions!$H1416&amp;" "&amp;Transactions!$G1416,)</f>
        <v/>
      </c>
    </row>
    <row r="1417">
      <c r="A1417" s="55" t="str">
        <f>IF(Transactions!$B1417&lt;&gt;"",DATE(LEFT(Transactions!$B1417,4),MID(Transactions!$B1417,6,2),MID(Transactions!$B1417,9,2)),)</f>
        <v/>
      </c>
      <c r="B1417" s="56" t="str">
        <f>Transactions!$C1417</f>
        <v/>
      </c>
      <c r="C1417" s="51" t="str">
        <f t="array" ref="C1417">IFERROR(INDEX(Portfolio!$B:$B, MATCH($B1417, Portfolio!$A:$A, 0)),Transactions!$B1417)</f>
        <v/>
      </c>
      <c r="D1417" s="51" t="str">
        <f>IF($B1417&lt;&gt;"",Transactions!$E1417*1,)</f>
        <v/>
      </c>
      <c r="E1417" s="51" t="str">
        <f>IF($B1417&lt;&gt;"",Transactions!$F1417*1,)</f>
        <v/>
      </c>
      <c r="F1417" s="42" t="str">
        <f>IF(Transactions!$G1417&lt;&gt;"",Transactions!$H1417&amp;" "&amp;Transactions!$G1417,)</f>
        <v/>
      </c>
    </row>
    <row r="1418">
      <c r="A1418" s="55" t="str">
        <f>IF(Transactions!$B1418&lt;&gt;"",DATE(LEFT(Transactions!$B1418,4),MID(Transactions!$B1418,6,2),MID(Transactions!$B1418,9,2)),)</f>
        <v/>
      </c>
      <c r="B1418" s="56" t="str">
        <f>Transactions!$C1418</f>
        <v/>
      </c>
      <c r="C1418" s="51" t="str">
        <f t="array" ref="C1418">IFERROR(INDEX(Portfolio!$B:$B, MATCH($B1418, Portfolio!$A:$A, 0)),Transactions!$B1418)</f>
        <v/>
      </c>
      <c r="D1418" s="51" t="str">
        <f>IF($B1418&lt;&gt;"",Transactions!$E1418*1,)</f>
        <v/>
      </c>
      <c r="E1418" s="51" t="str">
        <f>IF($B1418&lt;&gt;"",Transactions!$F1418*1,)</f>
        <v/>
      </c>
      <c r="F1418" s="42" t="str">
        <f>IF(Transactions!$G1418&lt;&gt;"",Transactions!$H1418&amp;" "&amp;Transactions!$G1418,)</f>
        <v/>
      </c>
    </row>
    <row r="1419">
      <c r="A1419" s="55" t="str">
        <f>IF(Transactions!$B1419&lt;&gt;"",DATE(LEFT(Transactions!$B1419,4),MID(Transactions!$B1419,6,2),MID(Transactions!$B1419,9,2)),)</f>
        <v/>
      </c>
      <c r="B1419" s="56" t="str">
        <f>Transactions!$C1419</f>
        <v/>
      </c>
      <c r="C1419" s="51" t="str">
        <f t="array" ref="C1419">IFERROR(INDEX(Portfolio!$B:$B, MATCH($B1419, Portfolio!$A:$A, 0)),Transactions!$B1419)</f>
        <v/>
      </c>
      <c r="D1419" s="51" t="str">
        <f>IF($B1419&lt;&gt;"",Transactions!$E1419*1,)</f>
        <v/>
      </c>
      <c r="E1419" s="51" t="str">
        <f>IF($B1419&lt;&gt;"",Transactions!$F1419*1,)</f>
        <v/>
      </c>
      <c r="F1419" s="42" t="str">
        <f>IF(Transactions!$G1419&lt;&gt;"",Transactions!$H1419&amp;" "&amp;Transactions!$G1419,)</f>
        <v/>
      </c>
    </row>
    <row r="1420">
      <c r="A1420" s="55" t="str">
        <f>IF(Transactions!$B1420&lt;&gt;"",DATE(LEFT(Transactions!$B1420,4),MID(Transactions!$B1420,6,2),MID(Transactions!$B1420,9,2)),)</f>
        <v/>
      </c>
      <c r="B1420" s="56" t="str">
        <f>Transactions!$C1420</f>
        <v/>
      </c>
      <c r="C1420" s="51" t="str">
        <f t="array" ref="C1420">IFERROR(INDEX(Portfolio!$B:$B, MATCH($B1420, Portfolio!$A:$A, 0)),Transactions!$B1420)</f>
        <v/>
      </c>
      <c r="D1420" s="51" t="str">
        <f>IF($B1420&lt;&gt;"",Transactions!$E1420*1,)</f>
        <v/>
      </c>
      <c r="E1420" s="51" t="str">
        <f>IF($B1420&lt;&gt;"",Transactions!$F1420*1,)</f>
        <v/>
      </c>
      <c r="F1420" s="42" t="str">
        <f>IF(Transactions!$G1420&lt;&gt;"",Transactions!$H1420&amp;" "&amp;Transactions!$G1420,)</f>
        <v/>
      </c>
    </row>
    <row r="1421">
      <c r="A1421" s="55" t="str">
        <f>IF(Transactions!$B1421&lt;&gt;"",DATE(LEFT(Transactions!$B1421,4),MID(Transactions!$B1421,6,2),MID(Transactions!$B1421,9,2)),)</f>
        <v/>
      </c>
      <c r="B1421" s="56" t="str">
        <f>Transactions!$C1421</f>
        <v/>
      </c>
      <c r="C1421" s="51" t="str">
        <f t="array" ref="C1421">IFERROR(INDEX(Portfolio!$B:$B, MATCH($B1421, Portfolio!$A:$A, 0)),Transactions!$B1421)</f>
        <v/>
      </c>
      <c r="D1421" s="51" t="str">
        <f>IF($B1421&lt;&gt;"",Transactions!$E1421*1,)</f>
        <v/>
      </c>
      <c r="E1421" s="51" t="str">
        <f>IF($B1421&lt;&gt;"",Transactions!$F1421*1,)</f>
        <v/>
      </c>
      <c r="F1421" s="42" t="str">
        <f>IF(Transactions!$G1421&lt;&gt;"",Transactions!$H1421&amp;" "&amp;Transactions!$G1421,)</f>
        <v/>
      </c>
    </row>
    <row r="1422">
      <c r="A1422" s="55" t="str">
        <f>IF(Transactions!$B1422&lt;&gt;"",DATE(LEFT(Transactions!$B1422,4),MID(Transactions!$B1422,6,2),MID(Transactions!$B1422,9,2)),)</f>
        <v/>
      </c>
      <c r="B1422" s="56" t="str">
        <f>Transactions!$C1422</f>
        <v/>
      </c>
      <c r="C1422" s="51" t="str">
        <f t="array" ref="C1422">IFERROR(INDEX(Portfolio!$B:$B, MATCH($B1422, Portfolio!$A:$A, 0)),Transactions!$B1422)</f>
        <v/>
      </c>
      <c r="D1422" s="51" t="str">
        <f>IF($B1422&lt;&gt;"",Transactions!$E1422*1,)</f>
        <v/>
      </c>
      <c r="E1422" s="51" t="str">
        <f>IF($B1422&lt;&gt;"",Transactions!$F1422*1,)</f>
        <v/>
      </c>
      <c r="F1422" s="42" t="str">
        <f>IF(Transactions!$G1422&lt;&gt;"",Transactions!$H1422&amp;" "&amp;Transactions!$G1422,)</f>
        <v/>
      </c>
    </row>
    <row r="1423">
      <c r="A1423" s="55" t="str">
        <f>IF(Transactions!$B1423&lt;&gt;"",DATE(LEFT(Transactions!$B1423,4),MID(Transactions!$B1423,6,2),MID(Transactions!$B1423,9,2)),)</f>
        <v/>
      </c>
      <c r="B1423" s="56" t="str">
        <f>Transactions!$C1423</f>
        <v/>
      </c>
      <c r="C1423" s="51" t="str">
        <f t="array" ref="C1423">IFERROR(INDEX(Portfolio!$B:$B, MATCH($B1423, Portfolio!$A:$A, 0)),Transactions!$B1423)</f>
        <v/>
      </c>
      <c r="D1423" s="51" t="str">
        <f>IF($B1423&lt;&gt;"",Transactions!$E1423*1,)</f>
        <v/>
      </c>
      <c r="E1423" s="51" t="str">
        <f>IF($B1423&lt;&gt;"",Transactions!$F1423*1,)</f>
        <v/>
      </c>
      <c r="F1423" s="42" t="str">
        <f>IF(Transactions!$G1423&lt;&gt;"",Transactions!$H1423&amp;" "&amp;Transactions!$G1423,)</f>
        <v/>
      </c>
    </row>
    <row r="1424">
      <c r="A1424" s="55" t="str">
        <f>IF(Transactions!$B1424&lt;&gt;"",DATE(LEFT(Transactions!$B1424,4),MID(Transactions!$B1424,6,2),MID(Transactions!$B1424,9,2)),)</f>
        <v/>
      </c>
      <c r="B1424" s="56" t="str">
        <f>Transactions!$C1424</f>
        <v/>
      </c>
      <c r="C1424" s="51" t="str">
        <f t="array" ref="C1424">IFERROR(INDEX(Portfolio!$B:$B, MATCH($B1424, Portfolio!$A:$A, 0)),Transactions!$B1424)</f>
        <v/>
      </c>
      <c r="D1424" s="51" t="str">
        <f>IF($B1424&lt;&gt;"",Transactions!$E1424*1,)</f>
        <v/>
      </c>
      <c r="E1424" s="51" t="str">
        <f>IF($B1424&lt;&gt;"",Transactions!$F1424*1,)</f>
        <v/>
      </c>
      <c r="F1424" s="42" t="str">
        <f>IF(Transactions!$G1424&lt;&gt;"",Transactions!$H1424&amp;" "&amp;Transactions!$G1424,)</f>
        <v/>
      </c>
    </row>
    <row r="1425">
      <c r="A1425" s="55" t="str">
        <f>IF(Transactions!$B1425&lt;&gt;"",DATE(LEFT(Transactions!$B1425,4),MID(Transactions!$B1425,6,2),MID(Transactions!$B1425,9,2)),)</f>
        <v/>
      </c>
      <c r="B1425" s="56" t="str">
        <f>Transactions!$C1425</f>
        <v/>
      </c>
      <c r="C1425" s="51" t="str">
        <f t="array" ref="C1425">IFERROR(INDEX(Portfolio!$B:$B, MATCH($B1425, Portfolio!$A:$A, 0)),Transactions!$B1425)</f>
        <v/>
      </c>
      <c r="D1425" s="51" t="str">
        <f>IF($B1425&lt;&gt;"",Transactions!$E1425*1,)</f>
        <v/>
      </c>
      <c r="E1425" s="51" t="str">
        <f>IF($B1425&lt;&gt;"",Transactions!$F1425*1,)</f>
        <v/>
      </c>
      <c r="F1425" s="42" t="str">
        <f>IF(Transactions!$G1425&lt;&gt;"",Transactions!$H1425&amp;" "&amp;Transactions!$G1425,)</f>
        <v/>
      </c>
    </row>
    <row r="1426">
      <c r="A1426" s="55" t="str">
        <f>IF(Transactions!$B1426&lt;&gt;"",DATE(LEFT(Transactions!$B1426,4),MID(Transactions!$B1426,6,2),MID(Transactions!$B1426,9,2)),)</f>
        <v/>
      </c>
      <c r="B1426" s="56" t="str">
        <f>Transactions!$C1426</f>
        <v/>
      </c>
      <c r="C1426" s="51" t="str">
        <f t="array" ref="C1426">IFERROR(INDEX(Portfolio!$B:$B, MATCH($B1426, Portfolio!$A:$A, 0)),Transactions!$B1426)</f>
        <v/>
      </c>
      <c r="D1426" s="51" t="str">
        <f>IF($B1426&lt;&gt;"",Transactions!$E1426*1,)</f>
        <v/>
      </c>
      <c r="E1426" s="51" t="str">
        <f>IF($B1426&lt;&gt;"",Transactions!$F1426*1,)</f>
        <v/>
      </c>
      <c r="F1426" s="42" t="str">
        <f>IF(Transactions!$G1426&lt;&gt;"",Transactions!$H1426&amp;" "&amp;Transactions!$G1426,)</f>
        <v/>
      </c>
    </row>
    <row r="1427">
      <c r="A1427" s="55" t="str">
        <f>IF(Transactions!$B1427&lt;&gt;"",DATE(LEFT(Transactions!$B1427,4),MID(Transactions!$B1427,6,2),MID(Transactions!$B1427,9,2)),)</f>
        <v/>
      </c>
      <c r="B1427" s="56" t="str">
        <f>Transactions!$C1427</f>
        <v/>
      </c>
      <c r="C1427" s="51" t="str">
        <f t="array" ref="C1427">IFERROR(INDEX(Portfolio!$B:$B, MATCH($B1427, Portfolio!$A:$A, 0)),Transactions!$B1427)</f>
        <v/>
      </c>
      <c r="D1427" s="51" t="str">
        <f>IF($B1427&lt;&gt;"",Transactions!$E1427*1,)</f>
        <v/>
      </c>
      <c r="E1427" s="51" t="str">
        <f>IF($B1427&lt;&gt;"",Transactions!$F1427*1,)</f>
        <v/>
      </c>
      <c r="F1427" s="42" t="str">
        <f>IF(Transactions!$G1427&lt;&gt;"",Transactions!$H1427&amp;" "&amp;Transactions!$G1427,)</f>
        <v/>
      </c>
    </row>
    <row r="1428">
      <c r="A1428" s="55" t="str">
        <f>IF(Transactions!$B1428&lt;&gt;"",DATE(LEFT(Transactions!$B1428,4),MID(Transactions!$B1428,6,2),MID(Transactions!$B1428,9,2)),)</f>
        <v/>
      </c>
      <c r="B1428" s="56" t="str">
        <f>Transactions!$C1428</f>
        <v/>
      </c>
      <c r="C1428" s="51" t="str">
        <f t="array" ref="C1428">IFERROR(INDEX(Portfolio!$B:$B, MATCH($B1428, Portfolio!$A:$A, 0)),Transactions!$B1428)</f>
        <v/>
      </c>
      <c r="D1428" s="51" t="str">
        <f>IF($B1428&lt;&gt;"",Transactions!$E1428*1,)</f>
        <v/>
      </c>
      <c r="E1428" s="51" t="str">
        <f>IF($B1428&lt;&gt;"",Transactions!$F1428*1,)</f>
        <v/>
      </c>
      <c r="F1428" s="42" t="str">
        <f>IF(Transactions!$G1428&lt;&gt;"",Transactions!$H1428&amp;" "&amp;Transactions!$G1428,)</f>
        <v/>
      </c>
    </row>
    <row r="1429">
      <c r="A1429" s="55" t="str">
        <f>IF(Transactions!$B1429&lt;&gt;"",DATE(LEFT(Transactions!$B1429,4),MID(Transactions!$B1429,6,2),MID(Transactions!$B1429,9,2)),)</f>
        <v/>
      </c>
      <c r="B1429" s="56" t="str">
        <f>Transactions!$C1429</f>
        <v/>
      </c>
      <c r="C1429" s="51" t="str">
        <f t="array" ref="C1429">IFERROR(INDEX(Portfolio!$B:$B, MATCH($B1429, Portfolio!$A:$A, 0)),Transactions!$B1429)</f>
        <v/>
      </c>
      <c r="D1429" s="51" t="str">
        <f>IF($B1429&lt;&gt;"",Transactions!$E1429*1,)</f>
        <v/>
      </c>
      <c r="E1429" s="51" t="str">
        <f>IF($B1429&lt;&gt;"",Transactions!$F1429*1,)</f>
        <v/>
      </c>
      <c r="F1429" s="42" t="str">
        <f>IF(Transactions!$G1429&lt;&gt;"",Transactions!$H1429&amp;" "&amp;Transactions!$G1429,)</f>
        <v/>
      </c>
    </row>
    <row r="1430">
      <c r="A1430" s="55" t="str">
        <f>IF(Transactions!$B1430&lt;&gt;"",DATE(LEFT(Transactions!$B1430,4),MID(Transactions!$B1430,6,2),MID(Transactions!$B1430,9,2)),)</f>
        <v/>
      </c>
      <c r="B1430" s="56" t="str">
        <f>Transactions!$C1430</f>
        <v/>
      </c>
      <c r="C1430" s="51" t="str">
        <f t="array" ref="C1430">IFERROR(INDEX(Portfolio!$B:$B, MATCH($B1430, Portfolio!$A:$A, 0)),Transactions!$B1430)</f>
        <v/>
      </c>
      <c r="D1430" s="51" t="str">
        <f>IF($B1430&lt;&gt;"",Transactions!$E1430*1,)</f>
        <v/>
      </c>
      <c r="E1430" s="51" t="str">
        <f>IF($B1430&lt;&gt;"",Transactions!$F1430*1,)</f>
        <v/>
      </c>
      <c r="F1430" s="42" t="str">
        <f>IF(Transactions!$G1430&lt;&gt;"",Transactions!$H1430&amp;" "&amp;Transactions!$G1430,)</f>
        <v/>
      </c>
    </row>
    <row r="1431">
      <c r="A1431" s="55" t="str">
        <f>IF(Transactions!$B1431&lt;&gt;"",DATE(LEFT(Transactions!$B1431,4),MID(Transactions!$B1431,6,2),MID(Transactions!$B1431,9,2)),)</f>
        <v/>
      </c>
      <c r="B1431" s="56" t="str">
        <f>Transactions!$C1431</f>
        <v/>
      </c>
      <c r="C1431" s="51" t="str">
        <f t="array" ref="C1431">IFERROR(INDEX(Portfolio!$B:$B, MATCH($B1431, Portfolio!$A:$A, 0)),Transactions!$B1431)</f>
        <v/>
      </c>
      <c r="D1431" s="51" t="str">
        <f>IF($B1431&lt;&gt;"",Transactions!$E1431*1,)</f>
        <v/>
      </c>
      <c r="E1431" s="51" t="str">
        <f>IF($B1431&lt;&gt;"",Transactions!$F1431*1,)</f>
        <v/>
      </c>
      <c r="F1431" s="42" t="str">
        <f>IF(Transactions!$G1431&lt;&gt;"",Transactions!$H1431&amp;" "&amp;Transactions!$G1431,)</f>
        <v/>
      </c>
    </row>
    <row r="1432">
      <c r="A1432" s="55" t="str">
        <f>IF(Transactions!$B1432&lt;&gt;"",DATE(LEFT(Transactions!$B1432,4),MID(Transactions!$B1432,6,2),MID(Transactions!$B1432,9,2)),)</f>
        <v/>
      </c>
      <c r="B1432" s="56" t="str">
        <f>Transactions!$C1432</f>
        <v/>
      </c>
      <c r="C1432" s="51" t="str">
        <f t="array" ref="C1432">IFERROR(INDEX(Portfolio!$B:$B, MATCH($B1432, Portfolio!$A:$A, 0)),Transactions!$B1432)</f>
        <v/>
      </c>
      <c r="D1432" s="51" t="str">
        <f>IF($B1432&lt;&gt;"",Transactions!$E1432*1,)</f>
        <v/>
      </c>
      <c r="E1432" s="51" t="str">
        <f>IF($B1432&lt;&gt;"",Transactions!$F1432*1,)</f>
        <v/>
      </c>
      <c r="F1432" s="42" t="str">
        <f>IF(Transactions!$G1432&lt;&gt;"",Transactions!$H1432&amp;" "&amp;Transactions!$G1432,)</f>
        <v/>
      </c>
    </row>
    <row r="1433">
      <c r="A1433" s="55" t="str">
        <f>IF(Transactions!$B1433&lt;&gt;"",DATE(LEFT(Transactions!$B1433,4),MID(Transactions!$B1433,6,2),MID(Transactions!$B1433,9,2)),)</f>
        <v/>
      </c>
      <c r="B1433" s="56" t="str">
        <f>Transactions!$C1433</f>
        <v/>
      </c>
      <c r="C1433" s="51" t="str">
        <f t="array" ref="C1433">IFERROR(INDEX(Portfolio!$B:$B, MATCH($B1433, Portfolio!$A:$A, 0)),Transactions!$B1433)</f>
        <v/>
      </c>
      <c r="D1433" s="51" t="str">
        <f>IF($B1433&lt;&gt;"",Transactions!$E1433*1,)</f>
        <v/>
      </c>
      <c r="E1433" s="51" t="str">
        <f>IF($B1433&lt;&gt;"",Transactions!$F1433*1,)</f>
        <v/>
      </c>
      <c r="F1433" s="42" t="str">
        <f>IF(Transactions!$G1433&lt;&gt;"",Transactions!$H1433&amp;" "&amp;Transactions!$G1433,)</f>
        <v/>
      </c>
    </row>
    <row r="1434">
      <c r="A1434" s="55" t="str">
        <f>IF(Transactions!$B1434&lt;&gt;"",DATE(LEFT(Transactions!$B1434,4),MID(Transactions!$B1434,6,2),MID(Transactions!$B1434,9,2)),)</f>
        <v/>
      </c>
      <c r="B1434" s="56" t="str">
        <f>Transactions!$C1434</f>
        <v/>
      </c>
      <c r="C1434" s="51" t="str">
        <f t="array" ref="C1434">IFERROR(INDEX(Portfolio!$B:$B, MATCH($B1434, Portfolio!$A:$A, 0)),Transactions!$B1434)</f>
        <v/>
      </c>
      <c r="D1434" s="51" t="str">
        <f>IF($B1434&lt;&gt;"",Transactions!$E1434*1,)</f>
        <v/>
      </c>
      <c r="E1434" s="51" t="str">
        <f>IF($B1434&lt;&gt;"",Transactions!$F1434*1,)</f>
        <v/>
      </c>
      <c r="F1434" s="42" t="str">
        <f>IF(Transactions!$G1434&lt;&gt;"",Transactions!$H1434&amp;" "&amp;Transactions!$G1434,)</f>
        <v/>
      </c>
    </row>
    <row r="1435">
      <c r="A1435" s="55" t="str">
        <f>IF(Transactions!$B1435&lt;&gt;"",DATE(LEFT(Transactions!$B1435,4),MID(Transactions!$B1435,6,2),MID(Transactions!$B1435,9,2)),)</f>
        <v/>
      </c>
      <c r="B1435" s="56" t="str">
        <f>Transactions!$C1435</f>
        <v/>
      </c>
      <c r="C1435" s="51" t="str">
        <f t="array" ref="C1435">IFERROR(INDEX(Portfolio!$B:$B, MATCH($B1435, Portfolio!$A:$A, 0)),Transactions!$B1435)</f>
        <v/>
      </c>
      <c r="D1435" s="51" t="str">
        <f>IF($B1435&lt;&gt;"",Transactions!$E1435*1,)</f>
        <v/>
      </c>
      <c r="E1435" s="51" t="str">
        <f>IF($B1435&lt;&gt;"",Transactions!$F1435*1,)</f>
        <v/>
      </c>
      <c r="F1435" s="42" t="str">
        <f>IF(Transactions!$G1435&lt;&gt;"",Transactions!$H1435&amp;" "&amp;Transactions!$G1435,)</f>
        <v/>
      </c>
    </row>
    <row r="1436">
      <c r="A1436" s="55" t="str">
        <f>IF(Transactions!$B1436&lt;&gt;"",DATE(LEFT(Transactions!$B1436,4),MID(Transactions!$B1436,6,2),MID(Transactions!$B1436,9,2)),)</f>
        <v/>
      </c>
      <c r="B1436" s="56" t="str">
        <f>Transactions!$C1436</f>
        <v/>
      </c>
      <c r="C1436" s="51" t="str">
        <f t="array" ref="C1436">IFERROR(INDEX(Portfolio!$B:$B, MATCH($B1436, Portfolio!$A:$A, 0)),Transactions!$B1436)</f>
        <v/>
      </c>
      <c r="D1436" s="51" t="str">
        <f>IF($B1436&lt;&gt;"",Transactions!$E1436*1,)</f>
        <v/>
      </c>
      <c r="E1436" s="51" t="str">
        <f>IF($B1436&lt;&gt;"",Transactions!$F1436*1,)</f>
        <v/>
      </c>
      <c r="F1436" s="42" t="str">
        <f>IF(Transactions!$G1436&lt;&gt;"",Transactions!$H1436&amp;" "&amp;Transactions!$G1436,)</f>
        <v/>
      </c>
    </row>
    <row r="1437">
      <c r="A1437" s="55" t="str">
        <f>IF(Transactions!$B1437&lt;&gt;"",DATE(LEFT(Transactions!$B1437,4),MID(Transactions!$B1437,6,2),MID(Transactions!$B1437,9,2)),)</f>
        <v/>
      </c>
      <c r="B1437" s="56" t="str">
        <f>Transactions!$C1437</f>
        <v/>
      </c>
      <c r="C1437" s="51" t="str">
        <f t="array" ref="C1437">IFERROR(INDEX(Portfolio!$B:$B, MATCH($B1437, Portfolio!$A:$A, 0)),Transactions!$B1437)</f>
        <v/>
      </c>
      <c r="D1437" s="51" t="str">
        <f>IF($B1437&lt;&gt;"",Transactions!$E1437*1,)</f>
        <v/>
      </c>
      <c r="E1437" s="51" t="str">
        <f>IF($B1437&lt;&gt;"",Transactions!$F1437*1,)</f>
        <v/>
      </c>
      <c r="F1437" s="42" t="str">
        <f>IF(Transactions!$G1437&lt;&gt;"",Transactions!$H1437&amp;" "&amp;Transactions!$G1437,)</f>
        <v/>
      </c>
    </row>
    <row r="1438">
      <c r="A1438" s="55" t="str">
        <f>IF(Transactions!$B1438&lt;&gt;"",DATE(LEFT(Transactions!$B1438,4),MID(Transactions!$B1438,6,2),MID(Transactions!$B1438,9,2)),)</f>
        <v/>
      </c>
      <c r="B1438" s="56" t="str">
        <f>Transactions!$C1438</f>
        <v/>
      </c>
      <c r="C1438" s="51" t="str">
        <f t="array" ref="C1438">IFERROR(INDEX(Portfolio!$B:$B, MATCH($B1438, Portfolio!$A:$A, 0)),Transactions!$B1438)</f>
        <v/>
      </c>
      <c r="D1438" s="51" t="str">
        <f>IF($B1438&lt;&gt;"",Transactions!$E1438*1,)</f>
        <v/>
      </c>
      <c r="E1438" s="51" t="str">
        <f>IF($B1438&lt;&gt;"",Transactions!$F1438*1,)</f>
        <v/>
      </c>
      <c r="F1438" s="42" t="str">
        <f>IF(Transactions!$G1438&lt;&gt;"",Transactions!$H1438&amp;" "&amp;Transactions!$G1438,)</f>
        <v/>
      </c>
    </row>
    <row r="1439">
      <c r="A1439" s="55" t="str">
        <f>IF(Transactions!$B1439&lt;&gt;"",DATE(LEFT(Transactions!$B1439,4),MID(Transactions!$B1439,6,2),MID(Transactions!$B1439,9,2)),)</f>
        <v/>
      </c>
      <c r="B1439" s="56" t="str">
        <f>Transactions!$C1439</f>
        <v/>
      </c>
      <c r="C1439" s="51" t="str">
        <f t="array" ref="C1439">IFERROR(INDEX(Portfolio!$B:$B, MATCH($B1439, Portfolio!$A:$A, 0)),Transactions!$B1439)</f>
        <v/>
      </c>
      <c r="D1439" s="51" t="str">
        <f>IF($B1439&lt;&gt;"",Transactions!$E1439*1,)</f>
        <v/>
      </c>
      <c r="E1439" s="51" t="str">
        <f>IF($B1439&lt;&gt;"",Transactions!$F1439*1,)</f>
        <v/>
      </c>
      <c r="F1439" s="42" t="str">
        <f>IF(Transactions!$G1439&lt;&gt;"",Transactions!$H1439&amp;" "&amp;Transactions!$G1439,)</f>
        <v/>
      </c>
    </row>
    <row r="1440">
      <c r="A1440" s="55" t="str">
        <f>IF(Transactions!$B1440&lt;&gt;"",DATE(LEFT(Transactions!$B1440,4),MID(Transactions!$B1440,6,2),MID(Transactions!$B1440,9,2)),)</f>
        <v/>
      </c>
      <c r="B1440" s="56" t="str">
        <f>Transactions!$C1440</f>
        <v/>
      </c>
      <c r="C1440" s="51" t="str">
        <f t="array" ref="C1440">IFERROR(INDEX(Portfolio!$B:$B, MATCH($B1440, Portfolio!$A:$A, 0)),Transactions!$B1440)</f>
        <v/>
      </c>
      <c r="D1440" s="51" t="str">
        <f>IF($B1440&lt;&gt;"",Transactions!$E1440*1,)</f>
        <v/>
      </c>
      <c r="E1440" s="51" t="str">
        <f>IF($B1440&lt;&gt;"",Transactions!$F1440*1,)</f>
        <v/>
      </c>
      <c r="F1440" s="42" t="str">
        <f>IF(Transactions!$G1440&lt;&gt;"",Transactions!$H1440&amp;" "&amp;Transactions!$G1440,)</f>
        <v/>
      </c>
    </row>
    <row r="1441">
      <c r="A1441" s="55" t="str">
        <f>IF(Transactions!$B1441&lt;&gt;"",DATE(LEFT(Transactions!$B1441,4),MID(Transactions!$B1441,6,2),MID(Transactions!$B1441,9,2)),)</f>
        <v/>
      </c>
      <c r="B1441" s="56" t="str">
        <f>Transactions!$C1441</f>
        <v/>
      </c>
      <c r="C1441" s="51" t="str">
        <f t="array" ref="C1441">IFERROR(INDEX(Portfolio!$B:$B, MATCH($B1441, Portfolio!$A:$A, 0)),Transactions!$B1441)</f>
        <v/>
      </c>
      <c r="D1441" s="51" t="str">
        <f>IF($B1441&lt;&gt;"",Transactions!$E1441*1,)</f>
        <v/>
      </c>
      <c r="E1441" s="51" t="str">
        <f>IF($B1441&lt;&gt;"",Transactions!$F1441*1,)</f>
        <v/>
      </c>
      <c r="F1441" s="42" t="str">
        <f>IF(Transactions!$G1441&lt;&gt;"",Transactions!$H1441&amp;" "&amp;Transactions!$G1441,)</f>
        <v/>
      </c>
    </row>
    <row r="1442">
      <c r="A1442" s="55" t="str">
        <f>IF(Transactions!$B1442&lt;&gt;"",DATE(LEFT(Transactions!$B1442,4),MID(Transactions!$B1442,6,2),MID(Transactions!$B1442,9,2)),)</f>
        <v/>
      </c>
      <c r="B1442" s="56" t="str">
        <f>Transactions!$C1442</f>
        <v/>
      </c>
      <c r="C1442" s="51" t="str">
        <f t="array" ref="C1442">IFERROR(INDEX(Portfolio!$B:$B, MATCH($B1442, Portfolio!$A:$A, 0)),Transactions!$B1442)</f>
        <v/>
      </c>
      <c r="D1442" s="51" t="str">
        <f>IF($B1442&lt;&gt;"",Transactions!$E1442*1,)</f>
        <v/>
      </c>
      <c r="E1442" s="51" t="str">
        <f>IF($B1442&lt;&gt;"",Transactions!$F1442*1,)</f>
        <v/>
      </c>
      <c r="F1442" s="42" t="str">
        <f>IF(Transactions!$G1442&lt;&gt;"",Transactions!$H1442&amp;" "&amp;Transactions!$G1442,)</f>
        <v/>
      </c>
    </row>
    <row r="1443">
      <c r="A1443" s="55" t="str">
        <f>IF(Transactions!$B1443&lt;&gt;"",DATE(LEFT(Transactions!$B1443,4),MID(Transactions!$B1443,6,2),MID(Transactions!$B1443,9,2)),)</f>
        <v/>
      </c>
      <c r="B1443" s="56" t="str">
        <f>Transactions!$C1443</f>
        <v/>
      </c>
      <c r="C1443" s="51" t="str">
        <f t="array" ref="C1443">IFERROR(INDEX(Portfolio!$B:$B, MATCH($B1443, Portfolio!$A:$A, 0)),Transactions!$B1443)</f>
        <v/>
      </c>
      <c r="D1443" s="51" t="str">
        <f>IF($B1443&lt;&gt;"",Transactions!$E1443*1,)</f>
        <v/>
      </c>
      <c r="E1443" s="51" t="str">
        <f>IF($B1443&lt;&gt;"",Transactions!$F1443*1,)</f>
        <v/>
      </c>
      <c r="F1443" s="42" t="str">
        <f>IF(Transactions!$G1443&lt;&gt;"",Transactions!$H1443&amp;" "&amp;Transactions!$G1443,)</f>
        <v/>
      </c>
    </row>
    <row r="1444">
      <c r="A1444" s="55" t="str">
        <f>IF(Transactions!$B1444&lt;&gt;"",DATE(LEFT(Transactions!$B1444,4),MID(Transactions!$B1444,6,2),MID(Transactions!$B1444,9,2)),)</f>
        <v/>
      </c>
      <c r="B1444" s="56" t="str">
        <f>Transactions!$C1444</f>
        <v/>
      </c>
      <c r="C1444" s="51" t="str">
        <f t="array" ref="C1444">IFERROR(INDEX(Portfolio!$B:$B, MATCH($B1444, Portfolio!$A:$A, 0)),Transactions!$B1444)</f>
        <v/>
      </c>
      <c r="D1444" s="51" t="str">
        <f>IF($B1444&lt;&gt;"",Transactions!$E1444*1,)</f>
        <v/>
      </c>
      <c r="E1444" s="51" t="str">
        <f>IF($B1444&lt;&gt;"",Transactions!$F1444*1,)</f>
        <v/>
      </c>
      <c r="F1444" s="42" t="str">
        <f>IF(Transactions!$G1444&lt;&gt;"",Transactions!$H1444&amp;" "&amp;Transactions!$G1444,)</f>
        <v/>
      </c>
    </row>
    <row r="1445">
      <c r="A1445" s="55" t="str">
        <f>IF(Transactions!$B1445&lt;&gt;"",DATE(LEFT(Transactions!$B1445,4),MID(Transactions!$B1445,6,2),MID(Transactions!$B1445,9,2)),)</f>
        <v/>
      </c>
      <c r="B1445" s="56" t="str">
        <f>Transactions!$C1445</f>
        <v/>
      </c>
      <c r="C1445" s="51" t="str">
        <f t="array" ref="C1445">IFERROR(INDEX(Portfolio!$B:$B, MATCH($B1445, Portfolio!$A:$A, 0)),Transactions!$B1445)</f>
        <v/>
      </c>
      <c r="D1445" s="51" t="str">
        <f>IF($B1445&lt;&gt;"",Transactions!$E1445*1,)</f>
        <v/>
      </c>
      <c r="E1445" s="51" t="str">
        <f>IF($B1445&lt;&gt;"",Transactions!$F1445*1,)</f>
        <v/>
      </c>
      <c r="F1445" s="42" t="str">
        <f>IF(Transactions!$G1445&lt;&gt;"",Transactions!$H1445&amp;" "&amp;Transactions!$G1445,)</f>
        <v/>
      </c>
    </row>
    <row r="1446">
      <c r="A1446" s="55" t="str">
        <f>IF(Transactions!$B1446&lt;&gt;"",DATE(LEFT(Transactions!$B1446,4),MID(Transactions!$B1446,6,2),MID(Transactions!$B1446,9,2)),)</f>
        <v/>
      </c>
      <c r="B1446" s="56" t="str">
        <f>Transactions!$C1446</f>
        <v/>
      </c>
      <c r="C1446" s="51" t="str">
        <f t="array" ref="C1446">IFERROR(INDEX(Portfolio!$B:$B, MATCH($B1446, Portfolio!$A:$A, 0)),Transactions!$B1446)</f>
        <v/>
      </c>
      <c r="D1446" s="51" t="str">
        <f>IF($B1446&lt;&gt;"",Transactions!$E1446*1,)</f>
        <v/>
      </c>
      <c r="E1446" s="51" t="str">
        <f>IF($B1446&lt;&gt;"",Transactions!$F1446*1,)</f>
        <v/>
      </c>
      <c r="F1446" s="42" t="str">
        <f>IF(Transactions!$G1446&lt;&gt;"",Transactions!$H1446&amp;" "&amp;Transactions!$G1446,)</f>
        <v/>
      </c>
    </row>
    <row r="1447">
      <c r="A1447" s="55" t="str">
        <f>IF(Transactions!$B1447&lt;&gt;"",DATE(LEFT(Transactions!$B1447,4),MID(Transactions!$B1447,6,2),MID(Transactions!$B1447,9,2)),)</f>
        <v/>
      </c>
      <c r="B1447" s="56" t="str">
        <f>Transactions!$C1447</f>
        <v/>
      </c>
      <c r="C1447" s="51" t="str">
        <f t="array" ref="C1447">IFERROR(INDEX(Portfolio!$B:$B, MATCH($B1447, Portfolio!$A:$A, 0)),Transactions!$B1447)</f>
        <v/>
      </c>
      <c r="D1447" s="51" t="str">
        <f>IF($B1447&lt;&gt;"",Transactions!$E1447*1,)</f>
        <v/>
      </c>
      <c r="E1447" s="51" t="str">
        <f>IF($B1447&lt;&gt;"",Transactions!$F1447*1,)</f>
        <v/>
      </c>
      <c r="F1447" s="42" t="str">
        <f>IF(Transactions!$G1447&lt;&gt;"",Transactions!$H1447&amp;" "&amp;Transactions!$G1447,)</f>
        <v/>
      </c>
    </row>
    <row r="1448">
      <c r="A1448" s="55" t="str">
        <f>IF(Transactions!$B1448&lt;&gt;"",DATE(LEFT(Transactions!$B1448,4),MID(Transactions!$B1448,6,2),MID(Transactions!$B1448,9,2)),)</f>
        <v/>
      </c>
      <c r="B1448" s="56" t="str">
        <f>Transactions!$C1448</f>
        <v/>
      </c>
      <c r="C1448" s="51" t="str">
        <f t="array" ref="C1448">IFERROR(INDEX(Portfolio!$B:$B, MATCH($B1448, Portfolio!$A:$A, 0)),Transactions!$B1448)</f>
        <v/>
      </c>
      <c r="D1448" s="51" t="str">
        <f>IF($B1448&lt;&gt;"",Transactions!$E1448*1,)</f>
        <v/>
      </c>
      <c r="E1448" s="51" t="str">
        <f>IF($B1448&lt;&gt;"",Transactions!$F1448*1,)</f>
        <v/>
      </c>
      <c r="F1448" s="42" t="str">
        <f>IF(Transactions!$G1448&lt;&gt;"",Transactions!$H1448&amp;" "&amp;Transactions!$G1448,)</f>
        <v/>
      </c>
    </row>
    <row r="1449">
      <c r="A1449" s="55" t="str">
        <f>IF(Transactions!$B1449&lt;&gt;"",DATE(LEFT(Transactions!$B1449,4),MID(Transactions!$B1449,6,2),MID(Transactions!$B1449,9,2)),)</f>
        <v/>
      </c>
      <c r="B1449" s="56" t="str">
        <f>Transactions!$C1449</f>
        <v/>
      </c>
      <c r="C1449" s="51" t="str">
        <f t="array" ref="C1449">IFERROR(INDEX(Portfolio!$B:$B, MATCH($B1449, Portfolio!$A:$A, 0)),Transactions!$B1449)</f>
        <v/>
      </c>
      <c r="D1449" s="51" t="str">
        <f>IF($B1449&lt;&gt;"",Transactions!$E1449*1,)</f>
        <v/>
      </c>
      <c r="E1449" s="51" t="str">
        <f>IF($B1449&lt;&gt;"",Transactions!$F1449*1,)</f>
        <v/>
      </c>
      <c r="F1449" s="42" t="str">
        <f>IF(Transactions!$G1449&lt;&gt;"",Transactions!$H1449&amp;" "&amp;Transactions!$G1449,)</f>
        <v/>
      </c>
    </row>
    <row r="1450">
      <c r="A1450" s="55" t="str">
        <f>IF(Transactions!$B1450&lt;&gt;"",DATE(LEFT(Transactions!$B1450,4),MID(Transactions!$B1450,6,2),MID(Transactions!$B1450,9,2)),)</f>
        <v/>
      </c>
      <c r="B1450" s="56" t="str">
        <f>Transactions!$C1450</f>
        <v/>
      </c>
      <c r="C1450" s="51" t="str">
        <f t="array" ref="C1450">IFERROR(INDEX(Portfolio!$B:$B, MATCH($B1450, Portfolio!$A:$A, 0)),Transactions!$B1450)</f>
        <v/>
      </c>
      <c r="D1450" s="51" t="str">
        <f>IF($B1450&lt;&gt;"",Transactions!$E1450*1,)</f>
        <v/>
      </c>
      <c r="E1450" s="51" t="str">
        <f>IF($B1450&lt;&gt;"",Transactions!$F1450*1,)</f>
        <v/>
      </c>
      <c r="F1450" s="42" t="str">
        <f>IF(Transactions!$G1450&lt;&gt;"",Transactions!$H1450&amp;" "&amp;Transactions!$G1450,)</f>
        <v/>
      </c>
    </row>
    <row r="1451">
      <c r="A1451" s="55" t="str">
        <f>IF(Transactions!$B1451&lt;&gt;"",DATE(LEFT(Transactions!$B1451,4),MID(Transactions!$B1451,6,2),MID(Transactions!$B1451,9,2)),)</f>
        <v/>
      </c>
      <c r="B1451" s="56" t="str">
        <f>Transactions!$C1451</f>
        <v/>
      </c>
      <c r="C1451" s="51" t="str">
        <f t="array" ref="C1451">IFERROR(INDEX(Portfolio!$B:$B, MATCH($B1451, Portfolio!$A:$A, 0)),Transactions!$B1451)</f>
        <v/>
      </c>
      <c r="D1451" s="51" t="str">
        <f>IF($B1451&lt;&gt;"",Transactions!$E1451*1,)</f>
        <v/>
      </c>
      <c r="E1451" s="51" t="str">
        <f>IF($B1451&lt;&gt;"",Transactions!$F1451*1,)</f>
        <v/>
      </c>
      <c r="F1451" s="42" t="str">
        <f>IF(Transactions!$G1451&lt;&gt;"",Transactions!$H1451&amp;" "&amp;Transactions!$G1451,)</f>
        <v/>
      </c>
    </row>
    <row r="1452">
      <c r="A1452" s="55" t="str">
        <f>IF(Transactions!$B1452&lt;&gt;"",DATE(LEFT(Transactions!$B1452,4),MID(Transactions!$B1452,6,2),MID(Transactions!$B1452,9,2)),)</f>
        <v/>
      </c>
      <c r="B1452" s="56" t="str">
        <f>Transactions!$C1452</f>
        <v/>
      </c>
      <c r="C1452" s="51" t="str">
        <f t="array" ref="C1452">IFERROR(INDEX(Portfolio!$B:$B, MATCH($B1452, Portfolio!$A:$A, 0)),Transactions!$B1452)</f>
        <v/>
      </c>
      <c r="D1452" s="51" t="str">
        <f>IF($B1452&lt;&gt;"",Transactions!$E1452*1,)</f>
        <v/>
      </c>
      <c r="E1452" s="51" t="str">
        <f>IF($B1452&lt;&gt;"",Transactions!$F1452*1,)</f>
        <v/>
      </c>
      <c r="F1452" s="42" t="str">
        <f>IF(Transactions!$G1452&lt;&gt;"",Transactions!$H1452&amp;" "&amp;Transactions!$G1452,)</f>
        <v/>
      </c>
    </row>
    <row r="1453">
      <c r="A1453" s="55" t="str">
        <f>IF(Transactions!$B1453&lt;&gt;"",DATE(LEFT(Transactions!$B1453,4),MID(Transactions!$B1453,6,2),MID(Transactions!$B1453,9,2)),)</f>
        <v/>
      </c>
      <c r="B1453" s="56" t="str">
        <f>Transactions!$C1453</f>
        <v/>
      </c>
      <c r="C1453" s="51" t="str">
        <f t="array" ref="C1453">IFERROR(INDEX(Portfolio!$B:$B, MATCH($B1453, Portfolio!$A:$A, 0)),Transactions!$B1453)</f>
        <v/>
      </c>
      <c r="D1453" s="51" t="str">
        <f>IF($B1453&lt;&gt;"",Transactions!$E1453*1,)</f>
        <v/>
      </c>
      <c r="E1453" s="51" t="str">
        <f>IF($B1453&lt;&gt;"",Transactions!$F1453*1,)</f>
        <v/>
      </c>
      <c r="F1453" s="42" t="str">
        <f>IF(Transactions!$G1453&lt;&gt;"",Transactions!$H1453&amp;" "&amp;Transactions!$G1453,)</f>
        <v/>
      </c>
    </row>
    <row r="1454">
      <c r="A1454" s="55" t="str">
        <f>IF(Transactions!$B1454&lt;&gt;"",DATE(LEFT(Transactions!$B1454,4),MID(Transactions!$B1454,6,2),MID(Transactions!$B1454,9,2)),)</f>
        <v/>
      </c>
      <c r="B1454" s="56" t="str">
        <f>Transactions!$C1454</f>
        <v/>
      </c>
      <c r="C1454" s="51" t="str">
        <f t="array" ref="C1454">IFERROR(INDEX(Portfolio!$B:$B, MATCH($B1454, Portfolio!$A:$A, 0)),Transactions!$B1454)</f>
        <v/>
      </c>
      <c r="D1454" s="51" t="str">
        <f>IF($B1454&lt;&gt;"",Transactions!$E1454*1,)</f>
        <v/>
      </c>
      <c r="E1454" s="51" t="str">
        <f>IF($B1454&lt;&gt;"",Transactions!$F1454*1,)</f>
        <v/>
      </c>
      <c r="F1454" s="42" t="str">
        <f>IF(Transactions!$G1454&lt;&gt;"",Transactions!$H1454&amp;" "&amp;Transactions!$G1454,)</f>
        <v/>
      </c>
    </row>
    <row r="1455">
      <c r="A1455" s="55" t="str">
        <f>IF(Transactions!$B1455&lt;&gt;"",DATE(LEFT(Transactions!$B1455,4),MID(Transactions!$B1455,6,2),MID(Transactions!$B1455,9,2)),)</f>
        <v/>
      </c>
      <c r="B1455" s="56" t="str">
        <f>Transactions!$C1455</f>
        <v/>
      </c>
      <c r="C1455" s="51" t="str">
        <f t="array" ref="C1455">IFERROR(INDEX(Portfolio!$B:$B, MATCH($B1455, Portfolio!$A:$A, 0)),Transactions!$B1455)</f>
        <v/>
      </c>
      <c r="D1455" s="51" t="str">
        <f>IF($B1455&lt;&gt;"",Transactions!$E1455*1,)</f>
        <v/>
      </c>
      <c r="E1455" s="51" t="str">
        <f>IF($B1455&lt;&gt;"",Transactions!$F1455*1,)</f>
        <v/>
      </c>
      <c r="F1455" s="42" t="str">
        <f>IF(Transactions!$G1455&lt;&gt;"",Transactions!$H1455&amp;" "&amp;Transactions!$G1455,)</f>
        <v/>
      </c>
    </row>
    <row r="1456">
      <c r="A1456" s="55" t="str">
        <f>IF(Transactions!$B1456&lt;&gt;"",DATE(LEFT(Transactions!$B1456,4),MID(Transactions!$B1456,6,2),MID(Transactions!$B1456,9,2)),)</f>
        <v/>
      </c>
      <c r="B1456" s="56" t="str">
        <f>Transactions!$C1456</f>
        <v/>
      </c>
      <c r="C1456" s="51" t="str">
        <f t="array" ref="C1456">IFERROR(INDEX(Portfolio!$B:$B, MATCH($B1456, Portfolio!$A:$A, 0)),Transactions!$B1456)</f>
        <v/>
      </c>
      <c r="D1456" s="51" t="str">
        <f>IF($B1456&lt;&gt;"",Transactions!$E1456*1,)</f>
        <v/>
      </c>
      <c r="E1456" s="51" t="str">
        <f>IF($B1456&lt;&gt;"",Transactions!$F1456*1,)</f>
        <v/>
      </c>
      <c r="F1456" s="42" t="str">
        <f>IF(Transactions!$G1456&lt;&gt;"",Transactions!$H1456&amp;" "&amp;Transactions!$G1456,)</f>
        <v/>
      </c>
    </row>
    <row r="1457">
      <c r="A1457" s="55" t="str">
        <f>IF(Transactions!$B1457&lt;&gt;"",DATE(LEFT(Transactions!$B1457,4),MID(Transactions!$B1457,6,2),MID(Transactions!$B1457,9,2)),)</f>
        <v/>
      </c>
      <c r="B1457" s="56" t="str">
        <f>Transactions!$C1457</f>
        <v/>
      </c>
      <c r="C1457" s="51" t="str">
        <f t="array" ref="C1457">IFERROR(INDEX(Portfolio!$B:$B, MATCH($B1457, Portfolio!$A:$A, 0)),Transactions!$B1457)</f>
        <v/>
      </c>
      <c r="D1457" s="51" t="str">
        <f>IF($B1457&lt;&gt;"",Transactions!$E1457*1,)</f>
        <v/>
      </c>
      <c r="E1457" s="51" t="str">
        <f>IF($B1457&lt;&gt;"",Transactions!$F1457*1,)</f>
        <v/>
      </c>
      <c r="F1457" s="42" t="str">
        <f>IF(Transactions!$G1457&lt;&gt;"",Transactions!$H1457&amp;" "&amp;Transactions!$G1457,)</f>
        <v/>
      </c>
    </row>
    <row r="1458">
      <c r="A1458" s="55" t="str">
        <f>IF(Transactions!$B1458&lt;&gt;"",DATE(LEFT(Transactions!$B1458,4),MID(Transactions!$B1458,6,2),MID(Transactions!$B1458,9,2)),)</f>
        <v/>
      </c>
      <c r="B1458" s="56" t="str">
        <f>Transactions!$C1458</f>
        <v/>
      </c>
      <c r="C1458" s="51" t="str">
        <f t="array" ref="C1458">IFERROR(INDEX(Portfolio!$B:$B, MATCH($B1458, Portfolio!$A:$A, 0)),Transactions!$B1458)</f>
        <v/>
      </c>
      <c r="D1458" s="51" t="str">
        <f>IF($B1458&lt;&gt;"",Transactions!$E1458*1,)</f>
        <v/>
      </c>
      <c r="E1458" s="51" t="str">
        <f>IF($B1458&lt;&gt;"",Transactions!$F1458*1,)</f>
        <v/>
      </c>
      <c r="F1458" s="42" t="str">
        <f>IF(Transactions!$G1458&lt;&gt;"",Transactions!$H1458&amp;" "&amp;Transactions!$G1458,)</f>
        <v/>
      </c>
    </row>
    <row r="1459">
      <c r="A1459" s="55" t="str">
        <f>IF(Transactions!$B1459&lt;&gt;"",DATE(LEFT(Transactions!$B1459,4),MID(Transactions!$B1459,6,2),MID(Transactions!$B1459,9,2)),)</f>
        <v/>
      </c>
      <c r="B1459" s="56" t="str">
        <f>Transactions!$C1459</f>
        <v/>
      </c>
      <c r="C1459" s="51" t="str">
        <f t="array" ref="C1459">IFERROR(INDEX(Portfolio!$B:$B, MATCH($B1459, Portfolio!$A:$A, 0)),Transactions!$B1459)</f>
        <v/>
      </c>
      <c r="D1459" s="51" t="str">
        <f>IF($B1459&lt;&gt;"",Transactions!$E1459*1,)</f>
        <v/>
      </c>
      <c r="E1459" s="51" t="str">
        <f>IF($B1459&lt;&gt;"",Transactions!$F1459*1,)</f>
        <v/>
      </c>
      <c r="F1459" s="42" t="str">
        <f>IF(Transactions!$G1459&lt;&gt;"",Transactions!$H1459&amp;" "&amp;Transactions!$G1459,)</f>
        <v/>
      </c>
    </row>
    <row r="1460">
      <c r="A1460" s="55" t="str">
        <f>IF(Transactions!$B1460&lt;&gt;"",DATE(LEFT(Transactions!$B1460,4),MID(Transactions!$B1460,6,2),MID(Transactions!$B1460,9,2)),)</f>
        <v/>
      </c>
      <c r="B1460" s="56" t="str">
        <f>Transactions!$C1460</f>
        <v/>
      </c>
      <c r="C1460" s="51" t="str">
        <f t="array" ref="C1460">IFERROR(INDEX(Portfolio!$B:$B, MATCH($B1460, Portfolio!$A:$A, 0)),Transactions!$B1460)</f>
        <v/>
      </c>
      <c r="D1460" s="51" t="str">
        <f>IF($B1460&lt;&gt;"",Transactions!$E1460*1,)</f>
        <v/>
      </c>
      <c r="E1460" s="51" t="str">
        <f>IF($B1460&lt;&gt;"",Transactions!$F1460*1,)</f>
        <v/>
      </c>
      <c r="F1460" s="42" t="str">
        <f>IF(Transactions!$G1460&lt;&gt;"",Transactions!$H1460&amp;" "&amp;Transactions!$G1460,)</f>
        <v/>
      </c>
    </row>
    <row r="1461">
      <c r="A1461" s="55" t="str">
        <f>IF(Transactions!$B1461&lt;&gt;"",DATE(LEFT(Transactions!$B1461,4),MID(Transactions!$B1461,6,2),MID(Transactions!$B1461,9,2)),)</f>
        <v/>
      </c>
      <c r="B1461" s="56" t="str">
        <f>Transactions!$C1461</f>
        <v/>
      </c>
      <c r="C1461" s="51" t="str">
        <f t="array" ref="C1461">IFERROR(INDEX(Portfolio!$B:$B, MATCH($B1461, Portfolio!$A:$A, 0)),Transactions!$B1461)</f>
        <v/>
      </c>
      <c r="D1461" s="51" t="str">
        <f>IF($B1461&lt;&gt;"",Transactions!$E1461*1,)</f>
        <v/>
      </c>
      <c r="E1461" s="51" t="str">
        <f>IF($B1461&lt;&gt;"",Transactions!$F1461*1,)</f>
        <v/>
      </c>
      <c r="F1461" s="42" t="str">
        <f>IF(Transactions!$G1461&lt;&gt;"",Transactions!$H1461&amp;" "&amp;Transactions!$G1461,)</f>
        <v/>
      </c>
    </row>
    <row r="1462">
      <c r="A1462" s="55" t="str">
        <f>IF(Transactions!$B1462&lt;&gt;"",DATE(LEFT(Transactions!$B1462,4),MID(Transactions!$B1462,6,2),MID(Transactions!$B1462,9,2)),)</f>
        <v/>
      </c>
      <c r="B1462" s="56" t="str">
        <f>Transactions!$C1462</f>
        <v/>
      </c>
      <c r="C1462" s="51" t="str">
        <f t="array" ref="C1462">IFERROR(INDEX(Portfolio!$B:$B, MATCH($B1462, Portfolio!$A:$A, 0)),Transactions!$B1462)</f>
        <v/>
      </c>
      <c r="D1462" s="51" t="str">
        <f>IF($B1462&lt;&gt;"",Transactions!$E1462*1,)</f>
        <v/>
      </c>
      <c r="E1462" s="51" t="str">
        <f>IF($B1462&lt;&gt;"",Transactions!$F1462*1,)</f>
        <v/>
      </c>
      <c r="F1462" s="42" t="str">
        <f>IF(Transactions!$G1462&lt;&gt;"",Transactions!$H1462&amp;" "&amp;Transactions!$G1462,)</f>
        <v/>
      </c>
    </row>
    <row r="1463">
      <c r="A1463" s="55" t="str">
        <f>IF(Transactions!$B1463&lt;&gt;"",DATE(LEFT(Transactions!$B1463,4),MID(Transactions!$B1463,6,2),MID(Transactions!$B1463,9,2)),)</f>
        <v/>
      </c>
      <c r="B1463" s="56" t="str">
        <f>Transactions!$C1463</f>
        <v/>
      </c>
      <c r="C1463" s="51" t="str">
        <f t="array" ref="C1463">IFERROR(INDEX(Portfolio!$B:$B, MATCH($B1463, Portfolio!$A:$A, 0)),Transactions!$B1463)</f>
        <v/>
      </c>
      <c r="D1463" s="51" t="str">
        <f>IF($B1463&lt;&gt;"",Transactions!$E1463*1,)</f>
        <v/>
      </c>
      <c r="E1463" s="51" t="str">
        <f>IF($B1463&lt;&gt;"",Transactions!$F1463*1,)</f>
        <v/>
      </c>
      <c r="F1463" s="42" t="str">
        <f>IF(Transactions!$G1463&lt;&gt;"",Transactions!$H1463&amp;" "&amp;Transactions!$G1463,)</f>
        <v/>
      </c>
    </row>
    <row r="1464">
      <c r="A1464" s="55" t="str">
        <f>IF(Transactions!$B1464&lt;&gt;"",DATE(LEFT(Transactions!$B1464,4),MID(Transactions!$B1464,6,2),MID(Transactions!$B1464,9,2)),)</f>
        <v/>
      </c>
      <c r="B1464" s="56" t="str">
        <f>Transactions!$C1464</f>
        <v/>
      </c>
      <c r="C1464" s="51" t="str">
        <f t="array" ref="C1464">IFERROR(INDEX(Portfolio!$B:$B, MATCH($B1464, Portfolio!$A:$A, 0)),Transactions!$B1464)</f>
        <v/>
      </c>
      <c r="D1464" s="51" t="str">
        <f>IF($B1464&lt;&gt;"",Transactions!$E1464*1,)</f>
        <v/>
      </c>
      <c r="E1464" s="51" t="str">
        <f>IF($B1464&lt;&gt;"",Transactions!$F1464*1,)</f>
        <v/>
      </c>
      <c r="F1464" s="42" t="str">
        <f>IF(Transactions!$G1464&lt;&gt;"",Transactions!$H1464&amp;" "&amp;Transactions!$G1464,)</f>
        <v/>
      </c>
    </row>
    <row r="1465">
      <c r="A1465" s="55" t="str">
        <f>IF(Transactions!$B1465&lt;&gt;"",DATE(LEFT(Transactions!$B1465,4),MID(Transactions!$B1465,6,2),MID(Transactions!$B1465,9,2)),)</f>
        <v/>
      </c>
      <c r="B1465" s="56" t="str">
        <f>Transactions!$C1465</f>
        <v/>
      </c>
      <c r="C1465" s="51" t="str">
        <f t="array" ref="C1465">IFERROR(INDEX(Portfolio!$B:$B, MATCH($B1465, Portfolio!$A:$A, 0)),Transactions!$B1465)</f>
        <v/>
      </c>
      <c r="D1465" s="51" t="str">
        <f>IF($B1465&lt;&gt;"",Transactions!$E1465*1,)</f>
        <v/>
      </c>
      <c r="E1465" s="51" t="str">
        <f>IF($B1465&lt;&gt;"",Transactions!$F1465*1,)</f>
        <v/>
      </c>
      <c r="F1465" s="42" t="str">
        <f>IF(Transactions!$G1465&lt;&gt;"",Transactions!$H1465&amp;" "&amp;Transactions!$G1465,)</f>
        <v/>
      </c>
    </row>
    <row r="1466">
      <c r="A1466" s="55" t="str">
        <f>IF(Transactions!$B1466&lt;&gt;"",DATE(LEFT(Transactions!$B1466,4),MID(Transactions!$B1466,6,2),MID(Transactions!$B1466,9,2)),)</f>
        <v/>
      </c>
      <c r="B1466" s="56" t="str">
        <f>Transactions!$C1466</f>
        <v/>
      </c>
      <c r="C1466" s="51" t="str">
        <f t="array" ref="C1466">IFERROR(INDEX(Portfolio!$B:$B, MATCH($B1466, Portfolio!$A:$A, 0)),Transactions!$B1466)</f>
        <v/>
      </c>
      <c r="D1466" s="51" t="str">
        <f>IF($B1466&lt;&gt;"",Transactions!$E1466*1,)</f>
        <v/>
      </c>
      <c r="E1466" s="51" t="str">
        <f>IF($B1466&lt;&gt;"",Transactions!$F1466*1,)</f>
        <v/>
      </c>
      <c r="F1466" s="42" t="str">
        <f>IF(Transactions!$G1466&lt;&gt;"",Transactions!$H1466&amp;" "&amp;Transactions!$G1466,)</f>
        <v/>
      </c>
    </row>
    <row r="1467">
      <c r="A1467" s="55" t="str">
        <f>IF(Transactions!$B1467&lt;&gt;"",DATE(LEFT(Transactions!$B1467,4),MID(Transactions!$B1467,6,2),MID(Transactions!$B1467,9,2)),)</f>
        <v/>
      </c>
      <c r="B1467" s="56" t="str">
        <f>Transactions!$C1467</f>
        <v/>
      </c>
      <c r="C1467" s="51" t="str">
        <f t="array" ref="C1467">IFERROR(INDEX(Portfolio!$B:$B, MATCH($B1467, Portfolio!$A:$A, 0)),Transactions!$B1467)</f>
        <v/>
      </c>
      <c r="D1467" s="51" t="str">
        <f>IF($B1467&lt;&gt;"",Transactions!$E1467*1,)</f>
        <v/>
      </c>
      <c r="E1467" s="51" t="str">
        <f>IF($B1467&lt;&gt;"",Transactions!$F1467*1,)</f>
        <v/>
      </c>
      <c r="F1467" s="42" t="str">
        <f>IF(Transactions!$G1467&lt;&gt;"",Transactions!$H1467&amp;" "&amp;Transactions!$G1467,)</f>
        <v/>
      </c>
    </row>
    <row r="1468">
      <c r="A1468" s="55" t="str">
        <f>IF(Transactions!$B1468&lt;&gt;"",DATE(LEFT(Transactions!$B1468,4),MID(Transactions!$B1468,6,2),MID(Transactions!$B1468,9,2)),)</f>
        <v/>
      </c>
      <c r="B1468" s="56" t="str">
        <f>Transactions!$C1468</f>
        <v/>
      </c>
      <c r="C1468" s="51" t="str">
        <f t="array" ref="C1468">IFERROR(INDEX(Portfolio!$B:$B, MATCH($B1468, Portfolio!$A:$A, 0)),Transactions!$B1468)</f>
        <v/>
      </c>
      <c r="D1468" s="51" t="str">
        <f>IF($B1468&lt;&gt;"",Transactions!$E1468*1,)</f>
        <v/>
      </c>
      <c r="E1468" s="51" t="str">
        <f>IF($B1468&lt;&gt;"",Transactions!$F1468*1,)</f>
        <v/>
      </c>
      <c r="F1468" s="42" t="str">
        <f>IF(Transactions!$G1468&lt;&gt;"",Transactions!$H1468&amp;" "&amp;Transactions!$G1468,)</f>
        <v/>
      </c>
    </row>
    <row r="1469">
      <c r="A1469" s="55" t="str">
        <f>IF(Transactions!$B1469&lt;&gt;"",DATE(LEFT(Transactions!$B1469,4),MID(Transactions!$B1469,6,2),MID(Transactions!$B1469,9,2)),)</f>
        <v/>
      </c>
      <c r="B1469" s="56" t="str">
        <f>Transactions!$C1469</f>
        <v/>
      </c>
      <c r="C1469" s="51" t="str">
        <f t="array" ref="C1469">IFERROR(INDEX(Portfolio!$B:$B, MATCH($B1469, Portfolio!$A:$A, 0)),Transactions!$B1469)</f>
        <v/>
      </c>
      <c r="D1469" s="51" t="str">
        <f>IF($B1469&lt;&gt;"",Transactions!$E1469*1,)</f>
        <v/>
      </c>
      <c r="E1469" s="51" t="str">
        <f>IF($B1469&lt;&gt;"",Transactions!$F1469*1,)</f>
        <v/>
      </c>
      <c r="F1469" s="42" t="str">
        <f>IF(Transactions!$G1469&lt;&gt;"",Transactions!$H1469&amp;" "&amp;Transactions!$G1469,)</f>
        <v/>
      </c>
    </row>
    <row r="1470">
      <c r="A1470" s="55" t="str">
        <f>IF(Transactions!$B1470&lt;&gt;"",DATE(LEFT(Transactions!$B1470,4),MID(Transactions!$B1470,6,2),MID(Transactions!$B1470,9,2)),)</f>
        <v/>
      </c>
      <c r="B1470" s="56" t="str">
        <f>Transactions!$C1470</f>
        <v/>
      </c>
      <c r="C1470" s="51" t="str">
        <f t="array" ref="C1470">IFERROR(INDEX(Portfolio!$B:$B, MATCH($B1470, Portfolio!$A:$A, 0)),Transactions!$B1470)</f>
        <v/>
      </c>
      <c r="D1470" s="51" t="str">
        <f>IF($B1470&lt;&gt;"",Transactions!$E1470*1,)</f>
        <v/>
      </c>
      <c r="E1470" s="51" t="str">
        <f>IF($B1470&lt;&gt;"",Transactions!$F1470*1,)</f>
        <v/>
      </c>
      <c r="F1470" s="42" t="str">
        <f>IF(Transactions!$G1470&lt;&gt;"",Transactions!$H1470&amp;" "&amp;Transactions!$G1470,)</f>
        <v/>
      </c>
    </row>
    <row r="1471">
      <c r="A1471" s="55" t="str">
        <f>IF(Transactions!$B1471&lt;&gt;"",DATE(LEFT(Transactions!$B1471,4),MID(Transactions!$B1471,6,2),MID(Transactions!$B1471,9,2)),)</f>
        <v/>
      </c>
      <c r="B1471" s="56" t="str">
        <f>Transactions!$C1471</f>
        <v/>
      </c>
      <c r="C1471" s="51" t="str">
        <f t="array" ref="C1471">IFERROR(INDEX(Portfolio!$B:$B, MATCH($B1471, Portfolio!$A:$A, 0)),Transactions!$B1471)</f>
        <v/>
      </c>
      <c r="D1471" s="51" t="str">
        <f>IF($B1471&lt;&gt;"",Transactions!$E1471*1,)</f>
        <v/>
      </c>
      <c r="E1471" s="51" t="str">
        <f>IF($B1471&lt;&gt;"",Transactions!$F1471*1,)</f>
        <v/>
      </c>
      <c r="F1471" s="42" t="str">
        <f>IF(Transactions!$G1471&lt;&gt;"",Transactions!$H1471&amp;" "&amp;Transactions!$G1471,)</f>
        <v/>
      </c>
    </row>
    <row r="1472">
      <c r="A1472" s="55" t="str">
        <f>IF(Transactions!$B1472&lt;&gt;"",DATE(LEFT(Transactions!$B1472,4),MID(Transactions!$B1472,6,2),MID(Transactions!$B1472,9,2)),)</f>
        <v/>
      </c>
      <c r="B1472" s="56" t="str">
        <f>Transactions!$C1472</f>
        <v/>
      </c>
      <c r="C1472" s="51" t="str">
        <f t="array" ref="C1472">IFERROR(INDEX(Portfolio!$B:$B, MATCH($B1472, Portfolio!$A:$A, 0)),Transactions!$B1472)</f>
        <v/>
      </c>
      <c r="D1472" s="51" t="str">
        <f>IF($B1472&lt;&gt;"",Transactions!$E1472*1,)</f>
        <v/>
      </c>
      <c r="E1472" s="51" t="str">
        <f>IF($B1472&lt;&gt;"",Transactions!$F1472*1,)</f>
        <v/>
      </c>
      <c r="F1472" s="42" t="str">
        <f>IF(Transactions!$G1472&lt;&gt;"",Transactions!$H1472&amp;" "&amp;Transactions!$G1472,)</f>
        <v/>
      </c>
    </row>
    <row r="1473">
      <c r="A1473" s="55" t="str">
        <f>IF(Transactions!$B1473&lt;&gt;"",DATE(LEFT(Transactions!$B1473,4),MID(Transactions!$B1473,6,2),MID(Transactions!$B1473,9,2)),)</f>
        <v/>
      </c>
      <c r="B1473" s="56" t="str">
        <f>Transactions!$C1473</f>
        <v/>
      </c>
      <c r="C1473" s="51" t="str">
        <f t="array" ref="C1473">IFERROR(INDEX(Portfolio!$B:$B, MATCH($B1473, Portfolio!$A:$A, 0)),Transactions!$B1473)</f>
        <v/>
      </c>
      <c r="D1473" s="51" t="str">
        <f>IF($B1473&lt;&gt;"",Transactions!$E1473*1,)</f>
        <v/>
      </c>
      <c r="E1473" s="51" t="str">
        <f>IF($B1473&lt;&gt;"",Transactions!$F1473*1,)</f>
        <v/>
      </c>
      <c r="F1473" s="42" t="str">
        <f>IF(Transactions!$G1473&lt;&gt;"",Transactions!$H1473&amp;" "&amp;Transactions!$G1473,)</f>
        <v/>
      </c>
    </row>
    <row r="1474">
      <c r="A1474" s="55" t="str">
        <f>IF(Transactions!$B1474&lt;&gt;"",DATE(LEFT(Transactions!$B1474,4),MID(Transactions!$B1474,6,2),MID(Transactions!$B1474,9,2)),)</f>
        <v/>
      </c>
      <c r="B1474" s="56" t="str">
        <f>Transactions!$C1474</f>
        <v/>
      </c>
      <c r="C1474" s="51" t="str">
        <f t="array" ref="C1474">IFERROR(INDEX(Portfolio!$B:$B, MATCH($B1474, Portfolio!$A:$A, 0)),Transactions!$B1474)</f>
        <v/>
      </c>
      <c r="D1474" s="51" t="str">
        <f>IF($B1474&lt;&gt;"",Transactions!$E1474*1,)</f>
        <v/>
      </c>
      <c r="E1474" s="51" t="str">
        <f>IF($B1474&lt;&gt;"",Transactions!$F1474*1,)</f>
        <v/>
      </c>
      <c r="F1474" s="42" t="str">
        <f>IF(Transactions!$G1474&lt;&gt;"",Transactions!$H1474&amp;" "&amp;Transactions!$G1474,)</f>
        <v/>
      </c>
    </row>
    <row r="1475">
      <c r="A1475" s="55" t="str">
        <f>IF(Transactions!$B1475&lt;&gt;"",DATE(LEFT(Transactions!$B1475,4),MID(Transactions!$B1475,6,2),MID(Transactions!$B1475,9,2)),)</f>
        <v/>
      </c>
      <c r="B1475" s="56" t="str">
        <f>Transactions!$C1475</f>
        <v/>
      </c>
      <c r="C1475" s="51" t="str">
        <f t="array" ref="C1475">IFERROR(INDEX(Portfolio!$B:$B, MATCH($B1475, Portfolio!$A:$A, 0)),Transactions!$B1475)</f>
        <v/>
      </c>
      <c r="D1475" s="51" t="str">
        <f>IF($B1475&lt;&gt;"",Transactions!$E1475*1,)</f>
        <v/>
      </c>
      <c r="E1475" s="51" t="str">
        <f>IF($B1475&lt;&gt;"",Transactions!$F1475*1,)</f>
        <v/>
      </c>
      <c r="F1475" s="42" t="str">
        <f>IF(Transactions!$G1475&lt;&gt;"",Transactions!$H1475&amp;" "&amp;Transactions!$G1475,)</f>
        <v/>
      </c>
    </row>
    <row r="1476">
      <c r="A1476" s="55" t="str">
        <f>IF(Transactions!$B1476&lt;&gt;"",DATE(LEFT(Transactions!$B1476,4),MID(Transactions!$B1476,6,2),MID(Transactions!$B1476,9,2)),)</f>
        <v/>
      </c>
      <c r="B1476" s="56" t="str">
        <f>Transactions!$C1476</f>
        <v/>
      </c>
      <c r="C1476" s="51" t="str">
        <f t="array" ref="C1476">IFERROR(INDEX(Portfolio!$B:$B, MATCH($B1476, Portfolio!$A:$A, 0)),Transactions!$B1476)</f>
        <v/>
      </c>
      <c r="D1476" s="51" t="str">
        <f>IF($B1476&lt;&gt;"",Transactions!$E1476*1,)</f>
        <v/>
      </c>
      <c r="E1476" s="51" t="str">
        <f>IF($B1476&lt;&gt;"",Transactions!$F1476*1,)</f>
        <v/>
      </c>
      <c r="F1476" s="42" t="str">
        <f>IF(Transactions!$G1476&lt;&gt;"",Transactions!$H1476&amp;" "&amp;Transactions!$G1476,)</f>
        <v/>
      </c>
    </row>
    <row r="1477">
      <c r="A1477" s="55" t="str">
        <f>IF(Transactions!$B1477&lt;&gt;"",DATE(LEFT(Transactions!$B1477,4),MID(Transactions!$B1477,6,2),MID(Transactions!$B1477,9,2)),)</f>
        <v/>
      </c>
      <c r="B1477" s="56" t="str">
        <f>Transactions!$C1477</f>
        <v/>
      </c>
      <c r="C1477" s="51" t="str">
        <f t="array" ref="C1477">IFERROR(INDEX(Portfolio!$B:$B, MATCH($B1477, Portfolio!$A:$A, 0)),Transactions!$B1477)</f>
        <v/>
      </c>
      <c r="D1477" s="51" t="str">
        <f>IF($B1477&lt;&gt;"",Transactions!$E1477*1,)</f>
        <v/>
      </c>
      <c r="E1477" s="51" t="str">
        <f>IF($B1477&lt;&gt;"",Transactions!$F1477*1,)</f>
        <v/>
      </c>
      <c r="F1477" s="42" t="str">
        <f>IF(Transactions!$G1477&lt;&gt;"",Transactions!$H1477&amp;" "&amp;Transactions!$G1477,)</f>
        <v/>
      </c>
    </row>
    <row r="1478">
      <c r="A1478" s="55" t="str">
        <f>IF(Transactions!$B1478&lt;&gt;"",DATE(LEFT(Transactions!$B1478,4),MID(Transactions!$B1478,6,2),MID(Transactions!$B1478,9,2)),)</f>
        <v/>
      </c>
      <c r="B1478" s="56" t="str">
        <f>Transactions!$C1478</f>
        <v/>
      </c>
      <c r="C1478" s="51" t="str">
        <f t="array" ref="C1478">IFERROR(INDEX(Portfolio!$B:$B, MATCH($B1478, Portfolio!$A:$A, 0)),Transactions!$B1478)</f>
        <v/>
      </c>
      <c r="D1478" s="51" t="str">
        <f>IF($B1478&lt;&gt;"",Transactions!$E1478*1,)</f>
        <v/>
      </c>
      <c r="E1478" s="51" t="str">
        <f>IF($B1478&lt;&gt;"",Transactions!$F1478*1,)</f>
        <v/>
      </c>
      <c r="F1478" s="42" t="str">
        <f>IF(Transactions!$G1478&lt;&gt;"",Transactions!$H1478&amp;" "&amp;Transactions!$G1478,)</f>
        <v/>
      </c>
    </row>
    <row r="1479">
      <c r="A1479" s="55" t="str">
        <f>IF(Transactions!$B1479&lt;&gt;"",DATE(LEFT(Transactions!$B1479,4),MID(Transactions!$B1479,6,2),MID(Transactions!$B1479,9,2)),)</f>
        <v/>
      </c>
      <c r="B1479" s="56" t="str">
        <f>Transactions!$C1479</f>
        <v/>
      </c>
      <c r="C1479" s="51" t="str">
        <f t="array" ref="C1479">IFERROR(INDEX(Portfolio!$B:$B, MATCH($B1479, Portfolio!$A:$A, 0)),Transactions!$B1479)</f>
        <v/>
      </c>
      <c r="D1479" s="51" t="str">
        <f>IF($B1479&lt;&gt;"",Transactions!$E1479*1,)</f>
        <v/>
      </c>
      <c r="E1479" s="51" t="str">
        <f>IF($B1479&lt;&gt;"",Transactions!$F1479*1,)</f>
        <v/>
      </c>
      <c r="F1479" s="42" t="str">
        <f>IF(Transactions!$G1479&lt;&gt;"",Transactions!$H1479&amp;" "&amp;Transactions!$G1479,)</f>
        <v/>
      </c>
    </row>
    <row r="1480">
      <c r="A1480" s="55" t="str">
        <f>IF(Transactions!$B1480&lt;&gt;"",DATE(LEFT(Transactions!$B1480,4),MID(Transactions!$B1480,6,2),MID(Transactions!$B1480,9,2)),)</f>
        <v/>
      </c>
      <c r="B1480" s="56" t="str">
        <f>Transactions!$C1480</f>
        <v/>
      </c>
      <c r="C1480" s="51" t="str">
        <f t="array" ref="C1480">IFERROR(INDEX(Portfolio!$B:$B, MATCH($B1480, Portfolio!$A:$A, 0)),Transactions!$B1480)</f>
        <v/>
      </c>
      <c r="D1480" s="51" t="str">
        <f>IF($B1480&lt;&gt;"",Transactions!$E1480*1,)</f>
        <v/>
      </c>
      <c r="E1480" s="51" t="str">
        <f>IF($B1480&lt;&gt;"",Transactions!$F1480*1,)</f>
        <v/>
      </c>
      <c r="F1480" s="42" t="str">
        <f>IF(Transactions!$G1480&lt;&gt;"",Transactions!$H1480&amp;" "&amp;Transactions!$G1480,)</f>
        <v/>
      </c>
    </row>
    <row r="1481">
      <c r="A1481" s="55" t="str">
        <f>IF(Transactions!$B1481&lt;&gt;"",DATE(LEFT(Transactions!$B1481,4),MID(Transactions!$B1481,6,2),MID(Transactions!$B1481,9,2)),)</f>
        <v/>
      </c>
      <c r="B1481" s="56" t="str">
        <f>Transactions!$C1481</f>
        <v/>
      </c>
      <c r="C1481" s="51" t="str">
        <f t="array" ref="C1481">IFERROR(INDEX(Portfolio!$B:$B, MATCH($B1481, Portfolio!$A:$A, 0)),Transactions!$B1481)</f>
        <v/>
      </c>
      <c r="D1481" s="51" t="str">
        <f>IF($B1481&lt;&gt;"",Transactions!$E1481*1,)</f>
        <v/>
      </c>
      <c r="E1481" s="51" t="str">
        <f>IF($B1481&lt;&gt;"",Transactions!$F1481*1,)</f>
        <v/>
      </c>
      <c r="F1481" s="42" t="str">
        <f>IF(Transactions!$G1481&lt;&gt;"",Transactions!$H1481&amp;" "&amp;Transactions!$G1481,)</f>
        <v/>
      </c>
    </row>
    <row r="1482">
      <c r="A1482" s="55" t="str">
        <f>IF(Transactions!$B1482&lt;&gt;"",DATE(LEFT(Transactions!$B1482,4),MID(Transactions!$B1482,6,2),MID(Transactions!$B1482,9,2)),)</f>
        <v/>
      </c>
      <c r="B1482" s="56" t="str">
        <f>Transactions!$C1482</f>
        <v/>
      </c>
      <c r="C1482" s="51" t="str">
        <f t="array" ref="C1482">IFERROR(INDEX(Portfolio!$B:$B, MATCH($B1482, Portfolio!$A:$A, 0)),Transactions!$B1482)</f>
        <v/>
      </c>
      <c r="D1482" s="51" t="str">
        <f>IF($B1482&lt;&gt;"",Transactions!$E1482*1,)</f>
        <v/>
      </c>
      <c r="E1482" s="51" t="str">
        <f>IF($B1482&lt;&gt;"",Transactions!$F1482*1,)</f>
        <v/>
      </c>
      <c r="F1482" s="42" t="str">
        <f>IF(Transactions!$G1482&lt;&gt;"",Transactions!$H1482&amp;" "&amp;Transactions!$G1482,)</f>
        <v/>
      </c>
    </row>
    <row r="1483">
      <c r="A1483" s="55" t="str">
        <f>IF(Transactions!$B1483&lt;&gt;"",DATE(LEFT(Transactions!$B1483,4),MID(Transactions!$B1483,6,2),MID(Transactions!$B1483,9,2)),)</f>
        <v/>
      </c>
      <c r="B1483" s="56" t="str">
        <f>Transactions!$C1483</f>
        <v/>
      </c>
      <c r="C1483" s="51" t="str">
        <f t="array" ref="C1483">IFERROR(INDEX(Portfolio!$B:$B, MATCH($B1483, Portfolio!$A:$A, 0)),Transactions!$B1483)</f>
        <v/>
      </c>
      <c r="D1483" s="51" t="str">
        <f>IF($B1483&lt;&gt;"",Transactions!$E1483*1,)</f>
        <v/>
      </c>
      <c r="E1483" s="51" t="str">
        <f>IF($B1483&lt;&gt;"",Transactions!$F1483*1,)</f>
        <v/>
      </c>
      <c r="F1483" s="42" t="str">
        <f>IF(Transactions!$G1483&lt;&gt;"",Transactions!$H1483&amp;" "&amp;Transactions!$G1483,)</f>
        <v/>
      </c>
    </row>
    <row r="1484">
      <c r="A1484" s="55" t="str">
        <f>IF(Transactions!$B1484&lt;&gt;"",DATE(LEFT(Transactions!$B1484,4),MID(Transactions!$B1484,6,2),MID(Transactions!$B1484,9,2)),)</f>
        <v/>
      </c>
      <c r="B1484" s="56" t="str">
        <f>Transactions!$C1484</f>
        <v/>
      </c>
      <c r="C1484" s="51" t="str">
        <f t="array" ref="C1484">IFERROR(INDEX(Portfolio!$B:$B, MATCH($B1484, Portfolio!$A:$A, 0)),Transactions!$B1484)</f>
        <v/>
      </c>
      <c r="D1484" s="51" t="str">
        <f>IF($B1484&lt;&gt;"",Transactions!$E1484*1,)</f>
        <v/>
      </c>
      <c r="E1484" s="51" t="str">
        <f>IF($B1484&lt;&gt;"",Transactions!$F1484*1,)</f>
        <v/>
      </c>
      <c r="F1484" s="42" t="str">
        <f>IF(Transactions!$G1484&lt;&gt;"",Transactions!$H1484&amp;" "&amp;Transactions!$G1484,)</f>
        <v/>
      </c>
    </row>
    <row r="1485">
      <c r="A1485" s="55" t="str">
        <f>IF(Transactions!$B1485&lt;&gt;"",DATE(LEFT(Transactions!$B1485,4),MID(Transactions!$B1485,6,2),MID(Transactions!$B1485,9,2)),)</f>
        <v/>
      </c>
      <c r="B1485" s="56" t="str">
        <f>Transactions!$C1485</f>
        <v/>
      </c>
      <c r="C1485" s="51" t="str">
        <f t="array" ref="C1485">IFERROR(INDEX(Portfolio!$B:$B, MATCH($B1485, Portfolio!$A:$A, 0)),Transactions!$B1485)</f>
        <v/>
      </c>
      <c r="D1485" s="51" t="str">
        <f>IF($B1485&lt;&gt;"",Transactions!$E1485*1,)</f>
        <v/>
      </c>
      <c r="E1485" s="51" t="str">
        <f>IF($B1485&lt;&gt;"",Transactions!$F1485*1,)</f>
        <v/>
      </c>
      <c r="F1485" s="42" t="str">
        <f>IF(Transactions!$G1485&lt;&gt;"",Transactions!$H1485&amp;" "&amp;Transactions!$G1485,)</f>
        <v/>
      </c>
    </row>
    <row r="1486">
      <c r="A1486" s="55" t="str">
        <f>IF(Transactions!$B1486&lt;&gt;"",DATE(LEFT(Transactions!$B1486,4),MID(Transactions!$B1486,6,2),MID(Transactions!$B1486,9,2)),)</f>
        <v/>
      </c>
      <c r="B1486" s="56" t="str">
        <f>Transactions!$C1486</f>
        <v/>
      </c>
      <c r="C1486" s="51" t="str">
        <f t="array" ref="C1486">IFERROR(INDEX(Portfolio!$B:$B, MATCH($B1486, Portfolio!$A:$A, 0)),Transactions!$B1486)</f>
        <v/>
      </c>
      <c r="D1486" s="51" t="str">
        <f>IF($B1486&lt;&gt;"",Transactions!$E1486*1,)</f>
        <v/>
      </c>
      <c r="E1486" s="51" t="str">
        <f>IF($B1486&lt;&gt;"",Transactions!$F1486*1,)</f>
        <v/>
      </c>
      <c r="F1486" s="42" t="str">
        <f>IF(Transactions!$G1486&lt;&gt;"",Transactions!$H1486&amp;" "&amp;Transactions!$G1486,)</f>
        <v/>
      </c>
    </row>
    <row r="1487">
      <c r="A1487" s="55" t="str">
        <f>IF(Transactions!$B1487&lt;&gt;"",DATE(LEFT(Transactions!$B1487,4),MID(Transactions!$B1487,6,2),MID(Transactions!$B1487,9,2)),)</f>
        <v/>
      </c>
      <c r="B1487" s="56" t="str">
        <f>Transactions!$C1487</f>
        <v/>
      </c>
      <c r="C1487" s="51" t="str">
        <f t="array" ref="C1487">IFERROR(INDEX(Portfolio!$B:$B, MATCH($B1487, Portfolio!$A:$A, 0)),Transactions!$B1487)</f>
        <v/>
      </c>
      <c r="D1487" s="51" t="str">
        <f>IF($B1487&lt;&gt;"",Transactions!$E1487*1,)</f>
        <v/>
      </c>
      <c r="E1487" s="51" t="str">
        <f>IF($B1487&lt;&gt;"",Transactions!$F1487*1,)</f>
        <v/>
      </c>
      <c r="F1487" s="42" t="str">
        <f>IF(Transactions!$G1487&lt;&gt;"",Transactions!$H1487&amp;" "&amp;Transactions!$G1487,)</f>
        <v/>
      </c>
    </row>
    <row r="1488">
      <c r="A1488" s="55" t="str">
        <f>IF(Transactions!$B1488&lt;&gt;"",DATE(LEFT(Transactions!$B1488,4),MID(Transactions!$B1488,6,2),MID(Transactions!$B1488,9,2)),)</f>
        <v/>
      </c>
      <c r="B1488" s="56" t="str">
        <f>Transactions!$C1488</f>
        <v/>
      </c>
      <c r="C1488" s="51" t="str">
        <f t="array" ref="C1488">IFERROR(INDEX(Portfolio!$B:$B, MATCH($B1488, Portfolio!$A:$A, 0)),Transactions!$B1488)</f>
        <v/>
      </c>
      <c r="D1488" s="51" t="str">
        <f>IF($B1488&lt;&gt;"",Transactions!$E1488*1,)</f>
        <v/>
      </c>
      <c r="E1488" s="51" t="str">
        <f>IF($B1488&lt;&gt;"",Transactions!$F1488*1,)</f>
        <v/>
      </c>
      <c r="F1488" s="42" t="str">
        <f>IF(Transactions!$G1488&lt;&gt;"",Transactions!$H1488&amp;" "&amp;Transactions!$G1488,)</f>
        <v/>
      </c>
    </row>
    <row r="1489">
      <c r="A1489" s="55" t="str">
        <f>IF(Transactions!$B1489&lt;&gt;"",DATE(LEFT(Transactions!$B1489,4),MID(Transactions!$B1489,6,2),MID(Transactions!$B1489,9,2)),)</f>
        <v/>
      </c>
      <c r="B1489" s="56" t="str">
        <f>Transactions!$C1489</f>
        <v/>
      </c>
      <c r="C1489" s="51" t="str">
        <f t="array" ref="C1489">IFERROR(INDEX(Portfolio!$B:$B, MATCH($B1489, Portfolio!$A:$A, 0)),Transactions!$B1489)</f>
        <v/>
      </c>
      <c r="D1489" s="51" t="str">
        <f>IF($B1489&lt;&gt;"",Transactions!$E1489*1,)</f>
        <v/>
      </c>
      <c r="E1489" s="51" t="str">
        <f>IF($B1489&lt;&gt;"",Transactions!$F1489*1,)</f>
        <v/>
      </c>
      <c r="F1489" s="42" t="str">
        <f>IF(Transactions!$G1489&lt;&gt;"",Transactions!$H1489&amp;" "&amp;Transactions!$G1489,)</f>
        <v/>
      </c>
    </row>
    <row r="1490">
      <c r="A1490" s="55" t="str">
        <f>IF(Transactions!$B1490&lt;&gt;"",DATE(LEFT(Transactions!$B1490,4),MID(Transactions!$B1490,6,2),MID(Transactions!$B1490,9,2)),)</f>
        <v/>
      </c>
      <c r="B1490" s="56" t="str">
        <f>Transactions!$C1490</f>
        <v/>
      </c>
      <c r="C1490" s="51" t="str">
        <f t="array" ref="C1490">IFERROR(INDEX(Portfolio!$B:$B, MATCH($B1490, Portfolio!$A:$A, 0)),Transactions!$B1490)</f>
        <v/>
      </c>
      <c r="D1490" s="51" t="str">
        <f>IF($B1490&lt;&gt;"",Transactions!$E1490*1,)</f>
        <v/>
      </c>
      <c r="E1490" s="51" t="str">
        <f>IF($B1490&lt;&gt;"",Transactions!$F1490*1,)</f>
        <v/>
      </c>
      <c r="F1490" s="42" t="str">
        <f>IF(Transactions!$G1490&lt;&gt;"",Transactions!$H1490&amp;" "&amp;Transactions!$G1490,)</f>
        <v/>
      </c>
    </row>
    <row r="1491">
      <c r="A1491" s="55" t="str">
        <f>IF(Transactions!$B1491&lt;&gt;"",DATE(LEFT(Transactions!$B1491,4),MID(Transactions!$B1491,6,2),MID(Transactions!$B1491,9,2)),)</f>
        <v/>
      </c>
      <c r="B1491" s="56" t="str">
        <f>Transactions!$C1491</f>
        <v/>
      </c>
      <c r="C1491" s="51" t="str">
        <f t="array" ref="C1491">IFERROR(INDEX(Portfolio!$B:$B, MATCH($B1491, Portfolio!$A:$A, 0)),Transactions!$B1491)</f>
        <v/>
      </c>
      <c r="D1491" s="51" t="str">
        <f>IF($B1491&lt;&gt;"",Transactions!$E1491*1,)</f>
        <v/>
      </c>
      <c r="E1491" s="51" t="str">
        <f>IF($B1491&lt;&gt;"",Transactions!$F1491*1,)</f>
        <v/>
      </c>
      <c r="F1491" s="42" t="str">
        <f>IF(Transactions!$G1491&lt;&gt;"",Transactions!$H1491&amp;" "&amp;Transactions!$G1491,)</f>
        <v/>
      </c>
    </row>
    <row r="1492">
      <c r="A1492" s="55" t="str">
        <f>IF(Transactions!$B1492&lt;&gt;"",DATE(LEFT(Transactions!$B1492,4),MID(Transactions!$B1492,6,2),MID(Transactions!$B1492,9,2)),)</f>
        <v/>
      </c>
      <c r="B1492" s="56" t="str">
        <f>Transactions!$C1492</f>
        <v/>
      </c>
      <c r="C1492" s="51" t="str">
        <f t="array" ref="C1492">IFERROR(INDEX(Portfolio!$B:$B, MATCH($B1492, Portfolio!$A:$A, 0)),Transactions!$B1492)</f>
        <v/>
      </c>
      <c r="D1492" s="51" t="str">
        <f>IF($B1492&lt;&gt;"",Transactions!$E1492*1,)</f>
        <v/>
      </c>
      <c r="E1492" s="51" t="str">
        <f>IF($B1492&lt;&gt;"",Transactions!$F1492*1,)</f>
        <v/>
      </c>
      <c r="F1492" s="42" t="str">
        <f>IF(Transactions!$G1492&lt;&gt;"",Transactions!$H1492&amp;" "&amp;Transactions!$G1492,)</f>
        <v/>
      </c>
    </row>
    <row r="1493">
      <c r="A1493" s="55" t="str">
        <f>IF(Transactions!$B1493&lt;&gt;"",DATE(LEFT(Transactions!$B1493,4),MID(Transactions!$B1493,6,2),MID(Transactions!$B1493,9,2)),)</f>
        <v/>
      </c>
      <c r="B1493" s="56" t="str">
        <f>Transactions!$C1493</f>
        <v/>
      </c>
      <c r="C1493" s="51" t="str">
        <f t="array" ref="C1493">IFERROR(INDEX(Portfolio!$B:$B, MATCH($B1493, Portfolio!$A:$A, 0)),Transactions!$B1493)</f>
        <v/>
      </c>
      <c r="D1493" s="51" t="str">
        <f>IF($B1493&lt;&gt;"",Transactions!$E1493*1,)</f>
        <v/>
      </c>
      <c r="E1493" s="51" t="str">
        <f>IF($B1493&lt;&gt;"",Transactions!$F1493*1,)</f>
        <v/>
      </c>
      <c r="F1493" s="42" t="str">
        <f>IF(Transactions!$G1493&lt;&gt;"",Transactions!$H1493&amp;" "&amp;Transactions!$G1493,)</f>
        <v/>
      </c>
    </row>
    <row r="1494">
      <c r="A1494" s="55" t="str">
        <f>IF(Transactions!$B1494&lt;&gt;"",DATE(LEFT(Transactions!$B1494,4),MID(Transactions!$B1494,6,2),MID(Transactions!$B1494,9,2)),)</f>
        <v/>
      </c>
      <c r="B1494" s="56" t="str">
        <f>Transactions!$C1494</f>
        <v/>
      </c>
      <c r="C1494" s="51" t="str">
        <f t="array" ref="C1494">IFERROR(INDEX(Portfolio!$B:$B, MATCH($B1494, Portfolio!$A:$A, 0)),Transactions!$B1494)</f>
        <v/>
      </c>
      <c r="D1494" s="51" t="str">
        <f>IF($B1494&lt;&gt;"",Transactions!$E1494*1,)</f>
        <v/>
      </c>
      <c r="E1494" s="51" t="str">
        <f>IF($B1494&lt;&gt;"",Transactions!$F1494*1,)</f>
        <v/>
      </c>
      <c r="F1494" s="42" t="str">
        <f>IF(Transactions!$G1494&lt;&gt;"",Transactions!$H1494&amp;" "&amp;Transactions!$G1494,)</f>
        <v/>
      </c>
    </row>
    <row r="1495">
      <c r="A1495" s="55" t="str">
        <f>IF(Transactions!$B1495&lt;&gt;"",DATE(LEFT(Transactions!$B1495,4),MID(Transactions!$B1495,6,2),MID(Transactions!$B1495,9,2)),)</f>
        <v/>
      </c>
      <c r="B1495" s="56" t="str">
        <f>Transactions!$C1495</f>
        <v/>
      </c>
      <c r="C1495" s="51" t="str">
        <f t="array" ref="C1495">IFERROR(INDEX(Portfolio!$B:$B, MATCH($B1495, Portfolio!$A:$A, 0)),Transactions!$B1495)</f>
        <v/>
      </c>
      <c r="D1495" s="51" t="str">
        <f>IF($B1495&lt;&gt;"",Transactions!$E1495*1,)</f>
        <v/>
      </c>
      <c r="E1495" s="51" t="str">
        <f>IF($B1495&lt;&gt;"",Transactions!$F1495*1,)</f>
        <v/>
      </c>
      <c r="F1495" s="42" t="str">
        <f>IF(Transactions!$G1495&lt;&gt;"",Transactions!$H1495&amp;" "&amp;Transactions!$G1495,)</f>
        <v/>
      </c>
    </row>
    <row r="1496">
      <c r="A1496" s="55" t="str">
        <f>IF(Transactions!$B1496&lt;&gt;"",DATE(LEFT(Transactions!$B1496,4),MID(Transactions!$B1496,6,2),MID(Transactions!$B1496,9,2)),)</f>
        <v/>
      </c>
      <c r="B1496" s="56" t="str">
        <f>Transactions!$C1496</f>
        <v/>
      </c>
      <c r="C1496" s="51" t="str">
        <f t="array" ref="C1496">IFERROR(INDEX(Portfolio!$B:$B, MATCH($B1496, Portfolio!$A:$A, 0)),Transactions!$B1496)</f>
        <v/>
      </c>
      <c r="D1496" s="51" t="str">
        <f>IF($B1496&lt;&gt;"",Transactions!$E1496*1,)</f>
        <v/>
      </c>
      <c r="E1496" s="51" t="str">
        <f>IF($B1496&lt;&gt;"",Transactions!$F1496*1,)</f>
        <v/>
      </c>
      <c r="F1496" s="42" t="str">
        <f>IF(Transactions!$G1496&lt;&gt;"",Transactions!$H1496&amp;" "&amp;Transactions!$G1496,)</f>
        <v/>
      </c>
    </row>
    <row r="1497">
      <c r="A1497" s="55" t="str">
        <f>IF(Transactions!$B1497&lt;&gt;"",DATE(LEFT(Transactions!$B1497,4),MID(Transactions!$B1497,6,2),MID(Transactions!$B1497,9,2)),)</f>
        <v/>
      </c>
      <c r="B1497" s="56" t="str">
        <f>Transactions!$C1497</f>
        <v/>
      </c>
      <c r="C1497" s="51" t="str">
        <f t="array" ref="C1497">IFERROR(INDEX(Portfolio!$B:$B, MATCH($B1497, Portfolio!$A:$A, 0)),Transactions!$B1497)</f>
        <v/>
      </c>
      <c r="D1497" s="51" t="str">
        <f>IF($B1497&lt;&gt;"",Transactions!$E1497*1,)</f>
        <v/>
      </c>
      <c r="E1497" s="51" t="str">
        <f>IF($B1497&lt;&gt;"",Transactions!$F1497*1,)</f>
        <v/>
      </c>
      <c r="F1497" s="42" t="str">
        <f>IF(Transactions!$G1497&lt;&gt;"",Transactions!$H1497&amp;" "&amp;Transactions!$G1497,)</f>
        <v/>
      </c>
    </row>
    <row r="1498">
      <c r="A1498" s="55" t="str">
        <f>IF(Transactions!$B1498&lt;&gt;"",DATE(LEFT(Transactions!$B1498,4),MID(Transactions!$B1498,6,2),MID(Transactions!$B1498,9,2)),)</f>
        <v/>
      </c>
      <c r="B1498" s="56" t="str">
        <f>Transactions!$C1498</f>
        <v/>
      </c>
      <c r="C1498" s="51" t="str">
        <f t="array" ref="C1498">IFERROR(INDEX(Portfolio!$B:$B, MATCH($B1498, Portfolio!$A:$A, 0)),Transactions!$B1498)</f>
        <v/>
      </c>
      <c r="D1498" s="51" t="str">
        <f>IF($B1498&lt;&gt;"",Transactions!$E1498*1,)</f>
        <v/>
      </c>
      <c r="E1498" s="51" t="str">
        <f>IF($B1498&lt;&gt;"",Transactions!$F1498*1,)</f>
        <v/>
      </c>
      <c r="F1498" s="42" t="str">
        <f>IF(Transactions!$G1498&lt;&gt;"",Transactions!$H1498&amp;" "&amp;Transactions!$G1498,)</f>
        <v/>
      </c>
    </row>
    <row r="1499">
      <c r="A1499" s="55" t="str">
        <f>IF(Transactions!$B1499&lt;&gt;"",DATE(LEFT(Transactions!$B1499,4),MID(Transactions!$B1499,6,2),MID(Transactions!$B1499,9,2)),)</f>
        <v/>
      </c>
      <c r="B1499" s="56" t="str">
        <f>Transactions!$C1499</f>
        <v/>
      </c>
      <c r="C1499" s="51" t="str">
        <f t="array" ref="C1499">IFERROR(INDEX(Portfolio!$B:$B, MATCH($B1499, Portfolio!$A:$A, 0)),Transactions!$B1499)</f>
        <v/>
      </c>
      <c r="D1499" s="51" t="str">
        <f>IF($B1499&lt;&gt;"",Transactions!$E1499*1,)</f>
        <v/>
      </c>
      <c r="E1499" s="51" t="str">
        <f>IF($B1499&lt;&gt;"",Transactions!$F1499*1,)</f>
        <v/>
      </c>
      <c r="F1499" s="42" t="str">
        <f>IF(Transactions!$G1499&lt;&gt;"",Transactions!$H1499&amp;" "&amp;Transactions!$G1499,)</f>
        <v/>
      </c>
    </row>
    <row r="1500">
      <c r="A1500" s="55" t="str">
        <f>IF(Transactions!$B1500&lt;&gt;"",DATE(LEFT(Transactions!$B1500,4),MID(Transactions!$B1500,6,2),MID(Transactions!$B1500,9,2)),)</f>
        <v/>
      </c>
      <c r="B1500" s="56" t="str">
        <f>Transactions!$C1500</f>
        <v/>
      </c>
      <c r="C1500" s="51" t="str">
        <f t="array" ref="C1500">IFERROR(INDEX(Portfolio!$B:$B, MATCH($B1500, Portfolio!$A:$A, 0)),Transactions!$B1500)</f>
        <v/>
      </c>
      <c r="D1500" s="51" t="str">
        <f>IF($B1500&lt;&gt;"",Transactions!$E1500*1,)</f>
        <v/>
      </c>
      <c r="E1500" s="51" t="str">
        <f>IF($B1500&lt;&gt;"",Transactions!$F1500*1,)</f>
        <v/>
      </c>
      <c r="F1500" s="42" t="str">
        <f>IF(Transactions!$G1500&lt;&gt;"",Transactions!$H1500&amp;" "&amp;Transactions!$G1500,)</f>
        <v/>
      </c>
    </row>
    <row r="1501">
      <c r="A1501" s="55" t="str">
        <f>IF(Transactions!$B1501&lt;&gt;"",DATE(LEFT(Transactions!$B1501,4),MID(Transactions!$B1501,6,2),MID(Transactions!$B1501,9,2)),)</f>
        <v/>
      </c>
      <c r="B1501" s="56" t="str">
        <f>Transactions!$C1501</f>
        <v/>
      </c>
      <c r="C1501" s="51" t="str">
        <f t="array" ref="C1501">IFERROR(INDEX(Portfolio!$B:$B, MATCH($B1501, Portfolio!$A:$A, 0)),Transactions!$B1501)</f>
        <v/>
      </c>
      <c r="D1501" s="51" t="str">
        <f>IF($B1501&lt;&gt;"",Transactions!$E1501*1,)</f>
        <v/>
      </c>
      <c r="E1501" s="51" t="str">
        <f>IF($B1501&lt;&gt;"",Transactions!$F1501*1,)</f>
        <v/>
      </c>
      <c r="F1501" s="42" t="str">
        <f>IF(Transactions!$G1501&lt;&gt;"",Transactions!$H1501&amp;" "&amp;Transactions!$G1501,)</f>
        <v/>
      </c>
    </row>
    <row r="1502">
      <c r="A1502" s="55" t="str">
        <f>IF(Transactions!$B1502&lt;&gt;"",DATE(LEFT(Transactions!$B1502,4),MID(Transactions!$B1502,6,2),MID(Transactions!$B1502,9,2)),)</f>
        <v/>
      </c>
      <c r="B1502" s="56" t="str">
        <f>Transactions!$C1502</f>
        <v/>
      </c>
      <c r="C1502" s="51" t="str">
        <f t="array" ref="C1502">IFERROR(INDEX(Portfolio!$B:$B, MATCH($B1502, Portfolio!$A:$A, 0)),Transactions!$B1502)</f>
        <v/>
      </c>
      <c r="D1502" s="51" t="str">
        <f>IF($B1502&lt;&gt;"",Transactions!$E1502*1,)</f>
        <v/>
      </c>
      <c r="E1502" s="51" t="str">
        <f>IF($B1502&lt;&gt;"",Transactions!$F1502*1,)</f>
        <v/>
      </c>
      <c r="F1502" s="42" t="str">
        <f>IF(Transactions!$G1502&lt;&gt;"",Transactions!$H1502&amp;" "&amp;Transactions!$G1502,)</f>
        <v/>
      </c>
    </row>
    <row r="1503">
      <c r="A1503" s="55" t="str">
        <f>IF(Transactions!$B1503&lt;&gt;"",DATE(LEFT(Transactions!$B1503,4),MID(Transactions!$B1503,6,2),MID(Transactions!$B1503,9,2)),)</f>
        <v/>
      </c>
      <c r="B1503" s="56" t="str">
        <f>Transactions!$C1503</f>
        <v/>
      </c>
      <c r="C1503" s="51" t="str">
        <f t="array" ref="C1503">IFERROR(INDEX(Portfolio!$B:$B, MATCH($B1503, Portfolio!$A:$A, 0)),Transactions!$B1503)</f>
        <v/>
      </c>
      <c r="D1503" s="51" t="str">
        <f>IF($B1503&lt;&gt;"",Transactions!$E1503*1,)</f>
        <v/>
      </c>
      <c r="E1503" s="51" t="str">
        <f>IF($B1503&lt;&gt;"",Transactions!$F1503*1,)</f>
        <v/>
      </c>
      <c r="F1503" s="42" t="str">
        <f>IF(Transactions!$G1503&lt;&gt;"",Transactions!$H1503&amp;" "&amp;Transactions!$G1503,)</f>
        <v/>
      </c>
    </row>
    <row r="1504">
      <c r="A1504" s="55" t="str">
        <f>IF(Transactions!$B1504&lt;&gt;"",DATE(LEFT(Transactions!$B1504,4),MID(Transactions!$B1504,6,2),MID(Transactions!$B1504,9,2)),)</f>
        <v/>
      </c>
      <c r="B1504" s="56" t="str">
        <f>Transactions!$C1504</f>
        <v/>
      </c>
      <c r="C1504" s="51" t="str">
        <f t="array" ref="C1504">IFERROR(INDEX(Portfolio!$B:$B, MATCH($B1504, Portfolio!$A:$A, 0)),Transactions!$B1504)</f>
        <v/>
      </c>
      <c r="D1504" s="51" t="str">
        <f>IF($B1504&lt;&gt;"",Transactions!$E1504*1,)</f>
        <v/>
      </c>
      <c r="E1504" s="51" t="str">
        <f>IF($B1504&lt;&gt;"",Transactions!$F1504*1,)</f>
        <v/>
      </c>
      <c r="F1504" s="42" t="str">
        <f>IF(Transactions!$G1504&lt;&gt;"",Transactions!$H1504&amp;" "&amp;Transactions!$G1504,)</f>
        <v/>
      </c>
    </row>
    <row r="1505">
      <c r="A1505" s="55" t="str">
        <f>IF(Transactions!$B1505&lt;&gt;"",DATE(LEFT(Transactions!$B1505,4),MID(Transactions!$B1505,6,2),MID(Transactions!$B1505,9,2)),)</f>
        <v/>
      </c>
      <c r="B1505" s="56" t="str">
        <f>Transactions!$C1505</f>
        <v/>
      </c>
      <c r="C1505" s="51" t="str">
        <f t="array" ref="C1505">IFERROR(INDEX(Portfolio!$B:$B, MATCH($B1505, Portfolio!$A:$A, 0)),Transactions!$B1505)</f>
        <v/>
      </c>
      <c r="D1505" s="51" t="str">
        <f>IF($B1505&lt;&gt;"",Transactions!$E1505*1,)</f>
        <v/>
      </c>
      <c r="E1505" s="51" t="str">
        <f>IF($B1505&lt;&gt;"",Transactions!$F1505*1,)</f>
        <v/>
      </c>
      <c r="F1505" s="42" t="str">
        <f>IF(Transactions!$G1505&lt;&gt;"",Transactions!$H1505&amp;" "&amp;Transactions!$G1505,)</f>
        <v/>
      </c>
    </row>
    <row r="1506">
      <c r="A1506" s="55" t="str">
        <f>IF(Transactions!$B1506&lt;&gt;"",DATE(LEFT(Transactions!$B1506,4),MID(Transactions!$B1506,6,2),MID(Transactions!$B1506,9,2)),)</f>
        <v/>
      </c>
      <c r="B1506" s="56" t="str">
        <f>Transactions!$C1506</f>
        <v/>
      </c>
      <c r="C1506" s="51" t="str">
        <f t="array" ref="C1506">IFERROR(INDEX(Portfolio!$B:$B, MATCH($B1506, Portfolio!$A:$A, 0)),Transactions!$B1506)</f>
        <v/>
      </c>
      <c r="D1506" s="51" t="str">
        <f>IF($B1506&lt;&gt;"",Transactions!$E1506*1,)</f>
        <v/>
      </c>
      <c r="E1506" s="51" t="str">
        <f>IF($B1506&lt;&gt;"",Transactions!$F1506*1,)</f>
        <v/>
      </c>
      <c r="F1506" s="42" t="str">
        <f>IF(Transactions!$G1506&lt;&gt;"",Transactions!$H1506&amp;" "&amp;Transactions!$G1506,)</f>
        <v/>
      </c>
    </row>
    <row r="1507">
      <c r="A1507" s="55" t="str">
        <f>IF(Transactions!$B1507&lt;&gt;"",DATE(LEFT(Transactions!$B1507,4),MID(Transactions!$B1507,6,2),MID(Transactions!$B1507,9,2)),)</f>
        <v/>
      </c>
      <c r="B1507" s="56" t="str">
        <f>Transactions!$C1507</f>
        <v/>
      </c>
      <c r="C1507" s="51" t="str">
        <f t="array" ref="C1507">IFERROR(INDEX(Portfolio!$B:$B, MATCH($B1507, Portfolio!$A:$A, 0)),Transactions!$B1507)</f>
        <v/>
      </c>
      <c r="D1507" s="51" t="str">
        <f>IF($B1507&lt;&gt;"",Transactions!$E1507*1,)</f>
        <v/>
      </c>
      <c r="E1507" s="51" t="str">
        <f>IF($B1507&lt;&gt;"",Transactions!$F1507*1,)</f>
        <v/>
      </c>
      <c r="F1507" s="42" t="str">
        <f>IF(Transactions!$G1507&lt;&gt;"",Transactions!$H1507&amp;" "&amp;Transactions!$G1507,)</f>
        <v/>
      </c>
    </row>
    <row r="1508">
      <c r="A1508" s="55" t="str">
        <f>IF(Transactions!$B1508&lt;&gt;"",DATE(LEFT(Transactions!$B1508,4),MID(Transactions!$B1508,6,2),MID(Transactions!$B1508,9,2)),)</f>
        <v/>
      </c>
      <c r="B1508" s="56" t="str">
        <f>Transactions!$C1508</f>
        <v/>
      </c>
      <c r="C1508" s="51" t="str">
        <f t="array" ref="C1508">IFERROR(INDEX(Portfolio!$B:$B, MATCH($B1508, Portfolio!$A:$A, 0)),Transactions!$B1508)</f>
        <v/>
      </c>
      <c r="D1508" s="51" t="str">
        <f>IF($B1508&lt;&gt;"",Transactions!$E1508*1,)</f>
        <v/>
      </c>
      <c r="E1508" s="51" t="str">
        <f>IF($B1508&lt;&gt;"",Transactions!$F1508*1,)</f>
        <v/>
      </c>
      <c r="F1508" s="42" t="str">
        <f>IF(Transactions!$G1508&lt;&gt;"",Transactions!$H1508&amp;" "&amp;Transactions!$G1508,)</f>
        <v/>
      </c>
    </row>
    <row r="1509">
      <c r="A1509" s="55" t="str">
        <f>IF(Transactions!$B1509&lt;&gt;"",DATE(LEFT(Transactions!$B1509,4),MID(Transactions!$B1509,6,2),MID(Transactions!$B1509,9,2)),)</f>
        <v/>
      </c>
      <c r="B1509" s="56" t="str">
        <f>Transactions!$C1509</f>
        <v/>
      </c>
      <c r="C1509" s="51" t="str">
        <f t="array" ref="C1509">IFERROR(INDEX(Portfolio!$B:$B, MATCH($B1509, Portfolio!$A:$A, 0)),Transactions!$B1509)</f>
        <v/>
      </c>
      <c r="D1509" s="51" t="str">
        <f>IF($B1509&lt;&gt;"",Transactions!$E1509*1,)</f>
        <v/>
      </c>
      <c r="E1509" s="51" t="str">
        <f>IF($B1509&lt;&gt;"",Transactions!$F1509*1,)</f>
        <v/>
      </c>
      <c r="F1509" s="42" t="str">
        <f>IF(Transactions!$G1509&lt;&gt;"",Transactions!$H1509&amp;" "&amp;Transactions!$G1509,)</f>
        <v/>
      </c>
    </row>
    <row r="1510">
      <c r="A1510" s="55" t="str">
        <f>IF(Transactions!$B1510&lt;&gt;"",DATE(LEFT(Transactions!$B1510,4),MID(Transactions!$B1510,6,2),MID(Transactions!$B1510,9,2)),)</f>
        <v/>
      </c>
      <c r="B1510" s="56" t="str">
        <f>Transactions!$C1510</f>
        <v/>
      </c>
      <c r="C1510" s="51" t="str">
        <f t="array" ref="C1510">IFERROR(INDEX(Portfolio!$B:$B, MATCH($B1510, Portfolio!$A:$A, 0)),Transactions!$B1510)</f>
        <v/>
      </c>
      <c r="D1510" s="51" t="str">
        <f>IF($B1510&lt;&gt;"",Transactions!$E1510*1,)</f>
        <v/>
      </c>
      <c r="E1510" s="51" t="str">
        <f>IF($B1510&lt;&gt;"",Transactions!$F1510*1,)</f>
        <v/>
      </c>
      <c r="F1510" s="42" t="str">
        <f>IF(Transactions!$G1510&lt;&gt;"",Transactions!$H1510&amp;" "&amp;Transactions!$G1510,)</f>
        <v/>
      </c>
    </row>
    <row r="1511">
      <c r="A1511" s="55" t="str">
        <f>IF(Transactions!$B1511&lt;&gt;"",DATE(LEFT(Transactions!$B1511,4),MID(Transactions!$B1511,6,2),MID(Transactions!$B1511,9,2)),)</f>
        <v/>
      </c>
      <c r="B1511" s="56" t="str">
        <f>Transactions!$C1511</f>
        <v/>
      </c>
      <c r="C1511" s="51" t="str">
        <f t="array" ref="C1511">IFERROR(INDEX(Portfolio!$B:$B, MATCH($B1511, Portfolio!$A:$A, 0)),Transactions!$B1511)</f>
        <v/>
      </c>
      <c r="D1511" s="51" t="str">
        <f>IF($B1511&lt;&gt;"",Transactions!$E1511*1,)</f>
        <v/>
      </c>
      <c r="E1511" s="51" t="str">
        <f>IF($B1511&lt;&gt;"",Transactions!$F1511*1,)</f>
        <v/>
      </c>
      <c r="F1511" s="42" t="str">
        <f>IF(Transactions!$G1511&lt;&gt;"",Transactions!$H1511&amp;" "&amp;Transactions!$G1511,)</f>
        <v/>
      </c>
    </row>
    <row r="1512">
      <c r="A1512" s="55" t="str">
        <f>IF(Transactions!$B1512&lt;&gt;"",DATE(LEFT(Transactions!$B1512,4),MID(Transactions!$B1512,6,2),MID(Transactions!$B1512,9,2)),)</f>
        <v/>
      </c>
      <c r="B1512" s="56" t="str">
        <f>Transactions!$C1512</f>
        <v/>
      </c>
      <c r="C1512" s="51" t="str">
        <f t="array" ref="C1512">IFERROR(INDEX(Portfolio!$B:$B, MATCH($B1512, Portfolio!$A:$A, 0)),Transactions!$B1512)</f>
        <v/>
      </c>
      <c r="D1512" s="51" t="str">
        <f>IF($B1512&lt;&gt;"",Transactions!$E1512*1,)</f>
        <v/>
      </c>
      <c r="E1512" s="51" t="str">
        <f>IF($B1512&lt;&gt;"",Transactions!$F1512*1,)</f>
        <v/>
      </c>
      <c r="F1512" s="42" t="str">
        <f>IF(Transactions!$G1512&lt;&gt;"",Transactions!$H1512&amp;" "&amp;Transactions!$G1512,)</f>
        <v/>
      </c>
    </row>
    <row r="1513">
      <c r="A1513" s="55" t="str">
        <f>IF(Transactions!$B1513&lt;&gt;"",DATE(LEFT(Transactions!$B1513,4),MID(Transactions!$B1513,6,2),MID(Transactions!$B1513,9,2)),)</f>
        <v/>
      </c>
      <c r="B1513" s="56" t="str">
        <f>Transactions!$C1513</f>
        <v/>
      </c>
      <c r="C1513" s="51" t="str">
        <f t="array" ref="C1513">IFERROR(INDEX(Portfolio!$B:$B, MATCH($B1513, Portfolio!$A:$A, 0)),Transactions!$B1513)</f>
        <v/>
      </c>
      <c r="D1513" s="51" t="str">
        <f>IF($B1513&lt;&gt;"",Transactions!$E1513*1,)</f>
        <v/>
      </c>
      <c r="E1513" s="51" t="str">
        <f>IF($B1513&lt;&gt;"",Transactions!$F1513*1,)</f>
        <v/>
      </c>
      <c r="F1513" s="42" t="str">
        <f>IF(Transactions!$G1513&lt;&gt;"",Transactions!$H1513&amp;" "&amp;Transactions!$G1513,)</f>
        <v/>
      </c>
    </row>
    <row r="1514">
      <c r="A1514" s="55" t="str">
        <f>IF(Transactions!$B1514&lt;&gt;"",DATE(LEFT(Transactions!$B1514,4),MID(Transactions!$B1514,6,2),MID(Transactions!$B1514,9,2)),)</f>
        <v/>
      </c>
      <c r="B1514" s="56" t="str">
        <f>Transactions!$C1514</f>
        <v/>
      </c>
      <c r="C1514" s="51" t="str">
        <f t="array" ref="C1514">IFERROR(INDEX(Portfolio!$B:$B, MATCH($B1514, Portfolio!$A:$A, 0)),Transactions!$B1514)</f>
        <v/>
      </c>
      <c r="D1514" s="51" t="str">
        <f>IF($B1514&lt;&gt;"",Transactions!$E1514*1,)</f>
        <v/>
      </c>
      <c r="E1514" s="51" t="str">
        <f>IF($B1514&lt;&gt;"",Transactions!$F1514*1,)</f>
        <v/>
      </c>
      <c r="F1514" s="42" t="str">
        <f>IF(Transactions!$G1514&lt;&gt;"",Transactions!$H1514&amp;" "&amp;Transactions!$G1514,)</f>
        <v/>
      </c>
    </row>
    <row r="1515">
      <c r="A1515" s="55" t="str">
        <f>IF(Transactions!$B1515&lt;&gt;"",DATE(LEFT(Transactions!$B1515,4),MID(Transactions!$B1515,6,2),MID(Transactions!$B1515,9,2)),)</f>
        <v/>
      </c>
      <c r="B1515" s="56" t="str">
        <f>Transactions!$C1515</f>
        <v/>
      </c>
      <c r="C1515" s="51" t="str">
        <f t="array" ref="C1515">IFERROR(INDEX(Portfolio!$B:$B, MATCH($B1515, Portfolio!$A:$A, 0)),Transactions!$B1515)</f>
        <v/>
      </c>
      <c r="D1515" s="51" t="str">
        <f>IF($B1515&lt;&gt;"",Transactions!$E1515*1,)</f>
        <v/>
      </c>
      <c r="E1515" s="51" t="str">
        <f>IF($B1515&lt;&gt;"",Transactions!$F1515*1,)</f>
        <v/>
      </c>
      <c r="F1515" s="42" t="str">
        <f>IF(Transactions!$G1515&lt;&gt;"",Transactions!$H1515&amp;" "&amp;Transactions!$G1515,)</f>
        <v/>
      </c>
    </row>
    <row r="1516">
      <c r="A1516" s="55" t="str">
        <f>IF(Transactions!$B1516&lt;&gt;"",DATE(LEFT(Transactions!$B1516,4),MID(Transactions!$B1516,6,2),MID(Transactions!$B1516,9,2)),)</f>
        <v/>
      </c>
      <c r="B1516" s="56" t="str">
        <f>Transactions!$C1516</f>
        <v/>
      </c>
      <c r="C1516" s="51" t="str">
        <f t="array" ref="C1516">IFERROR(INDEX(Portfolio!$B:$B, MATCH($B1516, Portfolio!$A:$A, 0)),Transactions!$B1516)</f>
        <v/>
      </c>
      <c r="D1516" s="51" t="str">
        <f>IF($B1516&lt;&gt;"",Transactions!$E1516*1,)</f>
        <v/>
      </c>
      <c r="E1516" s="51" t="str">
        <f>IF($B1516&lt;&gt;"",Transactions!$F1516*1,)</f>
        <v/>
      </c>
      <c r="F1516" s="42" t="str">
        <f>IF(Transactions!$G1516&lt;&gt;"",Transactions!$H1516&amp;" "&amp;Transactions!$G1516,)</f>
        <v/>
      </c>
    </row>
    <row r="1517">
      <c r="A1517" s="55" t="str">
        <f>IF(Transactions!$B1517&lt;&gt;"",DATE(LEFT(Transactions!$B1517,4),MID(Transactions!$B1517,6,2),MID(Transactions!$B1517,9,2)),)</f>
        <v/>
      </c>
      <c r="B1517" s="56" t="str">
        <f>Transactions!$C1517</f>
        <v/>
      </c>
      <c r="C1517" s="51" t="str">
        <f t="array" ref="C1517">IFERROR(INDEX(Portfolio!$B:$B, MATCH($B1517, Portfolio!$A:$A, 0)),Transactions!$B1517)</f>
        <v/>
      </c>
      <c r="D1517" s="51" t="str">
        <f>IF($B1517&lt;&gt;"",Transactions!$E1517*1,)</f>
        <v/>
      </c>
      <c r="E1517" s="51" t="str">
        <f>IF($B1517&lt;&gt;"",Transactions!$F1517*1,)</f>
        <v/>
      </c>
      <c r="F1517" s="42" t="str">
        <f>IF(Transactions!$G1517&lt;&gt;"",Transactions!$H1517&amp;" "&amp;Transactions!$G1517,)</f>
        <v/>
      </c>
    </row>
    <row r="1518">
      <c r="A1518" s="55" t="str">
        <f>IF(Transactions!$B1518&lt;&gt;"",DATE(LEFT(Transactions!$B1518,4),MID(Transactions!$B1518,6,2),MID(Transactions!$B1518,9,2)),)</f>
        <v/>
      </c>
      <c r="B1518" s="56" t="str">
        <f>Transactions!$C1518</f>
        <v/>
      </c>
      <c r="C1518" s="51" t="str">
        <f t="array" ref="C1518">IFERROR(INDEX(Portfolio!$B:$B, MATCH($B1518, Portfolio!$A:$A, 0)),Transactions!$B1518)</f>
        <v/>
      </c>
      <c r="D1518" s="51" t="str">
        <f>IF($B1518&lt;&gt;"",Transactions!$E1518*1,)</f>
        <v/>
      </c>
      <c r="E1518" s="51" t="str">
        <f>IF($B1518&lt;&gt;"",Transactions!$F1518*1,)</f>
        <v/>
      </c>
      <c r="F1518" s="42" t="str">
        <f>IF(Transactions!$G1518&lt;&gt;"",Transactions!$H1518&amp;" "&amp;Transactions!$G1518,)</f>
        <v/>
      </c>
    </row>
    <row r="1519">
      <c r="A1519" s="55" t="str">
        <f>IF(Transactions!$B1519&lt;&gt;"",DATE(LEFT(Transactions!$B1519,4),MID(Transactions!$B1519,6,2),MID(Transactions!$B1519,9,2)),)</f>
        <v/>
      </c>
      <c r="B1519" s="56" t="str">
        <f>Transactions!$C1519</f>
        <v/>
      </c>
      <c r="C1519" s="51" t="str">
        <f t="array" ref="C1519">IFERROR(INDEX(Portfolio!$B:$B, MATCH($B1519, Portfolio!$A:$A, 0)),Transactions!$B1519)</f>
        <v/>
      </c>
      <c r="D1519" s="51" t="str">
        <f>IF($B1519&lt;&gt;"",Transactions!$E1519*1,)</f>
        <v/>
      </c>
      <c r="E1519" s="51" t="str">
        <f>IF($B1519&lt;&gt;"",Transactions!$F1519*1,)</f>
        <v/>
      </c>
      <c r="F1519" s="42" t="str">
        <f>IF(Transactions!$G1519&lt;&gt;"",Transactions!$H1519&amp;" "&amp;Transactions!$G1519,)</f>
        <v/>
      </c>
    </row>
    <row r="1520">
      <c r="A1520" s="55" t="str">
        <f>IF(Transactions!$B1520&lt;&gt;"",DATE(LEFT(Transactions!$B1520,4),MID(Transactions!$B1520,6,2),MID(Transactions!$B1520,9,2)),)</f>
        <v/>
      </c>
      <c r="B1520" s="56" t="str">
        <f>Transactions!$C1520</f>
        <v/>
      </c>
      <c r="C1520" s="51" t="str">
        <f t="array" ref="C1520">IFERROR(INDEX(Portfolio!$B:$B, MATCH($B1520, Portfolio!$A:$A, 0)),Transactions!$B1520)</f>
        <v/>
      </c>
      <c r="D1520" s="51" t="str">
        <f>IF($B1520&lt;&gt;"",Transactions!$E1520*1,)</f>
        <v/>
      </c>
      <c r="E1520" s="51" t="str">
        <f>IF($B1520&lt;&gt;"",Transactions!$F1520*1,)</f>
        <v/>
      </c>
      <c r="F1520" s="42" t="str">
        <f>IF(Transactions!$G1520&lt;&gt;"",Transactions!$H1520&amp;" "&amp;Transactions!$G1520,)</f>
        <v/>
      </c>
    </row>
    <row r="1521">
      <c r="A1521" s="55" t="str">
        <f>IF(Transactions!$B1521&lt;&gt;"",DATE(LEFT(Transactions!$B1521,4),MID(Transactions!$B1521,6,2),MID(Transactions!$B1521,9,2)),)</f>
        <v/>
      </c>
      <c r="B1521" s="56" t="str">
        <f>Transactions!$C1521</f>
        <v/>
      </c>
      <c r="C1521" s="51" t="str">
        <f t="array" ref="C1521">IFERROR(INDEX(Portfolio!$B:$B, MATCH($B1521, Portfolio!$A:$A, 0)),Transactions!$B1521)</f>
        <v/>
      </c>
      <c r="D1521" s="51" t="str">
        <f>IF($B1521&lt;&gt;"",Transactions!$E1521*1,)</f>
        <v/>
      </c>
      <c r="E1521" s="51" t="str">
        <f>IF($B1521&lt;&gt;"",Transactions!$F1521*1,)</f>
        <v/>
      </c>
      <c r="F1521" s="42" t="str">
        <f>IF(Transactions!$G1521&lt;&gt;"",Transactions!$H1521&amp;" "&amp;Transactions!$G1521,)</f>
        <v/>
      </c>
    </row>
    <row r="1522">
      <c r="A1522" s="55" t="str">
        <f>IF(Transactions!$B1522&lt;&gt;"",DATE(LEFT(Transactions!$B1522,4),MID(Transactions!$B1522,6,2),MID(Transactions!$B1522,9,2)),)</f>
        <v/>
      </c>
      <c r="B1522" s="56" t="str">
        <f>Transactions!$C1522</f>
        <v/>
      </c>
      <c r="C1522" s="51" t="str">
        <f t="array" ref="C1522">IFERROR(INDEX(Portfolio!$B:$B, MATCH($B1522, Portfolio!$A:$A, 0)),Transactions!$B1522)</f>
        <v/>
      </c>
      <c r="D1522" s="51" t="str">
        <f>IF($B1522&lt;&gt;"",Transactions!$E1522*1,)</f>
        <v/>
      </c>
      <c r="E1522" s="51" t="str">
        <f>IF($B1522&lt;&gt;"",Transactions!$F1522*1,)</f>
        <v/>
      </c>
      <c r="F1522" s="42" t="str">
        <f>IF(Transactions!$G1522&lt;&gt;"",Transactions!$H1522&amp;" "&amp;Transactions!$G1522,)</f>
        <v/>
      </c>
    </row>
    <row r="1523">
      <c r="A1523" s="55" t="str">
        <f>IF(Transactions!$B1523&lt;&gt;"",DATE(LEFT(Transactions!$B1523,4),MID(Transactions!$B1523,6,2),MID(Transactions!$B1523,9,2)),)</f>
        <v/>
      </c>
      <c r="B1523" s="56" t="str">
        <f>Transactions!$C1523</f>
        <v/>
      </c>
      <c r="C1523" s="51" t="str">
        <f t="array" ref="C1523">IFERROR(INDEX(Portfolio!$B:$B, MATCH($B1523, Portfolio!$A:$A, 0)),Transactions!$B1523)</f>
        <v/>
      </c>
      <c r="D1523" s="51" t="str">
        <f>IF($B1523&lt;&gt;"",Transactions!$E1523*1,)</f>
        <v/>
      </c>
      <c r="E1523" s="51" t="str">
        <f>IF($B1523&lt;&gt;"",Transactions!$F1523*1,)</f>
        <v/>
      </c>
      <c r="F1523" s="42" t="str">
        <f>IF(Transactions!$G1523&lt;&gt;"",Transactions!$H1523&amp;" "&amp;Transactions!$G1523,)</f>
        <v/>
      </c>
    </row>
    <row r="1524">
      <c r="A1524" s="55" t="str">
        <f>IF(Transactions!$B1524&lt;&gt;"",DATE(LEFT(Transactions!$B1524,4),MID(Transactions!$B1524,6,2),MID(Transactions!$B1524,9,2)),)</f>
        <v/>
      </c>
      <c r="B1524" s="56" t="str">
        <f>Transactions!$C1524</f>
        <v/>
      </c>
      <c r="C1524" s="51" t="str">
        <f t="array" ref="C1524">IFERROR(INDEX(Portfolio!$B:$B, MATCH($B1524, Portfolio!$A:$A, 0)),Transactions!$B1524)</f>
        <v/>
      </c>
      <c r="D1524" s="51" t="str">
        <f>IF($B1524&lt;&gt;"",Transactions!$E1524*1,)</f>
        <v/>
      </c>
      <c r="E1524" s="51" t="str">
        <f>IF($B1524&lt;&gt;"",Transactions!$F1524*1,)</f>
        <v/>
      </c>
      <c r="F1524" s="42" t="str">
        <f>IF(Transactions!$G1524&lt;&gt;"",Transactions!$H1524&amp;" "&amp;Transactions!$G1524,)</f>
        <v/>
      </c>
    </row>
    <row r="1525">
      <c r="A1525" s="55" t="str">
        <f>IF(Transactions!$B1525&lt;&gt;"",DATE(LEFT(Transactions!$B1525,4),MID(Transactions!$B1525,6,2),MID(Transactions!$B1525,9,2)),)</f>
        <v/>
      </c>
      <c r="B1525" s="56" t="str">
        <f>Transactions!$C1525</f>
        <v/>
      </c>
      <c r="C1525" s="51" t="str">
        <f t="array" ref="C1525">IFERROR(INDEX(Portfolio!$B:$B, MATCH($B1525, Portfolio!$A:$A, 0)),Transactions!$B1525)</f>
        <v/>
      </c>
      <c r="D1525" s="51" t="str">
        <f>IF($B1525&lt;&gt;"",Transactions!$E1525*1,)</f>
        <v/>
      </c>
      <c r="E1525" s="51" t="str">
        <f>IF($B1525&lt;&gt;"",Transactions!$F1525*1,)</f>
        <v/>
      </c>
      <c r="F1525" s="42" t="str">
        <f>IF(Transactions!$G1525&lt;&gt;"",Transactions!$H1525&amp;" "&amp;Transactions!$G1525,)</f>
        <v/>
      </c>
    </row>
    <row r="1526">
      <c r="A1526" s="55" t="str">
        <f>IF(Transactions!$B1526&lt;&gt;"",DATE(LEFT(Transactions!$B1526,4),MID(Transactions!$B1526,6,2),MID(Transactions!$B1526,9,2)),)</f>
        <v/>
      </c>
      <c r="B1526" s="56" t="str">
        <f>Transactions!$C1526</f>
        <v/>
      </c>
      <c r="C1526" s="51" t="str">
        <f t="array" ref="C1526">IFERROR(INDEX(Portfolio!$B:$B, MATCH($B1526, Portfolio!$A:$A, 0)),Transactions!$B1526)</f>
        <v/>
      </c>
      <c r="D1526" s="51" t="str">
        <f>IF($B1526&lt;&gt;"",Transactions!$E1526*1,)</f>
        <v/>
      </c>
      <c r="E1526" s="51" t="str">
        <f>IF($B1526&lt;&gt;"",Transactions!$F1526*1,)</f>
        <v/>
      </c>
      <c r="F1526" s="42" t="str">
        <f>IF(Transactions!$G1526&lt;&gt;"",Transactions!$H1526&amp;" "&amp;Transactions!$G1526,)</f>
        <v/>
      </c>
    </row>
    <row r="1527">
      <c r="A1527" s="55" t="str">
        <f>IF(Transactions!$B1527&lt;&gt;"",DATE(LEFT(Transactions!$B1527,4),MID(Transactions!$B1527,6,2),MID(Transactions!$B1527,9,2)),)</f>
        <v/>
      </c>
      <c r="B1527" s="56" t="str">
        <f>Transactions!$C1527</f>
        <v/>
      </c>
      <c r="C1527" s="51" t="str">
        <f t="array" ref="C1527">IFERROR(INDEX(Portfolio!$B:$B, MATCH($B1527, Portfolio!$A:$A, 0)),Transactions!$B1527)</f>
        <v/>
      </c>
      <c r="D1527" s="51" t="str">
        <f>IF($B1527&lt;&gt;"",Transactions!$E1527*1,)</f>
        <v/>
      </c>
      <c r="E1527" s="51" t="str">
        <f>IF($B1527&lt;&gt;"",Transactions!$F1527*1,)</f>
        <v/>
      </c>
      <c r="F1527" s="42" t="str">
        <f>IF(Transactions!$G1527&lt;&gt;"",Transactions!$H1527&amp;" "&amp;Transactions!$G1527,)</f>
        <v/>
      </c>
    </row>
    <row r="1528">
      <c r="A1528" s="55" t="str">
        <f>IF(Transactions!$B1528&lt;&gt;"",DATE(LEFT(Transactions!$B1528,4),MID(Transactions!$B1528,6,2),MID(Transactions!$B1528,9,2)),)</f>
        <v/>
      </c>
      <c r="B1528" s="56" t="str">
        <f>Transactions!$C1528</f>
        <v/>
      </c>
      <c r="C1528" s="51" t="str">
        <f t="array" ref="C1528">IFERROR(INDEX(Portfolio!$B:$B, MATCH($B1528, Portfolio!$A:$A, 0)),Transactions!$B1528)</f>
        <v/>
      </c>
      <c r="D1528" s="51" t="str">
        <f>IF($B1528&lt;&gt;"",Transactions!$E1528*1,)</f>
        <v/>
      </c>
      <c r="E1528" s="51" t="str">
        <f>IF($B1528&lt;&gt;"",Transactions!$F1528*1,)</f>
        <v/>
      </c>
      <c r="F1528" s="42" t="str">
        <f>IF(Transactions!$G1528&lt;&gt;"",Transactions!$H1528&amp;" "&amp;Transactions!$G1528,)</f>
        <v/>
      </c>
    </row>
    <row r="1529">
      <c r="A1529" s="55" t="str">
        <f>IF(Transactions!$B1529&lt;&gt;"",DATE(LEFT(Transactions!$B1529,4),MID(Transactions!$B1529,6,2),MID(Transactions!$B1529,9,2)),)</f>
        <v/>
      </c>
      <c r="B1529" s="56" t="str">
        <f>Transactions!$C1529</f>
        <v/>
      </c>
      <c r="C1529" s="51" t="str">
        <f t="array" ref="C1529">IFERROR(INDEX(Portfolio!$B:$B, MATCH($B1529, Portfolio!$A:$A, 0)),Transactions!$B1529)</f>
        <v/>
      </c>
      <c r="D1529" s="51" t="str">
        <f>IF($B1529&lt;&gt;"",Transactions!$E1529*1,)</f>
        <v/>
      </c>
      <c r="E1529" s="51" t="str">
        <f>IF($B1529&lt;&gt;"",Transactions!$F1529*1,)</f>
        <v/>
      </c>
      <c r="F1529" s="42" t="str">
        <f>IF(Transactions!$G1529&lt;&gt;"",Transactions!$H1529&amp;" "&amp;Transactions!$G1529,)</f>
        <v/>
      </c>
    </row>
    <row r="1530">
      <c r="A1530" s="55" t="str">
        <f>IF(Transactions!$B1530&lt;&gt;"",DATE(LEFT(Transactions!$B1530,4),MID(Transactions!$B1530,6,2),MID(Transactions!$B1530,9,2)),)</f>
        <v/>
      </c>
      <c r="B1530" s="56" t="str">
        <f>Transactions!$C1530</f>
        <v/>
      </c>
      <c r="C1530" s="51" t="str">
        <f t="array" ref="C1530">IFERROR(INDEX(Portfolio!$B:$B, MATCH($B1530, Portfolio!$A:$A, 0)),Transactions!$B1530)</f>
        <v/>
      </c>
      <c r="D1530" s="51" t="str">
        <f>IF($B1530&lt;&gt;"",Transactions!$E1530*1,)</f>
        <v/>
      </c>
      <c r="E1530" s="51" t="str">
        <f>IF($B1530&lt;&gt;"",Transactions!$F1530*1,)</f>
        <v/>
      </c>
      <c r="F1530" s="42" t="str">
        <f>IF(Transactions!$G1530&lt;&gt;"",Transactions!$H1530&amp;" "&amp;Transactions!$G1530,)</f>
        <v/>
      </c>
    </row>
    <row r="1531">
      <c r="A1531" s="55" t="str">
        <f>IF(Transactions!$B1531&lt;&gt;"",DATE(LEFT(Transactions!$B1531,4),MID(Transactions!$B1531,6,2),MID(Transactions!$B1531,9,2)),)</f>
        <v/>
      </c>
      <c r="B1531" s="56" t="str">
        <f>Transactions!$C1531</f>
        <v/>
      </c>
      <c r="C1531" s="51" t="str">
        <f t="array" ref="C1531">IFERROR(INDEX(Portfolio!$B:$B, MATCH($B1531, Portfolio!$A:$A, 0)),Transactions!$B1531)</f>
        <v/>
      </c>
      <c r="D1531" s="51" t="str">
        <f>IF($B1531&lt;&gt;"",Transactions!$E1531*1,)</f>
        <v/>
      </c>
      <c r="E1531" s="51" t="str">
        <f>IF($B1531&lt;&gt;"",Transactions!$F1531*1,)</f>
        <v/>
      </c>
      <c r="F1531" s="42" t="str">
        <f>IF(Transactions!$G1531&lt;&gt;"",Transactions!$H1531&amp;" "&amp;Transactions!$G1531,)</f>
        <v/>
      </c>
    </row>
    <row r="1532">
      <c r="A1532" s="55" t="str">
        <f>IF(Transactions!$B1532&lt;&gt;"",DATE(LEFT(Transactions!$B1532,4),MID(Transactions!$B1532,6,2),MID(Transactions!$B1532,9,2)),)</f>
        <v/>
      </c>
      <c r="B1532" s="56" t="str">
        <f>Transactions!$C1532</f>
        <v/>
      </c>
      <c r="C1532" s="51" t="str">
        <f t="array" ref="C1532">IFERROR(INDEX(Portfolio!$B:$B, MATCH($B1532, Portfolio!$A:$A, 0)),Transactions!$B1532)</f>
        <v/>
      </c>
      <c r="D1532" s="51" t="str">
        <f>IF($B1532&lt;&gt;"",Transactions!$E1532*1,)</f>
        <v/>
      </c>
      <c r="E1532" s="51" t="str">
        <f>IF($B1532&lt;&gt;"",Transactions!$F1532*1,)</f>
        <v/>
      </c>
      <c r="F1532" s="42" t="str">
        <f>IF(Transactions!$G1532&lt;&gt;"",Transactions!$H1532&amp;" "&amp;Transactions!$G1532,)</f>
        <v/>
      </c>
    </row>
    <row r="1533">
      <c r="A1533" s="55" t="str">
        <f>IF(Transactions!$B1533&lt;&gt;"",DATE(LEFT(Transactions!$B1533,4),MID(Transactions!$B1533,6,2),MID(Transactions!$B1533,9,2)),)</f>
        <v/>
      </c>
      <c r="B1533" s="56" t="str">
        <f>Transactions!$C1533</f>
        <v/>
      </c>
      <c r="C1533" s="51" t="str">
        <f t="array" ref="C1533">IFERROR(INDEX(Portfolio!$B:$B, MATCH($B1533, Portfolio!$A:$A, 0)),Transactions!$B1533)</f>
        <v/>
      </c>
      <c r="D1533" s="51" t="str">
        <f>IF($B1533&lt;&gt;"",Transactions!$E1533*1,)</f>
        <v/>
      </c>
      <c r="E1533" s="51" t="str">
        <f>IF($B1533&lt;&gt;"",Transactions!$F1533*1,)</f>
        <v/>
      </c>
      <c r="F1533" s="42" t="str">
        <f>IF(Transactions!$G1533&lt;&gt;"",Transactions!$H1533&amp;" "&amp;Transactions!$G1533,)</f>
        <v/>
      </c>
    </row>
    <row r="1534">
      <c r="A1534" s="55" t="str">
        <f>IF(Transactions!$B1534&lt;&gt;"",DATE(LEFT(Transactions!$B1534,4),MID(Transactions!$B1534,6,2),MID(Transactions!$B1534,9,2)),)</f>
        <v/>
      </c>
      <c r="B1534" s="56" t="str">
        <f>Transactions!$C1534</f>
        <v/>
      </c>
      <c r="C1534" s="51" t="str">
        <f t="array" ref="C1534">IFERROR(INDEX(Portfolio!$B:$B, MATCH($B1534, Portfolio!$A:$A, 0)),Transactions!$B1534)</f>
        <v/>
      </c>
      <c r="D1534" s="51" t="str">
        <f>IF($B1534&lt;&gt;"",Transactions!$E1534*1,)</f>
        <v/>
      </c>
      <c r="E1534" s="51" t="str">
        <f>IF($B1534&lt;&gt;"",Transactions!$F1534*1,)</f>
        <v/>
      </c>
      <c r="F1534" s="42" t="str">
        <f>IF(Transactions!$G1534&lt;&gt;"",Transactions!$H1534&amp;" "&amp;Transactions!$G1534,)</f>
        <v/>
      </c>
    </row>
    <row r="1535">
      <c r="A1535" s="55" t="str">
        <f>IF(Transactions!$B1535&lt;&gt;"",DATE(LEFT(Transactions!$B1535,4),MID(Transactions!$B1535,6,2),MID(Transactions!$B1535,9,2)),)</f>
        <v/>
      </c>
      <c r="B1535" s="56" t="str">
        <f>Transactions!$C1535</f>
        <v/>
      </c>
      <c r="C1535" s="51" t="str">
        <f t="array" ref="C1535">IFERROR(INDEX(Portfolio!$B:$B, MATCH($B1535, Portfolio!$A:$A, 0)),Transactions!$B1535)</f>
        <v/>
      </c>
      <c r="D1535" s="51" t="str">
        <f>IF($B1535&lt;&gt;"",Transactions!$E1535*1,)</f>
        <v/>
      </c>
      <c r="E1535" s="51" t="str">
        <f>IF($B1535&lt;&gt;"",Transactions!$F1535*1,)</f>
        <v/>
      </c>
      <c r="F1535" s="42" t="str">
        <f>IF(Transactions!$G1535&lt;&gt;"",Transactions!$H1535&amp;" "&amp;Transactions!$G1535,)</f>
        <v/>
      </c>
    </row>
    <row r="1536">
      <c r="A1536" s="55" t="str">
        <f>IF(Transactions!$B1536&lt;&gt;"",DATE(LEFT(Transactions!$B1536,4),MID(Transactions!$B1536,6,2),MID(Transactions!$B1536,9,2)),)</f>
        <v/>
      </c>
      <c r="B1536" s="56" t="str">
        <f>Transactions!$C1536</f>
        <v/>
      </c>
      <c r="C1536" s="51" t="str">
        <f t="array" ref="C1536">IFERROR(INDEX(Portfolio!$B:$B, MATCH($B1536, Portfolio!$A:$A, 0)),Transactions!$B1536)</f>
        <v/>
      </c>
      <c r="D1536" s="51" t="str">
        <f>IF($B1536&lt;&gt;"",Transactions!$E1536*1,)</f>
        <v/>
      </c>
      <c r="E1536" s="51" t="str">
        <f>IF($B1536&lt;&gt;"",Transactions!$F1536*1,)</f>
        <v/>
      </c>
      <c r="F1536" s="42" t="str">
        <f>IF(Transactions!$G1536&lt;&gt;"",Transactions!$H1536&amp;" "&amp;Transactions!$G1536,)</f>
        <v/>
      </c>
    </row>
    <row r="1537">
      <c r="A1537" s="55" t="str">
        <f>IF(Transactions!$B1537&lt;&gt;"",DATE(LEFT(Transactions!$B1537,4),MID(Transactions!$B1537,6,2),MID(Transactions!$B1537,9,2)),)</f>
        <v/>
      </c>
      <c r="B1537" s="56" t="str">
        <f>Transactions!$C1537</f>
        <v/>
      </c>
      <c r="C1537" s="51" t="str">
        <f t="array" ref="C1537">IFERROR(INDEX(Portfolio!$B:$B, MATCH($B1537, Portfolio!$A:$A, 0)),Transactions!$B1537)</f>
        <v/>
      </c>
      <c r="D1537" s="51" t="str">
        <f>IF($B1537&lt;&gt;"",Transactions!$E1537*1,)</f>
        <v/>
      </c>
      <c r="E1537" s="51" t="str">
        <f>IF($B1537&lt;&gt;"",Transactions!$F1537*1,)</f>
        <v/>
      </c>
      <c r="F1537" s="42" t="str">
        <f>IF(Transactions!$G1537&lt;&gt;"",Transactions!$H1537&amp;" "&amp;Transactions!$G1537,)</f>
        <v/>
      </c>
    </row>
    <row r="1538">
      <c r="A1538" s="55" t="str">
        <f>IF(Transactions!$B1538&lt;&gt;"",DATE(LEFT(Transactions!$B1538,4),MID(Transactions!$B1538,6,2),MID(Transactions!$B1538,9,2)),)</f>
        <v/>
      </c>
      <c r="B1538" s="56" t="str">
        <f>Transactions!$C1538</f>
        <v/>
      </c>
      <c r="C1538" s="51" t="str">
        <f t="array" ref="C1538">IFERROR(INDEX(Portfolio!$B:$B, MATCH($B1538, Portfolio!$A:$A, 0)),Transactions!$B1538)</f>
        <v/>
      </c>
      <c r="D1538" s="51" t="str">
        <f>IF($B1538&lt;&gt;"",Transactions!$E1538*1,)</f>
        <v/>
      </c>
      <c r="E1538" s="51" t="str">
        <f>IF($B1538&lt;&gt;"",Transactions!$F1538*1,)</f>
        <v/>
      </c>
      <c r="F1538" s="42" t="str">
        <f>IF(Transactions!$G1538&lt;&gt;"",Transactions!$H1538&amp;" "&amp;Transactions!$G1538,)</f>
        <v/>
      </c>
    </row>
    <row r="1539">
      <c r="A1539" s="55" t="str">
        <f>IF(Transactions!$B1539&lt;&gt;"",DATE(LEFT(Transactions!$B1539,4),MID(Transactions!$B1539,6,2),MID(Transactions!$B1539,9,2)),)</f>
        <v/>
      </c>
      <c r="B1539" s="56" t="str">
        <f>Transactions!$C1539</f>
        <v/>
      </c>
      <c r="C1539" s="51" t="str">
        <f t="array" ref="C1539">IFERROR(INDEX(Portfolio!$B:$B, MATCH($B1539, Portfolio!$A:$A, 0)),Transactions!$B1539)</f>
        <v/>
      </c>
      <c r="D1539" s="51" t="str">
        <f>IF($B1539&lt;&gt;"",Transactions!$E1539*1,)</f>
        <v/>
      </c>
      <c r="E1539" s="51" t="str">
        <f>IF($B1539&lt;&gt;"",Transactions!$F1539*1,)</f>
        <v/>
      </c>
      <c r="F1539" s="42" t="str">
        <f>IF(Transactions!$G1539&lt;&gt;"",Transactions!$H1539&amp;" "&amp;Transactions!$G1539,)</f>
        <v/>
      </c>
    </row>
    <row r="1540">
      <c r="A1540" s="55" t="str">
        <f>IF(Transactions!$B1540&lt;&gt;"",DATE(LEFT(Transactions!$B1540,4),MID(Transactions!$B1540,6,2),MID(Transactions!$B1540,9,2)),)</f>
        <v/>
      </c>
      <c r="B1540" s="56" t="str">
        <f>Transactions!$C1540</f>
        <v/>
      </c>
      <c r="C1540" s="51" t="str">
        <f t="array" ref="C1540">IFERROR(INDEX(Portfolio!$B:$B, MATCH($B1540, Portfolio!$A:$A, 0)),Transactions!$B1540)</f>
        <v/>
      </c>
      <c r="D1540" s="51" t="str">
        <f>IF($B1540&lt;&gt;"",Transactions!$E1540*1,)</f>
        <v/>
      </c>
      <c r="E1540" s="51" t="str">
        <f>IF($B1540&lt;&gt;"",Transactions!$F1540*1,)</f>
        <v/>
      </c>
      <c r="F1540" s="42" t="str">
        <f>IF(Transactions!$G1540&lt;&gt;"",Transactions!$H1540&amp;" "&amp;Transactions!$G1540,)</f>
        <v/>
      </c>
    </row>
    <row r="1541">
      <c r="A1541" s="55" t="str">
        <f>IF(Transactions!$B1541&lt;&gt;"",DATE(LEFT(Transactions!$B1541,4),MID(Transactions!$B1541,6,2),MID(Transactions!$B1541,9,2)),)</f>
        <v/>
      </c>
      <c r="B1541" s="56" t="str">
        <f>Transactions!$C1541</f>
        <v/>
      </c>
      <c r="C1541" s="51" t="str">
        <f t="array" ref="C1541">IFERROR(INDEX(Portfolio!$B:$B, MATCH($B1541, Portfolio!$A:$A, 0)),Transactions!$B1541)</f>
        <v/>
      </c>
      <c r="D1541" s="51" t="str">
        <f>IF($B1541&lt;&gt;"",Transactions!$E1541*1,)</f>
        <v/>
      </c>
      <c r="E1541" s="51" t="str">
        <f>IF($B1541&lt;&gt;"",Transactions!$F1541*1,)</f>
        <v/>
      </c>
      <c r="F1541" s="42" t="str">
        <f>IF(Transactions!$G1541&lt;&gt;"",Transactions!$H1541&amp;" "&amp;Transactions!$G1541,)</f>
        <v/>
      </c>
    </row>
    <row r="1542">
      <c r="A1542" s="55" t="str">
        <f>IF(Transactions!$B1542&lt;&gt;"",DATE(LEFT(Transactions!$B1542,4),MID(Transactions!$B1542,6,2),MID(Transactions!$B1542,9,2)),)</f>
        <v/>
      </c>
      <c r="B1542" s="56" t="str">
        <f>Transactions!$C1542</f>
        <v/>
      </c>
      <c r="C1542" s="51" t="str">
        <f t="array" ref="C1542">IFERROR(INDEX(Portfolio!$B:$B, MATCH($B1542, Portfolio!$A:$A, 0)),Transactions!$B1542)</f>
        <v/>
      </c>
      <c r="D1542" s="51" t="str">
        <f>IF($B1542&lt;&gt;"",Transactions!$E1542*1,)</f>
        <v/>
      </c>
      <c r="E1542" s="51" t="str">
        <f>IF($B1542&lt;&gt;"",Transactions!$F1542*1,)</f>
        <v/>
      </c>
      <c r="F1542" s="42" t="str">
        <f>IF(Transactions!$G1542&lt;&gt;"",Transactions!$H1542&amp;" "&amp;Transactions!$G1542,)</f>
        <v/>
      </c>
    </row>
    <row r="1543">
      <c r="A1543" s="55" t="str">
        <f>IF(Transactions!$B1543&lt;&gt;"",DATE(LEFT(Transactions!$B1543,4),MID(Transactions!$B1543,6,2),MID(Transactions!$B1543,9,2)),)</f>
        <v/>
      </c>
      <c r="B1543" s="56" t="str">
        <f>Transactions!$C1543</f>
        <v/>
      </c>
      <c r="C1543" s="51" t="str">
        <f t="array" ref="C1543">IFERROR(INDEX(Portfolio!$B:$B, MATCH($B1543, Portfolio!$A:$A, 0)),Transactions!$B1543)</f>
        <v/>
      </c>
      <c r="D1543" s="51" t="str">
        <f>IF($B1543&lt;&gt;"",Transactions!$E1543*1,)</f>
        <v/>
      </c>
      <c r="E1543" s="51" t="str">
        <f>IF($B1543&lt;&gt;"",Transactions!$F1543*1,)</f>
        <v/>
      </c>
      <c r="F1543" s="42" t="str">
        <f>IF(Transactions!$G1543&lt;&gt;"",Transactions!$H1543&amp;" "&amp;Transactions!$G1543,)</f>
        <v/>
      </c>
    </row>
    <row r="1544">
      <c r="A1544" s="55" t="str">
        <f>IF(Transactions!$B1544&lt;&gt;"",DATE(LEFT(Transactions!$B1544,4),MID(Transactions!$B1544,6,2),MID(Transactions!$B1544,9,2)),)</f>
        <v/>
      </c>
      <c r="B1544" s="56" t="str">
        <f>Transactions!$C1544</f>
        <v/>
      </c>
      <c r="C1544" s="51" t="str">
        <f t="array" ref="C1544">IFERROR(INDEX(Portfolio!$B:$B, MATCH($B1544, Portfolio!$A:$A, 0)),Transactions!$B1544)</f>
        <v/>
      </c>
      <c r="D1544" s="51" t="str">
        <f>IF($B1544&lt;&gt;"",Transactions!$E1544*1,)</f>
        <v/>
      </c>
      <c r="E1544" s="51" t="str">
        <f>IF($B1544&lt;&gt;"",Transactions!$F1544*1,)</f>
        <v/>
      </c>
      <c r="F1544" s="42" t="str">
        <f>IF(Transactions!$G1544&lt;&gt;"",Transactions!$H1544&amp;" "&amp;Transactions!$G1544,)</f>
        <v/>
      </c>
    </row>
    <row r="1545">
      <c r="A1545" s="55" t="str">
        <f>IF(Transactions!$B1545&lt;&gt;"",DATE(LEFT(Transactions!$B1545,4),MID(Transactions!$B1545,6,2),MID(Transactions!$B1545,9,2)),)</f>
        <v/>
      </c>
      <c r="B1545" s="56" t="str">
        <f>Transactions!$C1545</f>
        <v/>
      </c>
      <c r="C1545" s="51" t="str">
        <f t="array" ref="C1545">IFERROR(INDEX(Portfolio!$B:$B, MATCH($B1545, Portfolio!$A:$A, 0)),Transactions!$B1545)</f>
        <v/>
      </c>
      <c r="D1545" s="51" t="str">
        <f>IF($B1545&lt;&gt;"",Transactions!$E1545*1,)</f>
        <v/>
      </c>
      <c r="E1545" s="51" t="str">
        <f>IF($B1545&lt;&gt;"",Transactions!$F1545*1,)</f>
        <v/>
      </c>
      <c r="F1545" s="42" t="str">
        <f>IF(Transactions!$G1545&lt;&gt;"",Transactions!$H1545&amp;" "&amp;Transactions!$G1545,)</f>
        <v/>
      </c>
    </row>
    <row r="1546">
      <c r="A1546" s="55" t="str">
        <f>IF(Transactions!$B1546&lt;&gt;"",DATE(LEFT(Transactions!$B1546,4),MID(Transactions!$B1546,6,2),MID(Transactions!$B1546,9,2)),)</f>
        <v/>
      </c>
      <c r="B1546" s="56" t="str">
        <f>Transactions!$C1546</f>
        <v/>
      </c>
      <c r="C1546" s="51" t="str">
        <f t="array" ref="C1546">IFERROR(INDEX(Portfolio!$B:$B, MATCH($B1546, Portfolio!$A:$A, 0)),Transactions!$B1546)</f>
        <v/>
      </c>
      <c r="D1546" s="51" t="str">
        <f>IF($B1546&lt;&gt;"",Transactions!$E1546*1,)</f>
        <v/>
      </c>
      <c r="E1546" s="51" t="str">
        <f>IF($B1546&lt;&gt;"",Transactions!$F1546*1,)</f>
        <v/>
      </c>
      <c r="F1546" s="42" t="str">
        <f>IF(Transactions!$G1546&lt;&gt;"",Transactions!$H1546&amp;" "&amp;Transactions!$G1546,)</f>
        <v/>
      </c>
    </row>
    <row r="1547">
      <c r="A1547" s="55" t="str">
        <f>IF(Transactions!$B1547&lt;&gt;"",DATE(LEFT(Transactions!$B1547,4),MID(Transactions!$B1547,6,2),MID(Transactions!$B1547,9,2)),)</f>
        <v/>
      </c>
      <c r="B1547" s="56" t="str">
        <f>Transactions!$C1547</f>
        <v/>
      </c>
      <c r="C1547" s="51" t="str">
        <f t="array" ref="C1547">IFERROR(INDEX(Portfolio!$B:$B, MATCH($B1547, Portfolio!$A:$A, 0)),Transactions!$B1547)</f>
        <v/>
      </c>
      <c r="D1547" s="51" t="str">
        <f>IF($B1547&lt;&gt;"",Transactions!$E1547*1,)</f>
        <v/>
      </c>
      <c r="E1547" s="51" t="str">
        <f>IF($B1547&lt;&gt;"",Transactions!$F1547*1,)</f>
        <v/>
      </c>
      <c r="F1547" s="42" t="str">
        <f>IF(Transactions!$G1547&lt;&gt;"",Transactions!$H1547&amp;" "&amp;Transactions!$G1547,)</f>
        <v/>
      </c>
    </row>
    <row r="1548">
      <c r="A1548" s="55" t="str">
        <f>IF(Transactions!$B1548&lt;&gt;"",DATE(LEFT(Transactions!$B1548,4),MID(Transactions!$B1548,6,2),MID(Transactions!$B1548,9,2)),)</f>
        <v/>
      </c>
      <c r="B1548" s="56" t="str">
        <f>Transactions!$C1548</f>
        <v/>
      </c>
      <c r="C1548" s="51" t="str">
        <f t="array" ref="C1548">IFERROR(INDEX(Portfolio!$B:$B, MATCH($B1548, Portfolio!$A:$A, 0)),Transactions!$B1548)</f>
        <v/>
      </c>
      <c r="D1548" s="51" t="str">
        <f>IF($B1548&lt;&gt;"",Transactions!$E1548*1,)</f>
        <v/>
      </c>
      <c r="E1548" s="51" t="str">
        <f>IF($B1548&lt;&gt;"",Transactions!$F1548*1,)</f>
        <v/>
      </c>
      <c r="F1548" s="42" t="str">
        <f>IF(Transactions!$G1548&lt;&gt;"",Transactions!$H1548&amp;" "&amp;Transactions!$G1548,)</f>
        <v/>
      </c>
    </row>
    <row r="1549">
      <c r="A1549" s="55" t="str">
        <f>IF(Transactions!$B1549&lt;&gt;"",DATE(LEFT(Transactions!$B1549,4),MID(Transactions!$B1549,6,2),MID(Transactions!$B1549,9,2)),)</f>
        <v/>
      </c>
      <c r="B1549" s="56" t="str">
        <f>Transactions!$C1549</f>
        <v/>
      </c>
      <c r="C1549" s="51" t="str">
        <f t="array" ref="C1549">IFERROR(INDEX(Portfolio!$B:$B, MATCH($B1549, Portfolio!$A:$A, 0)),Transactions!$B1549)</f>
        <v/>
      </c>
      <c r="D1549" s="51" t="str">
        <f>IF($B1549&lt;&gt;"",Transactions!$E1549*1,)</f>
        <v/>
      </c>
      <c r="E1549" s="51" t="str">
        <f>IF($B1549&lt;&gt;"",Transactions!$F1549*1,)</f>
        <v/>
      </c>
      <c r="F1549" s="42" t="str">
        <f>IF(Transactions!$G1549&lt;&gt;"",Transactions!$H1549&amp;" "&amp;Transactions!$G1549,)</f>
        <v/>
      </c>
    </row>
    <row r="1550">
      <c r="A1550" s="55" t="str">
        <f>IF(Transactions!$B1550&lt;&gt;"",DATE(LEFT(Transactions!$B1550,4),MID(Transactions!$B1550,6,2),MID(Transactions!$B1550,9,2)),)</f>
        <v/>
      </c>
      <c r="B1550" s="56" t="str">
        <f>Transactions!$C1550</f>
        <v/>
      </c>
      <c r="C1550" s="51" t="str">
        <f t="array" ref="C1550">IFERROR(INDEX(Portfolio!$B:$B, MATCH($B1550, Portfolio!$A:$A, 0)),Transactions!$B1550)</f>
        <v/>
      </c>
      <c r="D1550" s="51" t="str">
        <f>IF($B1550&lt;&gt;"",Transactions!$E1550*1,)</f>
        <v/>
      </c>
      <c r="E1550" s="51" t="str">
        <f>IF($B1550&lt;&gt;"",Transactions!$F1550*1,)</f>
        <v/>
      </c>
      <c r="F1550" s="42" t="str">
        <f>IF(Transactions!$G1550&lt;&gt;"",Transactions!$H1550&amp;" "&amp;Transactions!$G1550,)</f>
        <v/>
      </c>
    </row>
    <row r="1551">
      <c r="A1551" s="55" t="str">
        <f>IF(Transactions!$B1551&lt;&gt;"",DATE(LEFT(Transactions!$B1551,4),MID(Transactions!$B1551,6,2),MID(Transactions!$B1551,9,2)),)</f>
        <v/>
      </c>
      <c r="B1551" s="56" t="str">
        <f>Transactions!$C1551</f>
        <v/>
      </c>
      <c r="C1551" s="51" t="str">
        <f t="array" ref="C1551">IFERROR(INDEX(Portfolio!$B:$B, MATCH($B1551, Portfolio!$A:$A, 0)),Transactions!$B1551)</f>
        <v/>
      </c>
      <c r="D1551" s="51" t="str">
        <f>IF($B1551&lt;&gt;"",Transactions!$E1551*1,)</f>
        <v/>
      </c>
      <c r="E1551" s="51" t="str">
        <f>IF($B1551&lt;&gt;"",Transactions!$F1551*1,)</f>
        <v/>
      </c>
      <c r="F1551" s="42" t="str">
        <f>IF(Transactions!$G1551&lt;&gt;"",Transactions!$H1551&amp;" "&amp;Transactions!$G1551,)</f>
        <v/>
      </c>
    </row>
    <row r="1552">
      <c r="A1552" s="55" t="str">
        <f>IF(Transactions!$B1552&lt;&gt;"",DATE(LEFT(Transactions!$B1552,4),MID(Transactions!$B1552,6,2),MID(Transactions!$B1552,9,2)),)</f>
        <v/>
      </c>
      <c r="B1552" s="56" t="str">
        <f>Transactions!$C1552</f>
        <v/>
      </c>
      <c r="C1552" s="51" t="str">
        <f t="array" ref="C1552">IFERROR(INDEX(Portfolio!$B:$B, MATCH($B1552, Portfolio!$A:$A, 0)),Transactions!$B1552)</f>
        <v/>
      </c>
      <c r="D1552" s="51" t="str">
        <f>IF($B1552&lt;&gt;"",Transactions!$E1552*1,)</f>
        <v/>
      </c>
      <c r="E1552" s="51" t="str">
        <f>IF($B1552&lt;&gt;"",Transactions!$F1552*1,)</f>
        <v/>
      </c>
      <c r="F1552" s="42" t="str">
        <f>IF(Transactions!$G1552&lt;&gt;"",Transactions!$H1552&amp;" "&amp;Transactions!$G1552,)</f>
        <v/>
      </c>
    </row>
    <row r="1553">
      <c r="A1553" s="55" t="str">
        <f>IF(Transactions!$B1553&lt;&gt;"",DATE(LEFT(Transactions!$B1553,4),MID(Transactions!$B1553,6,2),MID(Transactions!$B1553,9,2)),)</f>
        <v/>
      </c>
      <c r="B1553" s="56" t="str">
        <f>Transactions!$C1553</f>
        <v/>
      </c>
      <c r="C1553" s="51" t="str">
        <f t="array" ref="C1553">IFERROR(INDEX(Portfolio!$B:$B, MATCH($B1553, Portfolio!$A:$A, 0)),Transactions!$B1553)</f>
        <v/>
      </c>
      <c r="D1553" s="51" t="str">
        <f>IF($B1553&lt;&gt;"",Transactions!$E1553*1,)</f>
        <v/>
      </c>
      <c r="E1553" s="51" t="str">
        <f>IF($B1553&lt;&gt;"",Transactions!$F1553*1,)</f>
        <v/>
      </c>
      <c r="F1553" s="42" t="str">
        <f>IF(Transactions!$G1553&lt;&gt;"",Transactions!$H1553&amp;" "&amp;Transactions!$G1553,)</f>
        <v/>
      </c>
    </row>
    <row r="1554">
      <c r="A1554" s="55" t="str">
        <f>IF(Transactions!$B1554&lt;&gt;"",DATE(LEFT(Transactions!$B1554,4),MID(Transactions!$B1554,6,2),MID(Transactions!$B1554,9,2)),)</f>
        <v/>
      </c>
      <c r="B1554" s="56" t="str">
        <f>Transactions!$C1554</f>
        <v/>
      </c>
      <c r="C1554" s="51" t="str">
        <f t="array" ref="C1554">IFERROR(INDEX(Portfolio!$B:$B, MATCH($B1554, Portfolio!$A:$A, 0)),Transactions!$B1554)</f>
        <v/>
      </c>
      <c r="D1554" s="51" t="str">
        <f>IF($B1554&lt;&gt;"",Transactions!$E1554*1,)</f>
        <v/>
      </c>
      <c r="E1554" s="51" t="str">
        <f>IF($B1554&lt;&gt;"",Transactions!$F1554*1,)</f>
        <v/>
      </c>
      <c r="F1554" s="42" t="str">
        <f>IF(Transactions!$G1554&lt;&gt;"",Transactions!$H1554&amp;" "&amp;Transactions!$G1554,)</f>
        <v/>
      </c>
    </row>
    <row r="1555">
      <c r="A1555" s="55" t="str">
        <f>IF(Transactions!$B1555&lt;&gt;"",DATE(LEFT(Transactions!$B1555,4),MID(Transactions!$B1555,6,2),MID(Transactions!$B1555,9,2)),)</f>
        <v/>
      </c>
      <c r="B1555" s="56" t="str">
        <f>Transactions!$C1555</f>
        <v/>
      </c>
      <c r="C1555" s="51" t="str">
        <f t="array" ref="C1555">IFERROR(INDEX(Portfolio!$B:$B, MATCH($B1555, Portfolio!$A:$A, 0)),Transactions!$B1555)</f>
        <v/>
      </c>
      <c r="D1555" s="51" t="str">
        <f>IF($B1555&lt;&gt;"",Transactions!$E1555*1,)</f>
        <v/>
      </c>
      <c r="E1555" s="51" t="str">
        <f>IF($B1555&lt;&gt;"",Transactions!$F1555*1,)</f>
        <v/>
      </c>
      <c r="F1555" s="42" t="str">
        <f>IF(Transactions!$G1555&lt;&gt;"",Transactions!$H1555&amp;" "&amp;Transactions!$G1555,)</f>
        <v/>
      </c>
    </row>
    <row r="1556">
      <c r="A1556" s="55" t="str">
        <f>IF(Transactions!$B1556&lt;&gt;"",DATE(LEFT(Transactions!$B1556,4),MID(Transactions!$B1556,6,2),MID(Transactions!$B1556,9,2)),)</f>
        <v/>
      </c>
      <c r="B1556" s="56" t="str">
        <f>Transactions!$C1556</f>
        <v/>
      </c>
      <c r="C1556" s="51" t="str">
        <f t="array" ref="C1556">IFERROR(INDEX(Portfolio!$B:$B, MATCH($B1556, Portfolio!$A:$A, 0)),Transactions!$B1556)</f>
        <v/>
      </c>
      <c r="D1556" s="51" t="str">
        <f>IF($B1556&lt;&gt;"",Transactions!$E1556*1,)</f>
        <v/>
      </c>
      <c r="E1556" s="51" t="str">
        <f>IF($B1556&lt;&gt;"",Transactions!$F1556*1,)</f>
        <v/>
      </c>
      <c r="F1556" s="42" t="str">
        <f>IF(Transactions!$G1556&lt;&gt;"",Transactions!$H1556&amp;" "&amp;Transactions!$G1556,)</f>
        <v/>
      </c>
    </row>
    <row r="1557">
      <c r="A1557" s="55" t="str">
        <f>IF(Transactions!$B1557&lt;&gt;"",DATE(LEFT(Transactions!$B1557,4),MID(Transactions!$B1557,6,2),MID(Transactions!$B1557,9,2)),)</f>
        <v/>
      </c>
      <c r="B1557" s="56" t="str">
        <f>Transactions!$C1557</f>
        <v/>
      </c>
      <c r="C1557" s="51" t="str">
        <f t="array" ref="C1557">IFERROR(INDEX(Portfolio!$B:$B, MATCH($B1557, Portfolio!$A:$A, 0)),Transactions!$B1557)</f>
        <v/>
      </c>
      <c r="D1557" s="51" t="str">
        <f>IF($B1557&lt;&gt;"",Transactions!$E1557*1,)</f>
        <v/>
      </c>
      <c r="E1557" s="51" t="str">
        <f>IF($B1557&lt;&gt;"",Transactions!$F1557*1,)</f>
        <v/>
      </c>
      <c r="F1557" s="42" t="str">
        <f>IF(Transactions!$G1557&lt;&gt;"",Transactions!$H1557&amp;" "&amp;Transactions!$G1557,)</f>
        <v/>
      </c>
    </row>
    <row r="1558">
      <c r="A1558" s="55" t="str">
        <f>IF(Transactions!$B1558&lt;&gt;"",DATE(LEFT(Transactions!$B1558,4),MID(Transactions!$B1558,6,2),MID(Transactions!$B1558,9,2)),)</f>
        <v/>
      </c>
      <c r="B1558" s="56" t="str">
        <f>Transactions!$C1558</f>
        <v/>
      </c>
      <c r="C1558" s="51" t="str">
        <f t="array" ref="C1558">IFERROR(INDEX(Portfolio!$B:$B, MATCH($B1558, Portfolio!$A:$A, 0)),Transactions!$B1558)</f>
        <v/>
      </c>
      <c r="D1558" s="51" t="str">
        <f>IF($B1558&lt;&gt;"",Transactions!$E1558*1,)</f>
        <v/>
      </c>
      <c r="E1558" s="51" t="str">
        <f>IF($B1558&lt;&gt;"",Transactions!$F1558*1,)</f>
        <v/>
      </c>
      <c r="F1558" s="42" t="str">
        <f>IF(Transactions!$G1558&lt;&gt;"",Transactions!$H1558&amp;" "&amp;Transactions!$G1558,)</f>
        <v/>
      </c>
    </row>
    <row r="1559">
      <c r="A1559" s="55" t="str">
        <f>IF(Transactions!$B1559&lt;&gt;"",DATE(LEFT(Transactions!$B1559,4),MID(Transactions!$B1559,6,2),MID(Transactions!$B1559,9,2)),)</f>
        <v/>
      </c>
      <c r="B1559" s="56" t="str">
        <f>Transactions!$C1559</f>
        <v/>
      </c>
      <c r="C1559" s="51" t="str">
        <f t="array" ref="C1559">IFERROR(INDEX(Portfolio!$B:$B, MATCH($B1559, Portfolio!$A:$A, 0)),Transactions!$B1559)</f>
        <v/>
      </c>
      <c r="D1559" s="51" t="str">
        <f>IF($B1559&lt;&gt;"",Transactions!$E1559*1,)</f>
        <v/>
      </c>
      <c r="E1559" s="51" t="str">
        <f>IF($B1559&lt;&gt;"",Transactions!$F1559*1,)</f>
        <v/>
      </c>
      <c r="F1559" s="42" t="str">
        <f>IF(Transactions!$G1559&lt;&gt;"",Transactions!$H1559&amp;" "&amp;Transactions!$G1559,)</f>
        <v/>
      </c>
    </row>
    <row r="1560">
      <c r="A1560" s="55" t="str">
        <f>IF(Transactions!$B1560&lt;&gt;"",DATE(LEFT(Transactions!$B1560,4),MID(Transactions!$B1560,6,2),MID(Transactions!$B1560,9,2)),)</f>
        <v/>
      </c>
      <c r="B1560" s="56" t="str">
        <f>Transactions!$C1560</f>
        <v/>
      </c>
      <c r="C1560" s="51" t="str">
        <f t="array" ref="C1560">IFERROR(INDEX(Portfolio!$B:$B, MATCH($B1560, Portfolio!$A:$A, 0)),Transactions!$B1560)</f>
        <v/>
      </c>
      <c r="D1560" s="51" t="str">
        <f>IF($B1560&lt;&gt;"",Transactions!$E1560*1,)</f>
        <v/>
      </c>
      <c r="E1560" s="51" t="str">
        <f>IF($B1560&lt;&gt;"",Transactions!$F1560*1,)</f>
        <v/>
      </c>
      <c r="F1560" s="42" t="str">
        <f>IF(Transactions!$G1560&lt;&gt;"",Transactions!$H1560&amp;" "&amp;Transactions!$G1560,)</f>
        <v/>
      </c>
    </row>
    <row r="1561">
      <c r="A1561" s="55" t="str">
        <f>IF(Transactions!$B1561&lt;&gt;"",DATE(LEFT(Transactions!$B1561,4),MID(Transactions!$B1561,6,2),MID(Transactions!$B1561,9,2)),)</f>
        <v/>
      </c>
      <c r="B1561" s="56" t="str">
        <f>Transactions!$C1561</f>
        <v/>
      </c>
      <c r="C1561" s="51" t="str">
        <f t="array" ref="C1561">IFERROR(INDEX(Portfolio!$B:$B, MATCH($B1561, Portfolio!$A:$A, 0)),Transactions!$B1561)</f>
        <v/>
      </c>
      <c r="D1561" s="51" t="str">
        <f>IF($B1561&lt;&gt;"",Transactions!$E1561*1,)</f>
        <v/>
      </c>
      <c r="E1561" s="51" t="str">
        <f>IF($B1561&lt;&gt;"",Transactions!$F1561*1,)</f>
        <v/>
      </c>
      <c r="F1561" s="42" t="str">
        <f>IF(Transactions!$G1561&lt;&gt;"",Transactions!$H1561&amp;" "&amp;Transactions!$G1561,)</f>
        <v/>
      </c>
    </row>
    <row r="1562">
      <c r="A1562" s="55" t="str">
        <f>IF(Transactions!$B1562&lt;&gt;"",DATE(LEFT(Transactions!$B1562,4),MID(Transactions!$B1562,6,2),MID(Transactions!$B1562,9,2)),)</f>
        <v/>
      </c>
      <c r="B1562" s="56" t="str">
        <f>Transactions!$C1562</f>
        <v/>
      </c>
      <c r="C1562" s="51" t="str">
        <f t="array" ref="C1562">IFERROR(INDEX(Portfolio!$B:$B, MATCH($B1562, Portfolio!$A:$A, 0)),Transactions!$B1562)</f>
        <v/>
      </c>
      <c r="D1562" s="51" t="str">
        <f>IF($B1562&lt;&gt;"",Transactions!$E1562*1,)</f>
        <v/>
      </c>
      <c r="E1562" s="51" t="str">
        <f>IF($B1562&lt;&gt;"",Transactions!$F1562*1,)</f>
        <v/>
      </c>
      <c r="F1562" s="42" t="str">
        <f>IF(Transactions!$G1562&lt;&gt;"",Transactions!$H1562&amp;" "&amp;Transactions!$G1562,)</f>
        <v/>
      </c>
    </row>
    <row r="1563">
      <c r="A1563" s="55" t="str">
        <f>IF(Transactions!$B1563&lt;&gt;"",DATE(LEFT(Transactions!$B1563,4),MID(Transactions!$B1563,6,2),MID(Transactions!$B1563,9,2)),)</f>
        <v/>
      </c>
      <c r="B1563" s="56" t="str">
        <f>Transactions!$C1563</f>
        <v/>
      </c>
      <c r="C1563" s="51" t="str">
        <f t="array" ref="C1563">IFERROR(INDEX(Portfolio!$B:$B, MATCH($B1563, Portfolio!$A:$A, 0)),Transactions!$B1563)</f>
        <v/>
      </c>
      <c r="D1563" s="51" t="str">
        <f>IF($B1563&lt;&gt;"",Transactions!$E1563*1,)</f>
        <v/>
      </c>
      <c r="E1563" s="51" t="str">
        <f>IF($B1563&lt;&gt;"",Transactions!$F1563*1,)</f>
        <v/>
      </c>
      <c r="F1563" s="42" t="str">
        <f>IF(Transactions!$G1563&lt;&gt;"",Transactions!$H1563&amp;" "&amp;Transactions!$G1563,)</f>
        <v/>
      </c>
    </row>
    <row r="1564">
      <c r="A1564" s="55" t="str">
        <f>IF(Transactions!$B1564&lt;&gt;"",DATE(LEFT(Transactions!$B1564,4),MID(Transactions!$B1564,6,2),MID(Transactions!$B1564,9,2)),)</f>
        <v/>
      </c>
      <c r="B1564" s="56" t="str">
        <f>Transactions!$C1564</f>
        <v/>
      </c>
      <c r="C1564" s="51" t="str">
        <f t="array" ref="C1564">IFERROR(INDEX(Portfolio!$B:$B, MATCH($B1564, Portfolio!$A:$A, 0)),Transactions!$B1564)</f>
        <v/>
      </c>
      <c r="D1564" s="51" t="str">
        <f>IF($B1564&lt;&gt;"",Transactions!$E1564*1,)</f>
        <v/>
      </c>
      <c r="E1564" s="51" t="str">
        <f>IF($B1564&lt;&gt;"",Transactions!$F1564*1,)</f>
        <v/>
      </c>
      <c r="F1564" s="42" t="str">
        <f>IF(Transactions!$G1564&lt;&gt;"",Transactions!$H1564&amp;" "&amp;Transactions!$G1564,)</f>
        <v/>
      </c>
    </row>
    <row r="1565">
      <c r="A1565" s="55" t="str">
        <f>IF(Transactions!$B1565&lt;&gt;"",DATE(LEFT(Transactions!$B1565,4),MID(Transactions!$B1565,6,2),MID(Transactions!$B1565,9,2)),)</f>
        <v/>
      </c>
      <c r="B1565" s="56" t="str">
        <f>Transactions!$C1565</f>
        <v/>
      </c>
      <c r="C1565" s="51" t="str">
        <f t="array" ref="C1565">IFERROR(INDEX(Portfolio!$B:$B, MATCH($B1565, Portfolio!$A:$A, 0)),Transactions!$B1565)</f>
        <v/>
      </c>
      <c r="D1565" s="51" t="str">
        <f>IF($B1565&lt;&gt;"",Transactions!$E1565*1,)</f>
        <v/>
      </c>
      <c r="E1565" s="51" t="str">
        <f>IF($B1565&lt;&gt;"",Transactions!$F1565*1,)</f>
        <v/>
      </c>
      <c r="F1565" s="42" t="str">
        <f>IF(Transactions!$G1565&lt;&gt;"",Transactions!$H1565&amp;" "&amp;Transactions!$G1565,)</f>
        <v/>
      </c>
    </row>
    <row r="1566">
      <c r="A1566" s="55" t="str">
        <f>IF(Transactions!$B1566&lt;&gt;"",DATE(LEFT(Transactions!$B1566,4),MID(Transactions!$B1566,6,2),MID(Transactions!$B1566,9,2)),)</f>
        <v/>
      </c>
      <c r="B1566" s="56" t="str">
        <f>Transactions!$C1566</f>
        <v/>
      </c>
      <c r="C1566" s="51" t="str">
        <f t="array" ref="C1566">IFERROR(INDEX(Portfolio!$B:$B, MATCH($B1566, Portfolio!$A:$A, 0)),Transactions!$B1566)</f>
        <v/>
      </c>
      <c r="D1566" s="51" t="str">
        <f>IF($B1566&lt;&gt;"",Transactions!$E1566*1,)</f>
        <v/>
      </c>
      <c r="E1566" s="51" t="str">
        <f>IF($B1566&lt;&gt;"",Transactions!$F1566*1,)</f>
        <v/>
      </c>
      <c r="F1566" s="42" t="str">
        <f>IF(Transactions!$G1566&lt;&gt;"",Transactions!$H1566&amp;" "&amp;Transactions!$G1566,)</f>
        <v/>
      </c>
    </row>
    <row r="1567">
      <c r="A1567" s="55" t="str">
        <f>IF(Transactions!$B1567&lt;&gt;"",DATE(LEFT(Transactions!$B1567,4),MID(Transactions!$B1567,6,2),MID(Transactions!$B1567,9,2)),)</f>
        <v/>
      </c>
      <c r="B1567" s="56" t="str">
        <f>Transactions!$C1567</f>
        <v/>
      </c>
      <c r="C1567" s="51" t="str">
        <f t="array" ref="C1567">IFERROR(INDEX(Portfolio!$B:$B, MATCH($B1567, Portfolio!$A:$A, 0)),Transactions!$B1567)</f>
        <v/>
      </c>
      <c r="D1567" s="51" t="str">
        <f>IF($B1567&lt;&gt;"",Transactions!$E1567*1,)</f>
        <v/>
      </c>
      <c r="E1567" s="51" t="str">
        <f>IF($B1567&lt;&gt;"",Transactions!$F1567*1,)</f>
        <v/>
      </c>
      <c r="F1567" s="42" t="str">
        <f>IF(Transactions!$G1567&lt;&gt;"",Transactions!$H1567&amp;" "&amp;Transactions!$G1567,)</f>
        <v/>
      </c>
    </row>
    <row r="1568">
      <c r="A1568" s="55" t="str">
        <f>IF(Transactions!$B1568&lt;&gt;"",DATE(LEFT(Transactions!$B1568,4),MID(Transactions!$B1568,6,2),MID(Transactions!$B1568,9,2)),)</f>
        <v/>
      </c>
      <c r="B1568" s="56" t="str">
        <f>Transactions!$C1568</f>
        <v/>
      </c>
      <c r="C1568" s="51" t="str">
        <f t="array" ref="C1568">IFERROR(INDEX(Portfolio!$B:$B, MATCH($B1568, Portfolio!$A:$A, 0)),Transactions!$B1568)</f>
        <v/>
      </c>
      <c r="D1568" s="51" t="str">
        <f>IF($B1568&lt;&gt;"",Transactions!$E1568*1,)</f>
        <v/>
      </c>
      <c r="E1568" s="51" t="str">
        <f>IF($B1568&lt;&gt;"",Transactions!$F1568*1,)</f>
        <v/>
      </c>
      <c r="F1568" s="42" t="str">
        <f>IF(Transactions!$G1568&lt;&gt;"",Transactions!$H1568&amp;" "&amp;Transactions!$G1568,)</f>
        <v/>
      </c>
    </row>
    <row r="1569">
      <c r="A1569" s="55" t="str">
        <f>IF(Transactions!$B1569&lt;&gt;"",DATE(LEFT(Transactions!$B1569,4),MID(Transactions!$B1569,6,2),MID(Transactions!$B1569,9,2)),)</f>
        <v/>
      </c>
      <c r="B1569" s="56" t="str">
        <f>Transactions!$C1569</f>
        <v/>
      </c>
      <c r="C1569" s="51" t="str">
        <f t="array" ref="C1569">IFERROR(INDEX(Portfolio!$B:$B, MATCH($B1569, Portfolio!$A:$A, 0)),Transactions!$B1569)</f>
        <v/>
      </c>
      <c r="D1569" s="51" t="str">
        <f>IF($B1569&lt;&gt;"",Transactions!$E1569*1,)</f>
        <v/>
      </c>
      <c r="E1569" s="51" t="str">
        <f>IF($B1569&lt;&gt;"",Transactions!$F1569*1,)</f>
        <v/>
      </c>
      <c r="F1569" s="42" t="str">
        <f>IF(Transactions!$G1569&lt;&gt;"",Transactions!$H1569&amp;" "&amp;Transactions!$G1569,)</f>
        <v/>
      </c>
    </row>
    <row r="1570">
      <c r="A1570" s="55" t="str">
        <f>IF(Transactions!$B1570&lt;&gt;"",DATE(LEFT(Transactions!$B1570,4),MID(Transactions!$B1570,6,2),MID(Transactions!$B1570,9,2)),)</f>
        <v/>
      </c>
      <c r="B1570" s="56" t="str">
        <f>Transactions!$C1570</f>
        <v/>
      </c>
      <c r="C1570" s="51" t="str">
        <f t="array" ref="C1570">IFERROR(INDEX(Portfolio!$B:$B, MATCH($B1570, Portfolio!$A:$A, 0)),Transactions!$B1570)</f>
        <v/>
      </c>
      <c r="D1570" s="51" t="str">
        <f>IF($B1570&lt;&gt;"",Transactions!$E1570*1,)</f>
        <v/>
      </c>
      <c r="E1570" s="51" t="str">
        <f>IF($B1570&lt;&gt;"",Transactions!$F1570*1,)</f>
        <v/>
      </c>
      <c r="F1570" s="42" t="str">
        <f>IF(Transactions!$G1570&lt;&gt;"",Transactions!$H1570&amp;" "&amp;Transactions!$G1570,)</f>
        <v/>
      </c>
    </row>
    <row r="1571">
      <c r="A1571" s="55" t="str">
        <f>IF(Transactions!$B1571&lt;&gt;"",DATE(LEFT(Transactions!$B1571,4),MID(Transactions!$B1571,6,2),MID(Transactions!$B1571,9,2)),)</f>
        <v/>
      </c>
      <c r="B1571" s="56" t="str">
        <f>Transactions!$C1571</f>
        <v/>
      </c>
      <c r="C1571" s="51" t="str">
        <f t="array" ref="C1571">IFERROR(INDEX(Portfolio!$B:$B, MATCH($B1571, Portfolio!$A:$A, 0)),Transactions!$B1571)</f>
        <v/>
      </c>
      <c r="D1571" s="51" t="str">
        <f>IF($B1571&lt;&gt;"",Transactions!$E1571*1,)</f>
        <v/>
      </c>
      <c r="E1571" s="51" t="str">
        <f>IF($B1571&lt;&gt;"",Transactions!$F1571*1,)</f>
        <v/>
      </c>
      <c r="F1571" s="42" t="str">
        <f>IF(Transactions!$G1571&lt;&gt;"",Transactions!$H1571&amp;" "&amp;Transactions!$G1571,)</f>
        <v/>
      </c>
    </row>
    <row r="1572">
      <c r="A1572" s="55" t="str">
        <f>IF(Transactions!$B1572&lt;&gt;"",DATE(LEFT(Transactions!$B1572,4),MID(Transactions!$B1572,6,2),MID(Transactions!$B1572,9,2)),)</f>
        <v/>
      </c>
      <c r="B1572" s="56" t="str">
        <f>Transactions!$C1572</f>
        <v/>
      </c>
      <c r="C1572" s="51" t="str">
        <f t="array" ref="C1572">IFERROR(INDEX(Portfolio!$B:$B, MATCH($B1572, Portfolio!$A:$A, 0)),Transactions!$B1572)</f>
        <v/>
      </c>
      <c r="D1572" s="51" t="str">
        <f>IF($B1572&lt;&gt;"",Transactions!$E1572*1,)</f>
        <v/>
      </c>
      <c r="E1572" s="51" t="str">
        <f>IF($B1572&lt;&gt;"",Transactions!$F1572*1,)</f>
        <v/>
      </c>
      <c r="F1572" s="42" t="str">
        <f>IF(Transactions!$G1572&lt;&gt;"",Transactions!$H1572&amp;" "&amp;Transactions!$G1572,)</f>
        <v/>
      </c>
    </row>
    <row r="1573">
      <c r="A1573" s="55" t="str">
        <f>IF(Transactions!$B1573&lt;&gt;"",DATE(LEFT(Transactions!$B1573,4),MID(Transactions!$B1573,6,2),MID(Transactions!$B1573,9,2)),)</f>
        <v/>
      </c>
      <c r="B1573" s="56" t="str">
        <f>Transactions!$C1573</f>
        <v/>
      </c>
      <c r="C1573" s="51" t="str">
        <f t="array" ref="C1573">IFERROR(INDEX(Portfolio!$B:$B, MATCH($B1573, Portfolio!$A:$A, 0)),Transactions!$B1573)</f>
        <v/>
      </c>
      <c r="D1573" s="51" t="str">
        <f>IF($B1573&lt;&gt;"",Transactions!$E1573*1,)</f>
        <v/>
      </c>
      <c r="E1573" s="51" t="str">
        <f>IF($B1573&lt;&gt;"",Transactions!$F1573*1,)</f>
        <v/>
      </c>
      <c r="F1573" s="42" t="str">
        <f>IF(Transactions!$G1573&lt;&gt;"",Transactions!$H1573&amp;" "&amp;Transactions!$G1573,)</f>
        <v/>
      </c>
    </row>
    <row r="1574">
      <c r="A1574" s="55" t="str">
        <f>IF(Transactions!$B1574&lt;&gt;"",DATE(LEFT(Transactions!$B1574,4),MID(Transactions!$B1574,6,2),MID(Transactions!$B1574,9,2)),)</f>
        <v/>
      </c>
      <c r="B1574" s="56" t="str">
        <f>Transactions!$C1574</f>
        <v/>
      </c>
      <c r="C1574" s="51" t="str">
        <f t="array" ref="C1574">IFERROR(INDEX(Portfolio!$B:$B, MATCH($B1574, Portfolio!$A:$A, 0)),Transactions!$B1574)</f>
        <v/>
      </c>
      <c r="D1574" s="51" t="str">
        <f>IF($B1574&lt;&gt;"",Transactions!$E1574*1,)</f>
        <v/>
      </c>
      <c r="E1574" s="51" t="str">
        <f>IF($B1574&lt;&gt;"",Transactions!$F1574*1,)</f>
        <v/>
      </c>
      <c r="F1574" s="42" t="str">
        <f>IF(Transactions!$G1574&lt;&gt;"",Transactions!$H1574&amp;" "&amp;Transactions!$G1574,)</f>
        <v/>
      </c>
    </row>
    <row r="1575">
      <c r="A1575" s="55" t="str">
        <f>IF(Transactions!$B1575&lt;&gt;"",DATE(LEFT(Transactions!$B1575,4),MID(Transactions!$B1575,6,2),MID(Transactions!$B1575,9,2)),)</f>
        <v/>
      </c>
      <c r="B1575" s="56" t="str">
        <f>Transactions!$C1575</f>
        <v/>
      </c>
      <c r="C1575" s="51" t="str">
        <f t="array" ref="C1575">IFERROR(INDEX(Portfolio!$B:$B, MATCH($B1575, Portfolio!$A:$A, 0)),Transactions!$B1575)</f>
        <v/>
      </c>
      <c r="D1575" s="51" t="str">
        <f>IF($B1575&lt;&gt;"",Transactions!$E1575*1,)</f>
        <v/>
      </c>
      <c r="E1575" s="51" t="str">
        <f>IF($B1575&lt;&gt;"",Transactions!$F1575*1,)</f>
        <v/>
      </c>
      <c r="F1575" s="42" t="str">
        <f>IF(Transactions!$G1575&lt;&gt;"",Transactions!$H1575&amp;" "&amp;Transactions!$G1575,)</f>
        <v/>
      </c>
    </row>
    <row r="1576">
      <c r="A1576" s="55" t="str">
        <f>IF(Transactions!$B1576&lt;&gt;"",DATE(LEFT(Transactions!$B1576,4),MID(Transactions!$B1576,6,2),MID(Transactions!$B1576,9,2)),)</f>
        <v/>
      </c>
      <c r="B1576" s="56" t="str">
        <f>Transactions!$C1576</f>
        <v/>
      </c>
      <c r="C1576" s="51" t="str">
        <f t="array" ref="C1576">IFERROR(INDEX(Portfolio!$B:$B, MATCH($B1576, Portfolio!$A:$A, 0)),Transactions!$B1576)</f>
        <v/>
      </c>
      <c r="D1576" s="51" t="str">
        <f>IF($B1576&lt;&gt;"",Transactions!$E1576*1,)</f>
        <v/>
      </c>
      <c r="E1576" s="51" t="str">
        <f>IF($B1576&lt;&gt;"",Transactions!$F1576*1,)</f>
        <v/>
      </c>
      <c r="F1576" s="42" t="str">
        <f>IF(Transactions!$G1576&lt;&gt;"",Transactions!$H1576&amp;" "&amp;Transactions!$G1576,)</f>
        <v/>
      </c>
    </row>
    <row r="1577">
      <c r="A1577" s="55" t="str">
        <f>IF(Transactions!$B1577&lt;&gt;"",DATE(LEFT(Transactions!$B1577,4),MID(Transactions!$B1577,6,2),MID(Transactions!$B1577,9,2)),)</f>
        <v/>
      </c>
      <c r="B1577" s="56" t="str">
        <f>Transactions!$C1577</f>
        <v/>
      </c>
      <c r="C1577" s="51" t="str">
        <f t="array" ref="C1577">IFERROR(INDEX(Portfolio!$B:$B, MATCH($B1577, Portfolio!$A:$A, 0)),Transactions!$B1577)</f>
        <v/>
      </c>
      <c r="D1577" s="51" t="str">
        <f>IF($B1577&lt;&gt;"",Transactions!$E1577*1,)</f>
        <v/>
      </c>
      <c r="E1577" s="51" t="str">
        <f>IF($B1577&lt;&gt;"",Transactions!$F1577*1,)</f>
        <v/>
      </c>
      <c r="F1577" s="42" t="str">
        <f>IF(Transactions!$G1577&lt;&gt;"",Transactions!$H1577&amp;" "&amp;Transactions!$G1577,)</f>
        <v/>
      </c>
    </row>
    <row r="1578">
      <c r="A1578" s="55" t="str">
        <f>IF(Transactions!$B1578&lt;&gt;"",DATE(LEFT(Transactions!$B1578,4),MID(Transactions!$B1578,6,2),MID(Transactions!$B1578,9,2)),)</f>
        <v/>
      </c>
      <c r="B1578" s="56" t="str">
        <f>Transactions!$C1578</f>
        <v/>
      </c>
      <c r="C1578" s="51" t="str">
        <f t="array" ref="C1578">IFERROR(INDEX(Portfolio!$B:$B, MATCH($B1578, Portfolio!$A:$A, 0)),Transactions!$B1578)</f>
        <v/>
      </c>
      <c r="D1578" s="51" t="str">
        <f>IF($B1578&lt;&gt;"",Transactions!$E1578*1,)</f>
        <v/>
      </c>
      <c r="E1578" s="51" t="str">
        <f>IF($B1578&lt;&gt;"",Transactions!$F1578*1,)</f>
        <v/>
      </c>
      <c r="F1578" s="42" t="str">
        <f>IF(Transactions!$G1578&lt;&gt;"",Transactions!$H1578&amp;" "&amp;Transactions!$G1578,)</f>
        <v/>
      </c>
    </row>
    <row r="1579">
      <c r="A1579" s="55" t="str">
        <f>IF(Transactions!$B1579&lt;&gt;"",DATE(LEFT(Transactions!$B1579,4),MID(Transactions!$B1579,6,2),MID(Transactions!$B1579,9,2)),)</f>
        <v/>
      </c>
      <c r="B1579" s="56" t="str">
        <f>Transactions!$C1579</f>
        <v/>
      </c>
      <c r="C1579" s="51" t="str">
        <f t="array" ref="C1579">IFERROR(INDEX(Portfolio!$B:$B, MATCH($B1579, Portfolio!$A:$A, 0)),Transactions!$B1579)</f>
        <v/>
      </c>
      <c r="D1579" s="51" t="str">
        <f>IF($B1579&lt;&gt;"",Transactions!$E1579*1,)</f>
        <v/>
      </c>
      <c r="E1579" s="51" t="str">
        <f>IF($B1579&lt;&gt;"",Transactions!$F1579*1,)</f>
        <v/>
      </c>
      <c r="F1579" s="42" t="str">
        <f>IF(Transactions!$G1579&lt;&gt;"",Transactions!$H1579&amp;" "&amp;Transactions!$G1579,)</f>
        <v/>
      </c>
    </row>
    <row r="1580">
      <c r="A1580" s="55" t="str">
        <f>IF(Transactions!$B1580&lt;&gt;"",DATE(LEFT(Transactions!$B1580,4),MID(Transactions!$B1580,6,2),MID(Transactions!$B1580,9,2)),)</f>
        <v/>
      </c>
      <c r="B1580" s="56" t="str">
        <f>Transactions!$C1580</f>
        <v/>
      </c>
      <c r="C1580" s="51" t="str">
        <f t="array" ref="C1580">IFERROR(INDEX(Portfolio!$B:$B, MATCH($B1580, Portfolio!$A:$A, 0)),Transactions!$B1580)</f>
        <v/>
      </c>
      <c r="D1580" s="51" t="str">
        <f>IF($B1580&lt;&gt;"",Transactions!$E1580*1,)</f>
        <v/>
      </c>
      <c r="E1580" s="51" t="str">
        <f>IF($B1580&lt;&gt;"",Transactions!$F1580*1,)</f>
        <v/>
      </c>
      <c r="F1580" s="42" t="str">
        <f>IF(Transactions!$G1580&lt;&gt;"",Transactions!$H1580&amp;" "&amp;Transactions!$G1580,)</f>
        <v/>
      </c>
    </row>
    <row r="1581">
      <c r="A1581" s="55" t="str">
        <f>IF(Transactions!$B1581&lt;&gt;"",DATE(LEFT(Transactions!$B1581,4),MID(Transactions!$B1581,6,2),MID(Transactions!$B1581,9,2)),)</f>
        <v/>
      </c>
      <c r="B1581" s="56" t="str">
        <f>Transactions!$C1581</f>
        <v/>
      </c>
      <c r="C1581" s="51" t="str">
        <f t="array" ref="C1581">IFERROR(INDEX(Portfolio!$B:$B, MATCH($B1581, Portfolio!$A:$A, 0)),Transactions!$B1581)</f>
        <v/>
      </c>
      <c r="D1581" s="51" t="str">
        <f>IF($B1581&lt;&gt;"",Transactions!$E1581*1,)</f>
        <v/>
      </c>
      <c r="E1581" s="51" t="str">
        <f>IF($B1581&lt;&gt;"",Transactions!$F1581*1,)</f>
        <v/>
      </c>
      <c r="F1581" s="42" t="str">
        <f>IF(Transactions!$G1581&lt;&gt;"",Transactions!$H1581&amp;" "&amp;Transactions!$G1581,)</f>
        <v/>
      </c>
    </row>
    <row r="1582">
      <c r="A1582" s="55" t="str">
        <f>IF(Transactions!$B1582&lt;&gt;"",DATE(LEFT(Transactions!$B1582,4),MID(Transactions!$B1582,6,2),MID(Transactions!$B1582,9,2)),)</f>
        <v/>
      </c>
      <c r="B1582" s="56" t="str">
        <f>Transactions!$C1582</f>
        <v/>
      </c>
      <c r="C1582" s="51" t="str">
        <f t="array" ref="C1582">IFERROR(INDEX(Portfolio!$B:$B, MATCH($B1582, Portfolio!$A:$A, 0)),Transactions!$B1582)</f>
        <v/>
      </c>
      <c r="D1582" s="51" t="str">
        <f>IF($B1582&lt;&gt;"",Transactions!$E1582*1,)</f>
        <v/>
      </c>
      <c r="E1582" s="51" t="str">
        <f>IF($B1582&lt;&gt;"",Transactions!$F1582*1,)</f>
        <v/>
      </c>
      <c r="F1582" s="42" t="str">
        <f>IF(Transactions!$G1582&lt;&gt;"",Transactions!$H1582&amp;" "&amp;Transactions!$G1582,)</f>
        <v/>
      </c>
    </row>
  </sheetData>
  <autoFilter ref="$A$1:$F$96"/>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21.25"/>
    <col customWidth="1" min="3" max="3" width="6.13"/>
    <col customWidth="1" min="4" max="4" width="15.38"/>
    <col customWidth="1" min="5" max="5" width="9.25"/>
    <col customWidth="1" min="6" max="6" width="6.13"/>
    <col customWidth="1" min="7" max="7" width="5.88"/>
    <col customWidth="1" min="8" max="8" width="7.25"/>
  </cols>
  <sheetData>
    <row r="1">
      <c r="A1" s="11" t="str">
        <f>ImportJSON("https://wallet.fims.fi/api/database/getTransactions"&amp;Portfolio!$O$1)</f>
        <v>Id</v>
      </c>
      <c r="B1" s="11" t="s">
        <v>1</v>
      </c>
      <c r="C1" s="11" t="s">
        <v>70</v>
      </c>
      <c r="D1" s="11" t="s">
        <v>13</v>
      </c>
      <c r="E1" s="11" t="s">
        <v>71</v>
      </c>
      <c r="F1" s="11" t="s">
        <v>72</v>
      </c>
      <c r="G1" s="11" t="s">
        <v>69</v>
      </c>
      <c r="H1" s="11" t="s">
        <v>73</v>
      </c>
    </row>
    <row r="2">
      <c r="A2" s="55" t="s">
        <v>74</v>
      </c>
      <c r="B2" s="55" t="s">
        <v>75</v>
      </c>
      <c r="C2" s="55" t="s">
        <v>35</v>
      </c>
      <c r="D2" s="55" t="s">
        <v>37</v>
      </c>
      <c r="E2" s="55" t="s">
        <v>76</v>
      </c>
      <c r="F2" s="55" t="s">
        <v>77</v>
      </c>
      <c r="G2" s="55" t="s">
        <v>26</v>
      </c>
      <c r="H2" s="55" t="s">
        <v>78</v>
      </c>
    </row>
    <row r="3">
      <c r="A3" s="55" t="s">
        <v>79</v>
      </c>
      <c r="B3" s="57" t="s">
        <v>80</v>
      </c>
      <c r="C3" s="55" t="s">
        <v>52</v>
      </c>
      <c r="D3" s="55" t="s">
        <v>54</v>
      </c>
      <c r="E3" s="58" t="s">
        <v>81</v>
      </c>
      <c r="F3" s="55" t="s">
        <v>82</v>
      </c>
      <c r="G3" s="55" t="s">
        <v>83</v>
      </c>
      <c r="H3" s="55" t="s">
        <v>84</v>
      </c>
    </row>
    <row r="4">
      <c r="A4" s="55" t="s">
        <v>85</v>
      </c>
      <c r="B4" s="55" t="s">
        <v>80</v>
      </c>
      <c r="C4" s="55" t="s">
        <v>55</v>
      </c>
      <c r="D4" s="55" t="s">
        <v>57</v>
      </c>
      <c r="E4" s="58" t="s">
        <v>86</v>
      </c>
      <c r="F4" s="55" t="s">
        <v>77</v>
      </c>
      <c r="G4" s="55" t="s">
        <v>83</v>
      </c>
      <c r="H4" s="55" t="s">
        <v>25</v>
      </c>
    </row>
    <row r="5">
      <c r="A5" s="55" t="s">
        <v>87</v>
      </c>
      <c r="B5" s="55" t="s">
        <v>88</v>
      </c>
      <c r="C5" s="55" t="s">
        <v>49</v>
      </c>
      <c r="D5" s="55" t="s">
        <v>51</v>
      </c>
      <c r="E5" s="58" t="s">
        <v>89</v>
      </c>
      <c r="F5" s="55" t="s">
        <v>77</v>
      </c>
      <c r="G5" s="55" t="s">
        <v>83</v>
      </c>
      <c r="H5" s="55" t="s">
        <v>90</v>
      </c>
    </row>
    <row r="6">
      <c r="A6" s="55" t="s">
        <v>91</v>
      </c>
      <c r="B6" s="55" t="s">
        <v>92</v>
      </c>
      <c r="C6" s="55" t="s">
        <v>52</v>
      </c>
      <c r="D6" s="55" t="s">
        <v>54</v>
      </c>
      <c r="E6" s="58" t="s">
        <v>93</v>
      </c>
      <c r="F6" s="55" t="s">
        <v>94</v>
      </c>
      <c r="G6" s="55" t="s">
        <v>83</v>
      </c>
      <c r="H6" s="55" t="s">
        <v>95</v>
      </c>
    </row>
    <row r="7">
      <c r="A7" s="55" t="s">
        <v>96</v>
      </c>
      <c r="B7" s="55" t="s">
        <v>97</v>
      </c>
      <c r="C7" s="55" t="s">
        <v>49</v>
      </c>
      <c r="D7" s="55" t="s">
        <v>51</v>
      </c>
      <c r="E7" s="58" t="s">
        <v>98</v>
      </c>
      <c r="F7" s="55" t="s">
        <v>98</v>
      </c>
      <c r="G7" s="55" t="s">
        <v>99</v>
      </c>
      <c r="H7" s="55" t="s">
        <v>77</v>
      </c>
    </row>
    <row r="8">
      <c r="A8" s="55" t="s">
        <v>100</v>
      </c>
      <c r="B8" s="55" t="s">
        <v>97</v>
      </c>
      <c r="C8" s="55" t="s">
        <v>47</v>
      </c>
      <c r="D8" s="55" t="s">
        <v>48</v>
      </c>
      <c r="E8" s="58" t="s">
        <v>101</v>
      </c>
      <c r="F8" s="55" t="s">
        <v>101</v>
      </c>
      <c r="G8" s="55" t="s">
        <v>99</v>
      </c>
      <c r="H8" s="55" t="s">
        <v>77</v>
      </c>
    </row>
    <row r="9">
      <c r="A9" s="55" t="s">
        <v>102</v>
      </c>
      <c r="B9" s="55" t="s">
        <v>97</v>
      </c>
      <c r="C9" s="55" t="s">
        <v>44</v>
      </c>
      <c r="D9" s="55" t="s">
        <v>46</v>
      </c>
      <c r="E9" s="58" t="s">
        <v>103</v>
      </c>
      <c r="F9" s="55" t="s">
        <v>103</v>
      </c>
      <c r="G9" s="55" t="s">
        <v>99</v>
      </c>
      <c r="H9" s="55" t="s">
        <v>77</v>
      </c>
    </row>
    <row r="10">
      <c r="A10" s="55" t="s">
        <v>104</v>
      </c>
      <c r="B10" s="55" t="s">
        <v>97</v>
      </c>
      <c r="C10" s="55" t="s">
        <v>41</v>
      </c>
      <c r="D10" s="55" t="s">
        <v>43</v>
      </c>
      <c r="E10" s="58" t="s">
        <v>105</v>
      </c>
      <c r="F10" s="55" t="s">
        <v>105</v>
      </c>
      <c r="G10" s="55" t="s">
        <v>99</v>
      </c>
      <c r="H10" s="55" t="s">
        <v>77</v>
      </c>
    </row>
    <row r="11">
      <c r="A11" s="55" t="s">
        <v>106</v>
      </c>
      <c r="B11" s="55" t="s">
        <v>97</v>
      </c>
      <c r="C11" s="55" t="s">
        <v>55</v>
      </c>
      <c r="D11" s="55" t="s">
        <v>57</v>
      </c>
      <c r="E11" s="58" t="s">
        <v>107</v>
      </c>
      <c r="F11" s="55" t="s">
        <v>107</v>
      </c>
      <c r="G11" s="55" t="s">
        <v>99</v>
      </c>
      <c r="H11" s="55" t="s">
        <v>77</v>
      </c>
    </row>
    <row r="12">
      <c r="A12" s="55" t="s">
        <v>108</v>
      </c>
      <c r="B12" s="55" t="s">
        <v>97</v>
      </c>
      <c r="C12" s="55" t="s">
        <v>35</v>
      </c>
      <c r="D12" s="55" t="s">
        <v>37</v>
      </c>
      <c r="E12" s="58" t="s">
        <v>109</v>
      </c>
      <c r="F12" s="55" t="s">
        <v>109</v>
      </c>
      <c r="G12" s="55" t="s">
        <v>99</v>
      </c>
      <c r="H12" s="55" t="s">
        <v>77</v>
      </c>
    </row>
    <row r="13">
      <c r="A13" s="55" t="s">
        <v>110</v>
      </c>
      <c r="B13" s="55" t="s">
        <v>97</v>
      </c>
      <c r="C13" s="55" t="s">
        <v>32</v>
      </c>
      <c r="D13" s="55" t="s">
        <v>34</v>
      </c>
      <c r="E13" s="55" t="s">
        <v>111</v>
      </c>
      <c r="F13" s="55" t="s">
        <v>111</v>
      </c>
      <c r="G13" s="55" t="s">
        <v>99</v>
      </c>
      <c r="H13" s="55" t="s">
        <v>77</v>
      </c>
    </row>
    <row r="14">
      <c r="A14" s="55" t="s">
        <v>112</v>
      </c>
      <c r="B14" s="55" t="s">
        <v>97</v>
      </c>
      <c r="C14" s="55" t="s">
        <v>29</v>
      </c>
      <c r="D14" s="55" t="s">
        <v>31</v>
      </c>
      <c r="E14" s="55" t="s">
        <v>113</v>
      </c>
      <c r="F14" s="55" t="s">
        <v>113</v>
      </c>
      <c r="G14" s="55" t="s">
        <v>99</v>
      </c>
      <c r="H14" s="55" t="s">
        <v>77</v>
      </c>
    </row>
    <row r="15">
      <c r="A15" s="55" t="s">
        <v>114</v>
      </c>
      <c r="B15" s="55" t="s">
        <v>97</v>
      </c>
      <c r="C15" s="55" t="s">
        <v>38</v>
      </c>
      <c r="D15" s="55" t="s">
        <v>40</v>
      </c>
      <c r="E15" s="55" t="s">
        <v>105</v>
      </c>
      <c r="F15" s="55" t="s">
        <v>105</v>
      </c>
      <c r="G15" s="55" t="s">
        <v>99</v>
      </c>
      <c r="H15" s="55" t="s">
        <v>77</v>
      </c>
    </row>
    <row r="16">
      <c r="A16" s="55" t="s">
        <v>115</v>
      </c>
      <c r="B16" s="55" t="s">
        <v>97</v>
      </c>
      <c r="C16" s="55" t="s">
        <v>52</v>
      </c>
      <c r="D16" s="55" t="s">
        <v>54</v>
      </c>
      <c r="E16" s="55" t="s">
        <v>116</v>
      </c>
      <c r="F16" s="55" t="s">
        <v>116</v>
      </c>
      <c r="G16" s="55" t="s">
        <v>99</v>
      </c>
      <c r="H16" s="55" t="s">
        <v>77</v>
      </c>
    </row>
    <row r="17">
      <c r="A17" s="55" t="s">
        <v>117</v>
      </c>
      <c r="B17" s="55" t="s">
        <v>118</v>
      </c>
      <c r="C17" s="55" t="s">
        <v>52</v>
      </c>
      <c r="D17" s="55" t="s">
        <v>54</v>
      </c>
      <c r="E17" s="55" t="s">
        <v>119</v>
      </c>
      <c r="F17" s="55" t="s">
        <v>120</v>
      </c>
      <c r="G17" s="55" t="s">
        <v>83</v>
      </c>
      <c r="H17" s="55" t="s">
        <v>121</v>
      </c>
    </row>
    <row r="18">
      <c r="A18" s="55" t="s">
        <v>122</v>
      </c>
      <c r="B18" s="55" t="s">
        <v>123</v>
      </c>
      <c r="C18" s="55" t="s">
        <v>55</v>
      </c>
      <c r="D18" s="55" t="s">
        <v>57</v>
      </c>
      <c r="E18" s="55" t="s">
        <v>124</v>
      </c>
      <c r="F18" s="55" t="s">
        <v>77</v>
      </c>
      <c r="G18" s="55" t="s">
        <v>83</v>
      </c>
      <c r="H18" s="55" t="s">
        <v>125</v>
      </c>
    </row>
    <row r="19">
      <c r="A19" s="55" t="s">
        <v>126</v>
      </c>
      <c r="B19" s="55" t="s">
        <v>123</v>
      </c>
      <c r="C19" s="55" t="s">
        <v>35</v>
      </c>
      <c r="D19" s="55" t="s">
        <v>37</v>
      </c>
      <c r="E19" s="55" t="s">
        <v>127</v>
      </c>
      <c r="F19" s="55" t="s">
        <v>77</v>
      </c>
      <c r="G19" s="55" t="s">
        <v>26</v>
      </c>
      <c r="H19" s="55" t="s">
        <v>78</v>
      </c>
    </row>
    <row r="20">
      <c r="A20" s="55" t="s">
        <v>128</v>
      </c>
      <c r="B20" s="55" t="s">
        <v>129</v>
      </c>
      <c r="C20" s="55" t="s">
        <v>55</v>
      </c>
      <c r="D20" s="55" t="s">
        <v>57</v>
      </c>
      <c r="E20" s="55" t="s">
        <v>130</v>
      </c>
      <c r="F20" s="55" t="s">
        <v>77</v>
      </c>
      <c r="G20" s="55" t="s">
        <v>83</v>
      </c>
      <c r="H20" s="55" t="s">
        <v>25</v>
      </c>
    </row>
    <row r="21">
      <c r="A21" s="55" t="s">
        <v>131</v>
      </c>
      <c r="B21" s="55" t="s">
        <v>132</v>
      </c>
      <c r="C21" s="55" t="s">
        <v>55</v>
      </c>
      <c r="D21" s="55" t="s">
        <v>57</v>
      </c>
      <c r="E21" s="55" t="s">
        <v>133</v>
      </c>
      <c r="F21" s="55" t="s">
        <v>77</v>
      </c>
      <c r="G21" s="55" t="s">
        <v>83</v>
      </c>
      <c r="H21" s="55" t="s">
        <v>38</v>
      </c>
    </row>
    <row r="22">
      <c r="A22" s="55" t="s">
        <v>134</v>
      </c>
      <c r="B22" s="55" t="s">
        <v>135</v>
      </c>
      <c r="C22" s="55" t="s">
        <v>55</v>
      </c>
      <c r="D22" s="55" t="s">
        <v>57</v>
      </c>
      <c r="E22" s="55" t="s">
        <v>136</v>
      </c>
      <c r="F22" s="55" t="s">
        <v>77</v>
      </c>
      <c r="G22" s="55" t="s">
        <v>83</v>
      </c>
      <c r="H22" s="55" t="s">
        <v>125</v>
      </c>
    </row>
    <row r="23">
      <c r="A23" s="55" t="s">
        <v>137</v>
      </c>
      <c r="B23" s="55" t="s">
        <v>138</v>
      </c>
      <c r="C23" s="55" t="s">
        <v>35</v>
      </c>
      <c r="D23" s="55" t="s">
        <v>37</v>
      </c>
      <c r="E23" s="55" t="s">
        <v>139</v>
      </c>
      <c r="F23" s="55" t="s">
        <v>77</v>
      </c>
      <c r="G23" s="55" t="s">
        <v>26</v>
      </c>
      <c r="H23" s="55" t="s">
        <v>78</v>
      </c>
    </row>
    <row r="24">
      <c r="A24" s="55" t="s">
        <v>140</v>
      </c>
      <c r="B24" s="55" t="s">
        <v>141</v>
      </c>
      <c r="C24" s="55" t="s">
        <v>52</v>
      </c>
      <c r="D24" s="55" t="s">
        <v>54</v>
      </c>
      <c r="E24" s="55" t="s">
        <v>142</v>
      </c>
      <c r="F24" s="55" t="s">
        <v>77</v>
      </c>
      <c r="G24" s="55" t="s">
        <v>83</v>
      </c>
      <c r="H24" s="55" t="s">
        <v>143</v>
      </c>
    </row>
    <row r="25">
      <c r="A25" s="55" t="s">
        <v>144</v>
      </c>
      <c r="B25" s="55" t="s">
        <v>145</v>
      </c>
      <c r="C25" s="55" t="s">
        <v>35</v>
      </c>
      <c r="D25" s="55" t="s">
        <v>37</v>
      </c>
      <c r="E25" s="55" t="s">
        <v>146</v>
      </c>
      <c r="F25" s="55" t="s">
        <v>77</v>
      </c>
      <c r="G25" s="55" t="s">
        <v>26</v>
      </c>
      <c r="H25" s="55" t="s">
        <v>78</v>
      </c>
    </row>
    <row r="26">
      <c r="A26" s="55" t="s">
        <v>147</v>
      </c>
      <c r="B26" s="55" t="s">
        <v>148</v>
      </c>
      <c r="C26" s="55" t="s">
        <v>49</v>
      </c>
      <c r="D26" s="55" t="s">
        <v>51</v>
      </c>
      <c r="E26" s="55" t="s">
        <v>142</v>
      </c>
      <c r="F26" s="55" t="s">
        <v>77</v>
      </c>
      <c r="G26" s="55" t="s">
        <v>83</v>
      </c>
      <c r="H26" s="55" t="s">
        <v>149</v>
      </c>
    </row>
    <row r="27">
      <c r="A27" s="55" t="s">
        <v>107</v>
      </c>
      <c r="B27" s="55" t="s">
        <v>150</v>
      </c>
      <c r="C27" s="55" t="s">
        <v>35</v>
      </c>
      <c r="D27" s="55" t="s">
        <v>37</v>
      </c>
      <c r="E27" s="55" t="s">
        <v>78</v>
      </c>
      <c r="F27" s="55" t="s">
        <v>77</v>
      </c>
      <c r="G27" s="55" t="s">
        <v>26</v>
      </c>
      <c r="H27" s="55" t="s">
        <v>78</v>
      </c>
    </row>
    <row r="28">
      <c r="A28" s="55" t="s">
        <v>151</v>
      </c>
      <c r="B28" s="55" t="s">
        <v>152</v>
      </c>
      <c r="C28" s="55" t="s">
        <v>35</v>
      </c>
      <c r="D28" s="55" t="s">
        <v>37</v>
      </c>
      <c r="E28" s="55" t="s">
        <v>78</v>
      </c>
      <c r="F28" s="55" t="s">
        <v>77</v>
      </c>
      <c r="G28" s="55" t="s">
        <v>26</v>
      </c>
      <c r="H28" s="55" t="s">
        <v>78</v>
      </c>
    </row>
    <row r="29">
      <c r="A29" s="55" t="s">
        <v>153</v>
      </c>
      <c r="B29" s="55" t="s">
        <v>154</v>
      </c>
      <c r="C29" s="55" t="s">
        <v>35</v>
      </c>
      <c r="D29" s="55" t="s">
        <v>37</v>
      </c>
      <c r="E29" s="55" t="s">
        <v>78</v>
      </c>
      <c r="F29" s="55" t="s">
        <v>77</v>
      </c>
      <c r="G29" s="55" t="s">
        <v>26</v>
      </c>
      <c r="H29" s="55" t="s">
        <v>78</v>
      </c>
    </row>
    <row r="30">
      <c r="A30" s="55" t="s">
        <v>155</v>
      </c>
      <c r="B30" s="55" t="s">
        <v>156</v>
      </c>
      <c r="C30" s="55" t="s">
        <v>35</v>
      </c>
      <c r="D30" s="55" t="s">
        <v>37</v>
      </c>
      <c r="E30" s="55" t="s">
        <v>78</v>
      </c>
      <c r="F30" s="55" t="s">
        <v>77</v>
      </c>
      <c r="G30" s="55" t="s">
        <v>26</v>
      </c>
      <c r="H30" s="55" t="s">
        <v>78</v>
      </c>
    </row>
    <row r="31">
      <c r="A31" s="55" t="s">
        <v>157</v>
      </c>
      <c r="B31" s="55" t="s">
        <v>158</v>
      </c>
      <c r="C31" s="55" t="s">
        <v>35</v>
      </c>
      <c r="D31" s="55" t="s">
        <v>37</v>
      </c>
      <c r="E31" s="55" t="s">
        <v>78</v>
      </c>
      <c r="F31" s="55" t="s">
        <v>77</v>
      </c>
      <c r="G31" s="55" t="s">
        <v>26</v>
      </c>
      <c r="H31" s="55" t="s">
        <v>78</v>
      </c>
    </row>
    <row r="32">
      <c r="A32" s="55" t="s">
        <v>159</v>
      </c>
      <c r="B32" s="55" t="s">
        <v>160</v>
      </c>
      <c r="C32" s="55" t="s">
        <v>44</v>
      </c>
      <c r="D32" s="55" t="s">
        <v>46</v>
      </c>
      <c r="E32" s="55" t="s">
        <v>161</v>
      </c>
      <c r="F32" s="55" t="s">
        <v>77</v>
      </c>
      <c r="G32" s="55" t="s">
        <v>26</v>
      </c>
      <c r="H32" s="55" t="s">
        <v>161</v>
      </c>
    </row>
    <row r="33">
      <c r="A33" s="55" t="s">
        <v>162</v>
      </c>
      <c r="B33" s="55" t="s">
        <v>163</v>
      </c>
      <c r="C33" s="55" t="s">
        <v>35</v>
      </c>
      <c r="D33" s="55" t="s">
        <v>37</v>
      </c>
      <c r="E33" s="55" t="s">
        <v>78</v>
      </c>
      <c r="F33" s="55" t="s">
        <v>77</v>
      </c>
      <c r="G33" s="55" t="s">
        <v>26</v>
      </c>
      <c r="H33" s="55" t="s">
        <v>78</v>
      </c>
    </row>
    <row r="34">
      <c r="A34" s="55" t="s">
        <v>164</v>
      </c>
      <c r="B34" s="55" t="s">
        <v>165</v>
      </c>
      <c r="C34" s="55" t="s">
        <v>38</v>
      </c>
      <c r="D34" s="55" t="s">
        <v>40</v>
      </c>
      <c r="E34" s="55" t="s">
        <v>166</v>
      </c>
      <c r="F34" s="55" t="s">
        <v>77</v>
      </c>
      <c r="G34" s="55" t="s">
        <v>83</v>
      </c>
      <c r="H34" s="55" t="s">
        <v>167</v>
      </c>
    </row>
    <row r="35">
      <c r="A35" s="55" t="s">
        <v>168</v>
      </c>
      <c r="B35" s="55" t="s">
        <v>165</v>
      </c>
      <c r="C35" s="55" t="s">
        <v>41</v>
      </c>
      <c r="D35" s="55" t="s">
        <v>43</v>
      </c>
      <c r="E35" s="55" t="s">
        <v>166</v>
      </c>
      <c r="F35" s="55" t="s">
        <v>77</v>
      </c>
      <c r="G35" s="55" t="s">
        <v>83</v>
      </c>
      <c r="H35" s="55" t="s">
        <v>167</v>
      </c>
    </row>
    <row r="36">
      <c r="A36" s="55" t="s">
        <v>169</v>
      </c>
      <c r="B36" s="55" t="s">
        <v>170</v>
      </c>
      <c r="C36" s="55" t="s">
        <v>38</v>
      </c>
      <c r="D36" s="55" t="s">
        <v>40</v>
      </c>
      <c r="E36" s="55" t="s">
        <v>166</v>
      </c>
      <c r="F36" s="55" t="s">
        <v>77</v>
      </c>
      <c r="G36" s="55" t="s">
        <v>83</v>
      </c>
      <c r="H36" s="55" t="s">
        <v>167</v>
      </c>
    </row>
    <row r="37">
      <c r="A37" s="55" t="s">
        <v>171</v>
      </c>
      <c r="B37" s="55" t="s">
        <v>170</v>
      </c>
      <c r="C37" s="55" t="s">
        <v>41</v>
      </c>
      <c r="D37" s="55" t="s">
        <v>43</v>
      </c>
      <c r="E37" s="55" t="s">
        <v>166</v>
      </c>
      <c r="F37" s="55" t="s">
        <v>77</v>
      </c>
      <c r="G37" s="55" t="s">
        <v>83</v>
      </c>
      <c r="H37" s="55" t="s">
        <v>167</v>
      </c>
    </row>
    <row r="38">
      <c r="A38" s="55" t="s">
        <v>172</v>
      </c>
      <c r="B38" s="55" t="s">
        <v>173</v>
      </c>
      <c r="C38" s="55" t="s">
        <v>25</v>
      </c>
      <c r="D38" s="55" t="s">
        <v>27</v>
      </c>
      <c r="E38" s="55" t="s">
        <v>174</v>
      </c>
      <c r="F38" s="55" t="s">
        <v>175</v>
      </c>
      <c r="G38" s="55" t="s">
        <v>99</v>
      </c>
      <c r="H38" s="55" t="s">
        <v>77</v>
      </c>
    </row>
    <row r="39">
      <c r="A39" s="55" t="s">
        <v>176</v>
      </c>
      <c r="B39" s="55" t="s">
        <v>177</v>
      </c>
      <c r="C39" s="55" t="s">
        <v>47</v>
      </c>
      <c r="D39" s="55" t="s">
        <v>48</v>
      </c>
      <c r="E39" s="55" t="s">
        <v>178</v>
      </c>
      <c r="F39" s="55" t="s">
        <v>175</v>
      </c>
      <c r="G39" s="55" t="s">
        <v>99</v>
      </c>
      <c r="H39" s="55" t="s">
        <v>77</v>
      </c>
    </row>
    <row r="40">
      <c r="A40" s="55" t="s">
        <v>179</v>
      </c>
      <c r="B40" s="55" t="s">
        <v>180</v>
      </c>
      <c r="C40" s="55" t="s">
        <v>47</v>
      </c>
      <c r="D40" s="55" t="s">
        <v>48</v>
      </c>
      <c r="E40" s="55" t="s">
        <v>181</v>
      </c>
      <c r="F40" s="55" t="s">
        <v>175</v>
      </c>
      <c r="G40" s="55" t="s">
        <v>99</v>
      </c>
      <c r="H40" s="55" t="s">
        <v>77</v>
      </c>
    </row>
    <row r="41">
      <c r="A41" s="55" t="s">
        <v>182</v>
      </c>
      <c r="B41" s="55" t="s">
        <v>183</v>
      </c>
      <c r="C41" s="55" t="s">
        <v>47</v>
      </c>
      <c r="D41" s="55" t="s">
        <v>48</v>
      </c>
      <c r="E41" s="55" t="s">
        <v>181</v>
      </c>
      <c r="F41" s="55" t="s">
        <v>175</v>
      </c>
      <c r="G41" s="55" t="s">
        <v>99</v>
      </c>
      <c r="H41" s="55" t="s">
        <v>77</v>
      </c>
    </row>
    <row r="42">
      <c r="A42" s="55" t="s">
        <v>184</v>
      </c>
      <c r="B42" s="55" t="s">
        <v>185</v>
      </c>
      <c r="C42" s="55" t="s">
        <v>47</v>
      </c>
      <c r="D42" s="55" t="s">
        <v>48</v>
      </c>
      <c r="E42" s="55" t="s">
        <v>186</v>
      </c>
      <c r="F42" s="55" t="s">
        <v>175</v>
      </c>
      <c r="G42" s="55" t="s">
        <v>99</v>
      </c>
      <c r="H42" s="55" t="s">
        <v>77</v>
      </c>
    </row>
    <row r="43">
      <c r="A43" s="55" t="s">
        <v>187</v>
      </c>
      <c r="B43" s="55" t="s">
        <v>188</v>
      </c>
      <c r="C43" s="55" t="s">
        <v>35</v>
      </c>
      <c r="D43" s="55" t="s">
        <v>37</v>
      </c>
      <c r="E43" s="55" t="s">
        <v>189</v>
      </c>
      <c r="F43" s="55" t="s">
        <v>189</v>
      </c>
      <c r="G43" s="55" t="s">
        <v>99</v>
      </c>
      <c r="H43" s="55" t="s">
        <v>77</v>
      </c>
    </row>
    <row r="44">
      <c r="A44" s="55" t="s">
        <v>190</v>
      </c>
      <c r="B44" s="55" t="s">
        <v>188</v>
      </c>
      <c r="C44" s="55" t="s">
        <v>44</v>
      </c>
      <c r="D44" s="55" t="s">
        <v>46</v>
      </c>
      <c r="E44" s="55" t="s">
        <v>191</v>
      </c>
      <c r="F44" s="55" t="s">
        <v>191</v>
      </c>
      <c r="G44" s="55" t="s">
        <v>99</v>
      </c>
      <c r="H44" s="55" t="s">
        <v>77</v>
      </c>
    </row>
    <row r="45">
      <c r="A45" s="55" t="s">
        <v>192</v>
      </c>
      <c r="B45" s="55" t="s">
        <v>188</v>
      </c>
      <c r="C45" s="55" t="s">
        <v>32</v>
      </c>
      <c r="D45" s="55" t="s">
        <v>34</v>
      </c>
      <c r="E45" s="55" t="s">
        <v>193</v>
      </c>
      <c r="F45" s="55" t="s">
        <v>193</v>
      </c>
      <c r="G45" s="55" t="s">
        <v>99</v>
      </c>
      <c r="H45" s="55" t="s">
        <v>77</v>
      </c>
    </row>
    <row r="46">
      <c r="A46" s="55" t="s">
        <v>194</v>
      </c>
      <c r="B46" s="55" t="s">
        <v>188</v>
      </c>
      <c r="C46" s="55" t="s">
        <v>38</v>
      </c>
      <c r="D46" s="55" t="s">
        <v>40</v>
      </c>
      <c r="E46" s="55" t="s">
        <v>195</v>
      </c>
      <c r="F46" s="55" t="s">
        <v>195</v>
      </c>
      <c r="G46" s="55" t="s">
        <v>99</v>
      </c>
      <c r="H46" s="55" t="s">
        <v>77</v>
      </c>
    </row>
    <row r="47">
      <c r="A47" s="55" t="s">
        <v>196</v>
      </c>
      <c r="B47" s="55" t="s">
        <v>188</v>
      </c>
      <c r="C47" s="55" t="s">
        <v>29</v>
      </c>
      <c r="D47" s="55" t="s">
        <v>31</v>
      </c>
      <c r="E47" s="55" t="s">
        <v>197</v>
      </c>
      <c r="F47" s="55" t="s">
        <v>197</v>
      </c>
      <c r="G47" s="55" t="s">
        <v>99</v>
      </c>
      <c r="H47" s="55" t="s">
        <v>77</v>
      </c>
    </row>
    <row r="48">
      <c r="A48" s="55" t="s">
        <v>198</v>
      </c>
      <c r="B48" s="55" t="s">
        <v>188</v>
      </c>
      <c r="C48" s="55" t="s">
        <v>41</v>
      </c>
      <c r="D48" s="55" t="s">
        <v>43</v>
      </c>
      <c r="E48" s="55" t="s">
        <v>195</v>
      </c>
      <c r="F48" s="55" t="s">
        <v>195</v>
      </c>
      <c r="G48" s="55" t="s">
        <v>99</v>
      </c>
      <c r="H48" s="55" t="s">
        <v>77</v>
      </c>
    </row>
    <row r="49">
      <c r="A49" s="55" t="s">
        <v>199</v>
      </c>
      <c r="B49" s="55" t="s">
        <v>200</v>
      </c>
      <c r="C49" s="55" t="s">
        <v>29</v>
      </c>
      <c r="D49" s="55" t="s">
        <v>31</v>
      </c>
      <c r="E49" s="55" t="s">
        <v>201</v>
      </c>
      <c r="F49" s="55" t="s">
        <v>175</v>
      </c>
      <c r="G49" s="55" t="s">
        <v>99</v>
      </c>
      <c r="H49" s="55" t="s">
        <v>77</v>
      </c>
    </row>
    <row r="50">
      <c r="A50" s="55" t="s">
        <v>202</v>
      </c>
      <c r="B50" s="55" t="s">
        <v>203</v>
      </c>
      <c r="C50" s="55" t="s">
        <v>29</v>
      </c>
      <c r="D50" s="55" t="s">
        <v>31</v>
      </c>
      <c r="E50" s="55" t="s">
        <v>201</v>
      </c>
      <c r="F50" s="55" t="s">
        <v>175</v>
      </c>
      <c r="G50" s="55" t="s">
        <v>99</v>
      </c>
      <c r="H50" s="55" t="s">
        <v>77</v>
      </c>
    </row>
    <row r="51">
      <c r="A51" s="55" t="s">
        <v>204</v>
      </c>
      <c r="B51" s="55" t="s">
        <v>205</v>
      </c>
      <c r="C51" s="55" t="s">
        <v>35</v>
      </c>
      <c r="D51" s="55" t="s">
        <v>37</v>
      </c>
      <c r="E51" s="55" t="s">
        <v>206</v>
      </c>
      <c r="F51" s="55" t="s">
        <v>175</v>
      </c>
      <c r="G51" s="55" t="s">
        <v>99</v>
      </c>
      <c r="H51" s="55" t="s">
        <v>77</v>
      </c>
    </row>
    <row r="52">
      <c r="A52" s="55" t="s">
        <v>207</v>
      </c>
      <c r="B52" s="55" t="s">
        <v>208</v>
      </c>
      <c r="C52" s="55" t="s">
        <v>44</v>
      </c>
      <c r="D52" s="55" t="s">
        <v>46</v>
      </c>
      <c r="E52" s="55" t="s">
        <v>209</v>
      </c>
      <c r="F52" s="55" t="s">
        <v>175</v>
      </c>
      <c r="G52" s="55" t="s">
        <v>99</v>
      </c>
      <c r="H52" s="55" t="s">
        <v>77</v>
      </c>
    </row>
    <row r="53">
      <c r="A53" s="55" t="s">
        <v>90</v>
      </c>
      <c r="B53" s="55" t="s">
        <v>210</v>
      </c>
      <c r="C53" s="55" t="s">
        <v>29</v>
      </c>
      <c r="D53" s="55" t="s">
        <v>31</v>
      </c>
      <c r="E53" s="55" t="s">
        <v>201</v>
      </c>
      <c r="F53" s="55" t="s">
        <v>175</v>
      </c>
      <c r="G53" s="55" t="s">
        <v>99</v>
      </c>
      <c r="H53" s="55" t="s">
        <v>77</v>
      </c>
    </row>
    <row r="54">
      <c r="A54" s="55" t="s">
        <v>211</v>
      </c>
      <c r="B54" s="55" t="s">
        <v>212</v>
      </c>
      <c r="C54" s="55" t="s">
        <v>29</v>
      </c>
      <c r="D54" s="55" t="s">
        <v>31</v>
      </c>
      <c r="E54" s="55" t="s">
        <v>213</v>
      </c>
      <c r="F54" s="55" t="s">
        <v>214</v>
      </c>
      <c r="G54" s="55" t="s">
        <v>99</v>
      </c>
      <c r="H54" s="55" t="s">
        <v>77</v>
      </c>
    </row>
    <row r="55">
      <c r="A55" s="55" t="s">
        <v>215</v>
      </c>
      <c r="B55" s="55" t="s">
        <v>216</v>
      </c>
      <c r="C55" s="55" t="s">
        <v>29</v>
      </c>
      <c r="D55" s="55" t="s">
        <v>31</v>
      </c>
      <c r="E55" s="55" t="s">
        <v>201</v>
      </c>
      <c r="F55" s="55" t="s">
        <v>175</v>
      </c>
      <c r="G55" s="55" t="s">
        <v>99</v>
      </c>
      <c r="H55" s="55" t="s">
        <v>77</v>
      </c>
    </row>
    <row r="56">
      <c r="A56" s="55" t="s">
        <v>217</v>
      </c>
      <c r="B56" s="55" t="s">
        <v>218</v>
      </c>
      <c r="C56" s="55" t="s">
        <v>29</v>
      </c>
      <c r="D56" s="55" t="s">
        <v>31</v>
      </c>
      <c r="E56" s="55" t="s">
        <v>219</v>
      </c>
      <c r="F56" s="55" t="s">
        <v>219</v>
      </c>
      <c r="G56" s="55" t="s">
        <v>99</v>
      </c>
      <c r="H56" s="55" t="s">
        <v>77</v>
      </c>
    </row>
    <row r="57">
      <c r="A57" s="55" t="s">
        <v>220</v>
      </c>
      <c r="B57" s="55" t="s">
        <v>218</v>
      </c>
      <c r="C57" s="55" t="s">
        <v>35</v>
      </c>
      <c r="D57" s="55" t="s">
        <v>37</v>
      </c>
      <c r="E57" s="55" t="s">
        <v>221</v>
      </c>
      <c r="F57" s="55" t="s">
        <v>221</v>
      </c>
      <c r="G57" s="55" t="s">
        <v>99</v>
      </c>
      <c r="H57" s="55" t="s">
        <v>77</v>
      </c>
    </row>
    <row r="58">
      <c r="A58" s="55" t="s">
        <v>222</v>
      </c>
      <c r="B58" s="55" t="s">
        <v>223</v>
      </c>
      <c r="C58" s="55" t="s">
        <v>29</v>
      </c>
      <c r="D58" s="55" t="s">
        <v>31</v>
      </c>
      <c r="E58" s="55" t="s">
        <v>224</v>
      </c>
      <c r="F58" s="55" t="s">
        <v>175</v>
      </c>
      <c r="G58" s="55" t="s">
        <v>99</v>
      </c>
      <c r="H58" s="55" t="s">
        <v>77</v>
      </c>
    </row>
    <row r="59">
      <c r="A59" s="55" t="s">
        <v>225</v>
      </c>
      <c r="B59" s="55" t="s">
        <v>226</v>
      </c>
      <c r="C59" s="55" t="s">
        <v>29</v>
      </c>
      <c r="D59" s="55" t="s">
        <v>31</v>
      </c>
      <c r="E59" s="55" t="s">
        <v>201</v>
      </c>
      <c r="F59" s="55" t="s">
        <v>175</v>
      </c>
      <c r="G59" s="55" t="s">
        <v>99</v>
      </c>
      <c r="H59" s="55" t="s">
        <v>77</v>
      </c>
    </row>
    <row r="60">
      <c r="A60" s="55" t="s">
        <v>227</v>
      </c>
      <c r="B60" s="55" t="s">
        <v>228</v>
      </c>
      <c r="C60" s="55" t="s">
        <v>29</v>
      </c>
      <c r="D60" s="55" t="s">
        <v>31</v>
      </c>
      <c r="E60" s="55" t="s">
        <v>201</v>
      </c>
      <c r="F60" s="55" t="s">
        <v>175</v>
      </c>
      <c r="G60" s="55" t="s">
        <v>99</v>
      </c>
      <c r="H60" s="55" t="s">
        <v>77</v>
      </c>
    </row>
    <row r="61">
      <c r="A61" s="55" t="s">
        <v>229</v>
      </c>
      <c r="B61" s="55" t="s">
        <v>228</v>
      </c>
      <c r="C61" s="55" t="s">
        <v>29</v>
      </c>
      <c r="D61" s="55" t="s">
        <v>31</v>
      </c>
      <c r="E61" s="55" t="s">
        <v>230</v>
      </c>
      <c r="F61" s="55" t="s">
        <v>175</v>
      </c>
      <c r="G61" s="55" t="s">
        <v>99</v>
      </c>
      <c r="H61" s="55" t="s">
        <v>77</v>
      </c>
    </row>
    <row r="62">
      <c r="A62" s="55" t="s">
        <v>231</v>
      </c>
      <c r="B62" s="55" t="s">
        <v>228</v>
      </c>
      <c r="C62" s="55" t="s">
        <v>29</v>
      </c>
      <c r="D62" s="55" t="s">
        <v>31</v>
      </c>
      <c r="E62" s="55" t="s">
        <v>232</v>
      </c>
      <c r="F62" s="55" t="s">
        <v>175</v>
      </c>
      <c r="G62" s="55" t="s">
        <v>99</v>
      </c>
      <c r="H62" s="55" t="s">
        <v>77</v>
      </c>
    </row>
    <row r="63">
      <c r="A63" s="55" t="s">
        <v>233</v>
      </c>
      <c r="B63" s="55" t="s">
        <v>234</v>
      </c>
      <c r="C63" s="55" t="s">
        <v>41</v>
      </c>
      <c r="D63" s="55" t="s">
        <v>43</v>
      </c>
      <c r="E63" s="55" t="s">
        <v>235</v>
      </c>
      <c r="F63" s="55" t="s">
        <v>175</v>
      </c>
      <c r="G63" s="55" t="s">
        <v>99</v>
      </c>
      <c r="H63" s="55" t="s">
        <v>77</v>
      </c>
    </row>
    <row r="64">
      <c r="A64" s="55" t="s">
        <v>236</v>
      </c>
      <c r="B64" s="55" t="s">
        <v>234</v>
      </c>
      <c r="C64" s="55" t="s">
        <v>38</v>
      </c>
      <c r="D64" s="55" t="s">
        <v>40</v>
      </c>
      <c r="E64" s="55" t="s">
        <v>235</v>
      </c>
      <c r="F64" s="55" t="s">
        <v>175</v>
      </c>
      <c r="G64" s="55" t="s">
        <v>99</v>
      </c>
      <c r="H64" s="55" t="s">
        <v>77</v>
      </c>
    </row>
    <row r="65">
      <c r="A65" s="55" t="s">
        <v>237</v>
      </c>
      <c r="B65" s="55" t="s">
        <v>238</v>
      </c>
      <c r="C65" s="55" t="s">
        <v>32</v>
      </c>
      <c r="D65" s="55" t="s">
        <v>34</v>
      </c>
      <c r="E65" s="55" t="s">
        <v>239</v>
      </c>
      <c r="F65" s="55" t="s">
        <v>175</v>
      </c>
      <c r="G65" s="55" t="s">
        <v>99</v>
      </c>
      <c r="H65" s="55" t="s">
        <v>77</v>
      </c>
    </row>
    <row r="66">
      <c r="A66" s="55" t="s">
        <v>240</v>
      </c>
      <c r="B66" s="55" t="s">
        <v>241</v>
      </c>
      <c r="C66" s="55" t="s">
        <v>29</v>
      </c>
      <c r="D66" s="55" t="s">
        <v>31</v>
      </c>
      <c r="E66" s="55" t="s">
        <v>201</v>
      </c>
      <c r="F66" s="55" t="s">
        <v>175</v>
      </c>
      <c r="G66" s="55" t="s">
        <v>99</v>
      </c>
      <c r="H66" s="55" t="s">
        <v>77</v>
      </c>
    </row>
    <row r="67">
      <c r="A67" s="55" t="s">
        <v>242</v>
      </c>
      <c r="B67" s="55" t="s">
        <v>243</v>
      </c>
      <c r="C67" s="55" t="s">
        <v>32</v>
      </c>
      <c r="D67" s="55" t="s">
        <v>34</v>
      </c>
      <c r="E67" s="55" t="s">
        <v>239</v>
      </c>
      <c r="F67" s="55" t="s">
        <v>175</v>
      </c>
      <c r="G67" s="55" t="s">
        <v>99</v>
      </c>
      <c r="H67" s="55" t="s">
        <v>77</v>
      </c>
    </row>
    <row r="68">
      <c r="A68" s="55" t="s">
        <v>244</v>
      </c>
      <c r="B68" s="55" t="s">
        <v>245</v>
      </c>
      <c r="C68" s="55" t="s">
        <v>32</v>
      </c>
      <c r="D68" s="55" t="s">
        <v>34</v>
      </c>
      <c r="E68" s="55" t="s">
        <v>239</v>
      </c>
      <c r="F68" s="55" t="s">
        <v>175</v>
      </c>
      <c r="G68" s="55" t="s">
        <v>99</v>
      </c>
      <c r="H68" s="55" t="s">
        <v>77</v>
      </c>
    </row>
    <row r="69">
      <c r="A69" s="55" t="s">
        <v>246</v>
      </c>
      <c r="B69" s="55" t="s">
        <v>247</v>
      </c>
      <c r="C69" s="55" t="s">
        <v>29</v>
      </c>
      <c r="D69" s="55" t="s">
        <v>31</v>
      </c>
      <c r="E69" s="55" t="s">
        <v>248</v>
      </c>
      <c r="F69" s="55" t="s">
        <v>175</v>
      </c>
      <c r="G69" s="55" t="s">
        <v>99</v>
      </c>
      <c r="H69" s="55" t="s">
        <v>77</v>
      </c>
    </row>
    <row r="70">
      <c r="A70" s="55" t="s">
        <v>249</v>
      </c>
      <c r="B70" s="55" t="s">
        <v>250</v>
      </c>
      <c r="C70" s="55" t="s">
        <v>35</v>
      </c>
      <c r="D70" s="55" t="s">
        <v>37</v>
      </c>
      <c r="E70" s="55" t="s">
        <v>206</v>
      </c>
      <c r="F70" s="55" t="s">
        <v>175</v>
      </c>
      <c r="G70" s="55" t="s">
        <v>99</v>
      </c>
      <c r="H70" s="55" t="s">
        <v>77</v>
      </c>
    </row>
    <row r="71">
      <c r="A71" s="55" t="s">
        <v>251</v>
      </c>
      <c r="B71" s="55" t="s">
        <v>252</v>
      </c>
      <c r="C71" s="55" t="s">
        <v>32</v>
      </c>
      <c r="D71" s="55" t="s">
        <v>34</v>
      </c>
      <c r="E71" s="55" t="s">
        <v>239</v>
      </c>
      <c r="F71" s="55" t="s">
        <v>175</v>
      </c>
      <c r="G71" s="55" t="s">
        <v>99</v>
      </c>
      <c r="H71" s="55" t="s">
        <v>77</v>
      </c>
    </row>
    <row r="72">
      <c r="A72" s="55" t="s">
        <v>253</v>
      </c>
      <c r="B72" s="55" t="s">
        <v>254</v>
      </c>
      <c r="C72" s="55" t="s">
        <v>29</v>
      </c>
      <c r="D72" s="55" t="s">
        <v>31</v>
      </c>
      <c r="E72" s="55" t="s">
        <v>248</v>
      </c>
      <c r="F72" s="55" t="s">
        <v>175</v>
      </c>
      <c r="G72" s="55" t="s">
        <v>99</v>
      </c>
      <c r="H72" s="55" t="s">
        <v>77</v>
      </c>
    </row>
    <row r="73">
      <c r="A73" s="55" t="s">
        <v>255</v>
      </c>
      <c r="B73" s="55" t="s">
        <v>256</v>
      </c>
      <c r="C73" s="55" t="s">
        <v>29</v>
      </c>
      <c r="D73" s="55" t="s">
        <v>31</v>
      </c>
      <c r="E73" s="55" t="s">
        <v>248</v>
      </c>
      <c r="F73" s="55" t="s">
        <v>175</v>
      </c>
      <c r="G73" s="55" t="s">
        <v>99</v>
      </c>
      <c r="H73" s="55" t="s">
        <v>77</v>
      </c>
    </row>
    <row r="74">
      <c r="A74" s="55" t="s">
        <v>257</v>
      </c>
      <c r="B74" s="55" t="s">
        <v>258</v>
      </c>
      <c r="C74" s="55" t="s">
        <v>29</v>
      </c>
      <c r="D74" s="55" t="s">
        <v>31</v>
      </c>
      <c r="E74" s="55" t="s">
        <v>232</v>
      </c>
      <c r="F74" s="55" t="s">
        <v>175</v>
      </c>
      <c r="G74" s="55" t="s">
        <v>99</v>
      </c>
      <c r="H74" s="55" t="s">
        <v>77</v>
      </c>
    </row>
    <row r="75">
      <c r="A75" s="55" t="s">
        <v>259</v>
      </c>
      <c r="B75" s="55" t="s">
        <v>260</v>
      </c>
      <c r="C75" s="55" t="s">
        <v>29</v>
      </c>
      <c r="D75" s="55" t="s">
        <v>31</v>
      </c>
      <c r="E75" s="55" t="s">
        <v>261</v>
      </c>
      <c r="F75" s="55" t="s">
        <v>175</v>
      </c>
      <c r="G75" s="55" t="s">
        <v>99</v>
      </c>
      <c r="H75" s="55" t="s">
        <v>77</v>
      </c>
    </row>
    <row r="76">
      <c r="A76" s="55" t="s">
        <v>262</v>
      </c>
      <c r="B76" s="55" t="s">
        <v>263</v>
      </c>
      <c r="C76" s="55" t="s">
        <v>29</v>
      </c>
      <c r="D76" s="55" t="s">
        <v>31</v>
      </c>
      <c r="E76" s="55" t="s">
        <v>264</v>
      </c>
      <c r="F76" s="55" t="s">
        <v>175</v>
      </c>
      <c r="G76" s="55" t="s">
        <v>99</v>
      </c>
      <c r="H76" s="55" t="s">
        <v>77</v>
      </c>
    </row>
    <row r="77">
      <c r="A77" s="55" t="s">
        <v>265</v>
      </c>
      <c r="B77" s="55" t="s">
        <v>266</v>
      </c>
      <c r="C77" s="55" t="s">
        <v>29</v>
      </c>
      <c r="D77" s="55" t="s">
        <v>31</v>
      </c>
      <c r="E77" s="55" t="s">
        <v>248</v>
      </c>
      <c r="F77" s="55" t="s">
        <v>175</v>
      </c>
      <c r="G77" s="55" t="s">
        <v>99</v>
      </c>
      <c r="H77" s="55" t="s">
        <v>77</v>
      </c>
    </row>
    <row r="78">
      <c r="A78" s="55" t="s">
        <v>267</v>
      </c>
      <c r="B78" s="55" t="s">
        <v>268</v>
      </c>
      <c r="C78" s="55" t="s">
        <v>29</v>
      </c>
      <c r="D78" s="55" t="s">
        <v>31</v>
      </c>
      <c r="E78" s="55" t="s">
        <v>248</v>
      </c>
      <c r="F78" s="55" t="s">
        <v>175</v>
      </c>
      <c r="G78" s="55" t="s">
        <v>99</v>
      </c>
      <c r="H78" s="55" t="s">
        <v>77</v>
      </c>
    </row>
    <row r="79">
      <c r="A79" s="55" t="s">
        <v>269</v>
      </c>
      <c r="B79" s="55" t="s">
        <v>270</v>
      </c>
      <c r="C79" s="55" t="s">
        <v>29</v>
      </c>
      <c r="D79" s="55" t="s">
        <v>31</v>
      </c>
      <c r="E79" s="55" t="s">
        <v>181</v>
      </c>
      <c r="F79" s="55" t="s">
        <v>175</v>
      </c>
      <c r="G79" s="55" t="s">
        <v>99</v>
      </c>
      <c r="H79" s="55" t="s">
        <v>77</v>
      </c>
    </row>
    <row r="80">
      <c r="A80" s="55" t="s">
        <v>271</v>
      </c>
      <c r="B80" s="55" t="s">
        <v>272</v>
      </c>
      <c r="C80" s="55" t="s">
        <v>29</v>
      </c>
      <c r="D80" s="55" t="s">
        <v>31</v>
      </c>
      <c r="E80" s="55" t="s">
        <v>248</v>
      </c>
      <c r="F80" s="55" t="s">
        <v>175</v>
      </c>
      <c r="G80" s="55" t="s">
        <v>99</v>
      </c>
      <c r="H80" s="55" t="s">
        <v>77</v>
      </c>
    </row>
    <row r="81">
      <c r="A81" s="55" t="s">
        <v>273</v>
      </c>
      <c r="B81" s="55" t="s">
        <v>274</v>
      </c>
      <c r="C81" s="55" t="s">
        <v>29</v>
      </c>
      <c r="D81" s="55" t="s">
        <v>31</v>
      </c>
      <c r="E81" s="55" t="s">
        <v>248</v>
      </c>
      <c r="F81" s="55" t="s">
        <v>175</v>
      </c>
      <c r="G81" s="55" t="s">
        <v>99</v>
      </c>
      <c r="H81" s="55" t="s">
        <v>77</v>
      </c>
    </row>
    <row r="82">
      <c r="A82" s="55" t="s">
        <v>275</v>
      </c>
      <c r="B82" s="55" t="s">
        <v>276</v>
      </c>
      <c r="C82" s="55" t="s">
        <v>29</v>
      </c>
      <c r="D82" s="55" t="s">
        <v>31</v>
      </c>
      <c r="E82" s="55" t="s">
        <v>248</v>
      </c>
      <c r="F82" s="55" t="s">
        <v>175</v>
      </c>
      <c r="G82" s="55" t="s">
        <v>99</v>
      </c>
      <c r="H82" s="55" t="s">
        <v>77</v>
      </c>
    </row>
    <row r="83">
      <c r="A83" s="55" t="s">
        <v>277</v>
      </c>
      <c r="B83" s="55" t="s">
        <v>278</v>
      </c>
      <c r="C83" s="55" t="s">
        <v>29</v>
      </c>
      <c r="D83" s="55" t="s">
        <v>31</v>
      </c>
      <c r="E83" s="55" t="s">
        <v>248</v>
      </c>
      <c r="F83" s="55" t="s">
        <v>175</v>
      </c>
      <c r="G83" s="55" t="s">
        <v>99</v>
      </c>
      <c r="H83" s="55" t="s">
        <v>77</v>
      </c>
    </row>
    <row r="84">
      <c r="A84" s="55" t="s">
        <v>279</v>
      </c>
      <c r="B84" s="55" t="s">
        <v>280</v>
      </c>
      <c r="C84" s="55" t="s">
        <v>32</v>
      </c>
      <c r="D84" s="55" t="s">
        <v>34</v>
      </c>
      <c r="E84" s="55" t="s">
        <v>239</v>
      </c>
      <c r="F84" s="55" t="s">
        <v>175</v>
      </c>
      <c r="G84" s="55" t="s">
        <v>99</v>
      </c>
      <c r="H84" s="55" t="s">
        <v>77</v>
      </c>
    </row>
    <row r="85">
      <c r="A85" s="55" t="s">
        <v>58</v>
      </c>
      <c r="B85" s="55" t="s">
        <v>281</v>
      </c>
      <c r="C85" s="55" t="s">
        <v>29</v>
      </c>
      <c r="D85" s="55" t="s">
        <v>31</v>
      </c>
      <c r="E85" s="55" t="s">
        <v>201</v>
      </c>
      <c r="F85" s="55" t="s">
        <v>175</v>
      </c>
      <c r="G85" s="55" t="s">
        <v>99</v>
      </c>
      <c r="H85" s="55" t="s">
        <v>77</v>
      </c>
    </row>
    <row r="86">
      <c r="A86" s="55" t="s">
        <v>55</v>
      </c>
      <c r="B86" s="55" t="s">
        <v>282</v>
      </c>
      <c r="C86" s="55" t="s">
        <v>29</v>
      </c>
      <c r="D86" s="55" t="s">
        <v>31</v>
      </c>
      <c r="E86" s="55" t="s">
        <v>283</v>
      </c>
      <c r="F86" s="55" t="s">
        <v>283</v>
      </c>
      <c r="G86" s="55" t="s">
        <v>99</v>
      </c>
      <c r="H86" s="55" t="s">
        <v>77</v>
      </c>
    </row>
    <row r="87">
      <c r="A87" s="55" t="s">
        <v>52</v>
      </c>
      <c r="B87" s="55" t="s">
        <v>284</v>
      </c>
      <c r="C87" s="55" t="s">
        <v>29</v>
      </c>
      <c r="D87" s="55" t="s">
        <v>31</v>
      </c>
      <c r="E87" s="55" t="s">
        <v>285</v>
      </c>
      <c r="F87" s="55" t="s">
        <v>175</v>
      </c>
      <c r="G87" s="55" t="s">
        <v>99</v>
      </c>
      <c r="H87" s="55" t="s">
        <v>77</v>
      </c>
    </row>
    <row r="88">
      <c r="A88" s="55" t="s">
        <v>49</v>
      </c>
      <c r="B88" s="55" t="s">
        <v>286</v>
      </c>
      <c r="C88" s="55" t="s">
        <v>29</v>
      </c>
      <c r="D88" s="55" t="s">
        <v>31</v>
      </c>
      <c r="E88" s="55" t="s">
        <v>248</v>
      </c>
      <c r="F88" s="55" t="s">
        <v>175</v>
      </c>
      <c r="G88" s="55" t="s">
        <v>99</v>
      </c>
      <c r="H88" s="55" t="s">
        <v>77</v>
      </c>
    </row>
    <row r="89">
      <c r="A89" s="55" t="s">
        <v>47</v>
      </c>
      <c r="B89" s="55" t="s">
        <v>287</v>
      </c>
      <c r="C89" s="55" t="s">
        <v>29</v>
      </c>
      <c r="D89" s="55" t="s">
        <v>31</v>
      </c>
      <c r="E89" s="55" t="s">
        <v>288</v>
      </c>
      <c r="F89" s="55" t="s">
        <v>175</v>
      </c>
      <c r="G89" s="55" t="s">
        <v>99</v>
      </c>
      <c r="H89" s="55" t="s">
        <v>77</v>
      </c>
    </row>
    <row r="90">
      <c r="A90" s="55" t="s">
        <v>44</v>
      </c>
      <c r="B90" s="55" t="s">
        <v>289</v>
      </c>
      <c r="C90" s="55" t="s">
        <v>29</v>
      </c>
      <c r="D90" s="55" t="s">
        <v>31</v>
      </c>
      <c r="E90" s="55" t="s">
        <v>201</v>
      </c>
      <c r="F90" s="55" t="s">
        <v>175</v>
      </c>
      <c r="G90" s="55" t="s">
        <v>99</v>
      </c>
      <c r="H90" s="55" t="s">
        <v>77</v>
      </c>
    </row>
    <row r="91">
      <c r="A91" s="55" t="s">
        <v>41</v>
      </c>
      <c r="B91" s="55" t="s">
        <v>290</v>
      </c>
      <c r="C91" s="55" t="s">
        <v>32</v>
      </c>
      <c r="D91" s="55" t="s">
        <v>34</v>
      </c>
      <c r="E91" s="55" t="s">
        <v>239</v>
      </c>
      <c r="F91" s="55" t="s">
        <v>175</v>
      </c>
      <c r="G91" s="55" t="s">
        <v>99</v>
      </c>
      <c r="H91" s="55" t="s">
        <v>77</v>
      </c>
    </row>
    <row r="92">
      <c r="A92" s="55" t="s">
        <v>38</v>
      </c>
      <c r="B92" s="55" t="s">
        <v>291</v>
      </c>
      <c r="C92" s="55" t="s">
        <v>29</v>
      </c>
      <c r="D92" s="55" t="s">
        <v>31</v>
      </c>
      <c r="E92" s="55" t="s">
        <v>264</v>
      </c>
      <c r="F92" s="55" t="s">
        <v>175</v>
      </c>
      <c r="G92" s="55" t="s">
        <v>99</v>
      </c>
      <c r="H92" s="55" t="s">
        <v>77</v>
      </c>
    </row>
    <row r="93">
      <c r="A93" s="55" t="s">
        <v>35</v>
      </c>
      <c r="B93" s="55" t="s">
        <v>292</v>
      </c>
      <c r="C93" s="55" t="s">
        <v>29</v>
      </c>
      <c r="D93" s="55" t="s">
        <v>31</v>
      </c>
      <c r="E93" s="55" t="s">
        <v>201</v>
      </c>
      <c r="F93" s="55" t="s">
        <v>175</v>
      </c>
      <c r="G93" s="55" t="s">
        <v>99</v>
      </c>
      <c r="H93" s="55" t="s">
        <v>77</v>
      </c>
    </row>
    <row r="94">
      <c r="A94" s="55" t="s">
        <v>32</v>
      </c>
      <c r="B94" s="55" t="s">
        <v>293</v>
      </c>
      <c r="C94" s="55" t="s">
        <v>29</v>
      </c>
      <c r="D94" s="55" t="s">
        <v>31</v>
      </c>
      <c r="E94" s="55" t="s">
        <v>201</v>
      </c>
      <c r="F94" s="55" t="s">
        <v>175</v>
      </c>
      <c r="G94" s="55" t="s">
        <v>99</v>
      </c>
      <c r="H94" s="55" t="s">
        <v>77</v>
      </c>
    </row>
    <row r="95">
      <c r="A95" s="55" t="s">
        <v>29</v>
      </c>
      <c r="B95" s="55" t="s">
        <v>294</v>
      </c>
      <c r="C95" s="55" t="s">
        <v>29</v>
      </c>
      <c r="D95" s="55" t="s">
        <v>31</v>
      </c>
      <c r="E95" s="55" t="s">
        <v>295</v>
      </c>
      <c r="F95" s="55" t="s">
        <v>175</v>
      </c>
      <c r="G95" s="55" t="s">
        <v>99</v>
      </c>
      <c r="H95" s="55" t="s">
        <v>77</v>
      </c>
    </row>
    <row r="96">
      <c r="A96" s="55" t="s">
        <v>25</v>
      </c>
      <c r="B96" s="55" t="s">
        <v>296</v>
      </c>
      <c r="C96" s="55" t="s">
        <v>29</v>
      </c>
      <c r="D96" s="55" t="s">
        <v>31</v>
      </c>
      <c r="E96" s="55" t="s">
        <v>297</v>
      </c>
      <c r="F96" s="55" t="s">
        <v>175</v>
      </c>
      <c r="G96" s="55" t="s">
        <v>99</v>
      </c>
      <c r="H96" s="55" t="s">
        <v>77</v>
      </c>
    </row>
    <row r="97">
      <c r="A97" s="55"/>
      <c r="B97" s="55"/>
      <c r="C97" s="55"/>
      <c r="D97" s="55"/>
      <c r="E97" s="55"/>
      <c r="F97" s="55"/>
      <c r="G97" s="55"/>
      <c r="H97" s="55"/>
    </row>
    <row r="98">
      <c r="A98" s="55"/>
      <c r="B98" s="55"/>
      <c r="C98" s="55"/>
      <c r="D98" s="55"/>
      <c r="E98" s="55"/>
      <c r="F98" s="55"/>
      <c r="G98" s="55"/>
      <c r="H98" s="55"/>
    </row>
    <row r="99">
      <c r="A99" s="55"/>
      <c r="B99" s="55"/>
      <c r="C99" s="55"/>
      <c r="D99" s="55"/>
      <c r="E99" s="55"/>
      <c r="F99" s="55"/>
      <c r="G99" s="55"/>
      <c r="H99" s="55"/>
    </row>
    <row r="100">
      <c r="A100" s="55"/>
      <c r="B100" s="55"/>
      <c r="C100" s="55"/>
      <c r="D100" s="55"/>
      <c r="E100" s="55"/>
      <c r="F100" s="55"/>
      <c r="G100" s="55"/>
      <c r="H100" s="55"/>
    </row>
    <row r="101">
      <c r="A101" s="55"/>
      <c r="B101" s="55"/>
      <c r="C101" s="55"/>
      <c r="D101" s="55"/>
      <c r="E101" s="55"/>
      <c r="F101" s="55"/>
      <c r="G101" s="55"/>
      <c r="H101" s="55"/>
    </row>
    <row r="102">
      <c r="A102" s="55"/>
      <c r="B102" s="55"/>
      <c r="C102" s="55"/>
      <c r="D102" s="55"/>
      <c r="E102" s="55"/>
      <c r="F102" s="55"/>
      <c r="G102" s="55"/>
      <c r="H102" s="55"/>
    </row>
    <row r="103">
      <c r="A103" s="55"/>
      <c r="B103" s="55"/>
      <c r="C103" s="55"/>
      <c r="D103" s="55"/>
      <c r="E103" s="55"/>
      <c r="F103" s="55"/>
      <c r="G103" s="55"/>
      <c r="H103" s="55"/>
    </row>
    <row r="104">
      <c r="A104" s="55"/>
      <c r="B104" s="55"/>
      <c r="C104" s="55"/>
      <c r="D104" s="55"/>
      <c r="E104" s="55"/>
      <c r="F104" s="55"/>
      <c r="G104" s="55"/>
      <c r="H104" s="55"/>
    </row>
    <row r="105">
      <c r="A105" s="55"/>
      <c r="B105" s="55"/>
      <c r="C105" s="55"/>
      <c r="D105" s="55"/>
      <c r="E105" s="55"/>
      <c r="F105" s="55"/>
      <c r="G105" s="55"/>
      <c r="H105" s="55"/>
    </row>
    <row r="106">
      <c r="A106" s="55"/>
      <c r="B106" s="55"/>
      <c r="C106" s="55"/>
      <c r="D106" s="55"/>
      <c r="E106" s="55"/>
      <c r="F106" s="55"/>
      <c r="G106" s="55"/>
      <c r="H106" s="55"/>
    </row>
    <row r="107">
      <c r="A107" s="55"/>
      <c r="B107" s="55"/>
      <c r="C107" s="55"/>
      <c r="D107" s="55"/>
      <c r="E107" s="55"/>
      <c r="F107" s="55"/>
      <c r="G107" s="55"/>
      <c r="H107" s="55"/>
    </row>
    <row r="108">
      <c r="A108" s="55"/>
      <c r="B108" s="55"/>
      <c r="C108" s="55"/>
      <c r="D108" s="55"/>
      <c r="E108" s="55"/>
      <c r="F108" s="55"/>
      <c r="G108" s="55"/>
      <c r="H108" s="55"/>
    </row>
    <row r="109">
      <c r="A109" s="55"/>
      <c r="B109" s="55"/>
      <c r="C109" s="55"/>
      <c r="D109" s="55"/>
      <c r="E109" s="55"/>
      <c r="F109" s="55"/>
      <c r="G109" s="55"/>
      <c r="H109" s="55"/>
    </row>
    <row r="110">
      <c r="A110" s="55"/>
      <c r="B110" s="55"/>
      <c r="C110" s="55"/>
      <c r="D110" s="55"/>
      <c r="E110" s="55"/>
      <c r="F110" s="55"/>
      <c r="G110" s="55"/>
      <c r="H110" s="55"/>
    </row>
    <row r="111">
      <c r="A111" s="55"/>
      <c r="B111" s="55"/>
      <c r="C111" s="55"/>
      <c r="D111" s="55"/>
      <c r="E111" s="55"/>
      <c r="F111" s="55"/>
      <c r="G111" s="55"/>
      <c r="H111" s="55"/>
    </row>
    <row r="112">
      <c r="A112" s="55"/>
      <c r="B112" s="55"/>
      <c r="C112" s="55"/>
      <c r="D112" s="55"/>
      <c r="E112" s="55"/>
      <c r="F112" s="55"/>
      <c r="G112" s="55"/>
      <c r="H112" s="55"/>
    </row>
    <row r="113">
      <c r="A113" s="55"/>
      <c r="B113" s="55"/>
      <c r="C113" s="55"/>
      <c r="D113" s="55"/>
      <c r="E113" s="55"/>
      <c r="F113" s="55"/>
      <c r="G113" s="55"/>
      <c r="H113" s="55"/>
    </row>
    <row r="114">
      <c r="A114" s="55"/>
      <c r="B114" s="55"/>
      <c r="C114" s="55"/>
      <c r="D114" s="55"/>
      <c r="E114" s="55"/>
      <c r="F114" s="55"/>
      <c r="G114" s="55"/>
      <c r="H114" s="55"/>
    </row>
    <row r="115">
      <c r="A115" s="55"/>
      <c r="B115" s="55"/>
      <c r="C115" s="55"/>
      <c r="D115" s="55"/>
      <c r="E115" s="55"/>
      <c r="F115" s="55"/>
      <c r="G115" s="55"/>
      <c r="H115" s="55"/>
    </row>
    <row r="116">
      <c r="A116" s="55"/>
      <c r="B116" s="55"/>
      <c r="C116" s="55"/>
      <c r="D116" s="55"/>
      <c r="E116" s="55"/>
      <c r="F116" s="55"/>
      <c r="G116" s="55"/>
      <c r="H116" s="55"/>
    </row>
    <row r="117">
      <c r="A117" s="55"/>
      <c r="B117" s="55"/>
      <c r="C117" s="55"/>
      <c r="D117" s="55"/>
      <c r="E117" s="55"/>
      <c r="F117" s="55"/>
      <c r="G117" s="55"/>
      <c r="H117" s="55"/>
    </row>
    <row r="118">
      <c r="A118" s="55"/>
      <c r="B118" s="55"/>
      <c r="C118" s="55"/>
      <c r="D118" s="55"/>
      <c r="E118" s="55"/>
      <c r="F118" s="55"/>
      <c r="G118" s="55"/>
      <c r="H118" s="55"/>
    </row>
    <row r="119">
      <c r="A119" s="55"/>
      <c r="B119" s="55"/>
      <c r="C119" s="55"/>
      <c r="D119" s="55"/>
      <c r="E119" s="55"/>
      <c r="F119" s="55"/>
      <c r="G119" s="55"/>
      <c r="H119" s="55"/>
    </row>
    <row r="120">
      <c r="A120" s="55"/>
      <c r="B120" s="55"/>
      <c r="C120" s="55"/>
      <c r="D120" s="55"/>
      <c r="E120" s="55"/>
      <c r="F120" s="55"/>
      <c r="G120" s="55"/>
      <c r="H120" s="55"/>
    </row>
    <row r="121">
      <c r="A121" s="55"/>
      <c r="B121" s="55"/>
      <c r="C121" s="55"/>
      <c r="D121" s="55"/>
      <c r="E121" s="55"/>
      <c r="F121" s="55"/>
      <c r="G121" s="55"/>
      <c r="H121" s="55"/>
    </row>
    <row r="122">
      <c r="A122" s="55"/>
      <c r="B122" s="55"/>
      <c r="C122" s="55"/>
      <c r="D122" s="55"/>
      <c r="E122" s="55"/>
      <c r="F122" s="55"/>
      <c r="G122" s="55"/>
      <c r="H122" s="55"/>
    </row>
    <row r="123">
      <c r="A123" s="55"/>
      <c r="B123" s="55"/>
      <c r="C123" s="55"/>
      <c r="D123" s="55"/>
      <c r="E123" s="55"/>
      <c r="F123" s="55"/>
      <c r="G123" s="55"/>
      <c r="H123" s="55"/>
    </row>
    <row r="124">
      <c r="A124" s="55"/>
      <c r="B124" s="55"/>
      <c r="C124" s="55"/>
      <c r="D124" s="55"/>
      <c r="E124" s="55"/>
      <c r="F124" s="55"/>
      <c r="G124" s="55"/>
      <c r="H124" s="55"/>
    </row>
    <row r="125">
      <c r="A125" s="55"/>
      <c r="B125" s="55"/>
      <c r="C125" s="55"/>
      <c r="D125" s="55"/>
      <c r="E125" s="55"/>
      <c r="F125" s="55"/>
      <c r="G125" s="55"/>
      <c r="H125" s="55"/>
    </row>
    <row r="126">
      <c r="A126" s="55"/>
      <c r="B126" s="55"/>
      <c r="C126" s="55"/>
      <c r="D126" s="55"/>
      <c r="E126" s="55"/>
      <c r="F126" s="55"/>
      <c r="G126" s="55"/>
      <c r="H126" s="55"/>
    </row>
    <row r="127">
      <c r="A127" s="55"/>
      <c r="B127" s="55"/>
      <c r="C127" s="55"/>
      <c r="D127" s="55"/>
      <c r="E127" s="55"/>
      <c r="F127" s="55"/>
      <c r="G127" s="55"/>
      <c r="H127" s="55"/>
    </row>
    <row r="128">
      <c r="A128" s="55"/>
      <c r="B128" s="55"/>
      <c r="C128" s="55"/>
      <c r="D128" s="55"/>
      <c r="E128" s="55"/>
      <c r="F128" s="55"/>
      <c r="G128" s="55"/>
      <c r="H128" s="55"/>
    </row>
    <row r="129">
      <c r="A129" s="55"/>
      <c r="B129" s="55"/>
      <c r="C129" s="55"/>
      <c r="D129" s="55"/>
      <c r="E129" s="55"/>
      <c r="F129" s="55"/>
      <c r="G129" s="55"/>
      <c r="H129" s="55"/>
    </row>
    <row r="130">
      <c r="A130" s="55"/>
      <c r="B130" s="55"/>
      <c r="C130" s="55"/>
      <c r="D130" s="55"/>
      <c r="E130" s="55"/>
      <c r="F130" s="55"/>
      <c r="G130" s="55"/>
      <c r="H130" s="55"/>
    </row>
    <row r="131">
      <c r="A131" s="55"/>
      <c r="B131" s="55"/>
      <c r="C131" s="55"/>
      <c r="D131" s="55"/>
      <c r="E131" s="55"/>
      <c r="F131" s="55"/>
      <c r="G131" s="55"/>
      <c r="H131" s="55"/>
    </row>
    <row r="132">
      <c r="A132" s="55"/>
      <c r="B132" s="55"/>
      <c r="C132" s="55"/>
      <c r="D132" s="55"/>
      <c r="E132" s="55"/>
      <c r="F132" s="55"/>
      <c r="G132" s="55"/>
      <c r="H132" s="55"/>
    </row>
    <row r="133">
      <c r="A133" s="55"/>
      <c r="B133" s="55"/>
      <c r="C133" s="55"/>
      <c r="D133" s="55"/>
      <c r="E133" s="55"/>
      <c r="F133" s="55"/>
      <c r="G133" s="55"/>
      <c r="H133" s="55"/>
    </row>
    <row r="134">
      <c r="A134" s="55"/>
      <c r="B134" s="55"/>
      <c r="C134" s="55"/>
      <c r="D134" s="55"/>
      <c r="E134" s="55"/>
      <c r="F134" s="55"/>
      <c r="G134" s="55"/>
      <c r="H134" s="55"/>
    </row>
    <row r="135">
      <c r="A135" s="55"/>
      <c r="B135" s="55"/>
      <c r="C135" s="55"/>
      <c r="D135" s="55"/>
      <c r="E135" s="55"/>
      <c r="F135" s="55"/>
      <c r="G135" s="55"/>
      <c r="H135" s="55"/>
    </row>
    <row r="136">
      <c r="A136" s="55"/>
      <c r="B136" s="55"/>
      <c r="C136" s="55"/>
      <c r="D136" s="55"/>
      <c r="E136" s="55"/>
      <c r="F136" s="55"/>
      <c r="G136" s="55"/>
      <c r="H136" s="55"/>
    </row>
    <row r="137">
      <c r="A137" s="55"/>
      <c r="B137" s="55"/>
      <c r="C137" s="55"/>
      <c r="D137" s="55"/>
      <c r="E137" s="55"/>
      <c r="F137" s="55"/>
      <c r="G137" s="55"/>
      <c r="H137" s="55"/>
    </row>
    <row r="138">
      <c r="A138" s="55"/>
      <c r="B138" s="55"/>
      <c r="C138" s="55"/>
      <c r="D138" s="55"/>
      <c r="E138" s="55"/>
      <c r="F138" s="55"/>
      <c r="G138" s="55"/>
      <c r="H138" s="55"/>
    </row>
    <row r="139">
      <c r="A139" s="55"/>
      <c r="B139" s="55"/>
      <c r="C139" s="55"/>
      <c r="D139" s="55"/>
      <c r="E139" s="55"/>
      <c r="F139" s="55"/>
      <c r="G139" s="55"/>
      <c r="H139" s="55"/>
    </row>
    <row r="140">
      <c r="A140" s="55"/>
      <c r="B140" s="55"/>
      <c r="C140" s="55"/>
      <c r="D140" s="55"/>
      <c r="E140" s="55"/>
      <c r="F140" s="55"/>
      <c r="G140" s="55"/>
      <c r="H140" s="55"/>
    </row>
    <row r="141">
      <c r="A141" s="55"/>
      <c r="B141" s="55"/>
      <c r="C141" s="55"/>
      <c r="D141" s="55"/>
      <c r="E141" s="55"/>
      <c r="F141" s="55"/>
      <c r="G141" s="55"/>
      <c r="H141" s="55"/>
    </row>
    <row r="142">
      <c r="A142" s="55"/>
      <c r="B142" s="55"/>
      <c r="C142" s="55"/>
      <c r="D142" s="55"/>
      <c r="E142" s="55"/>
      <c r="F142" s="55"/>
      <c r="G142" s="55"/>
      <c r="H142" s="55"/>
    </row>
    <row r="143">
      <c r="A143" s="55"/>
      <c r="B143" s="55"/>
      <c r="C143" s="55"/>
      <c r="D143" s="55"/>
      <c r="E143" s="55"/>
      <c r="F143" s="55"/>
      <c r="G143" s="55"/>
      <c r="H143" s="55"/>
    </row>
    <row r="144">
      <c r="A144" s="55"/>
      <c r="B144" s="55"/>
      <c r="C144" s="55"/>
      <c r="D144" s="55"/>
      <c r="E144" s="55"/>
      <c r="F144" s="55"/>
      <c r="G144" s="55"/>
      <c r="H144" s="55"/>
    </row>
    <row r="145">
      <c r="A145" s="55"/>
      <c r="B145" s="55"/>
      <c r="C145" s="55"/>
      <c r="D145" s="55"/>
      <c r="E145" s="55"/>
      <c r="F145" s="55"/>
      <c r="G145" s="55"/>
      <c r="H145" s="55"/>
    </row>
    <row r="146">
      <c r="A146" s="55"/>
      <c r="B146" s="55"/>
      <c r="C146" s="55"/>
      <c r="D146" s="55"/>
      <c r="E146" s="55"/>
      <c r="F146" s="55"/>
      <c r="G146" s="55"/>
      <c r="H146" s="55"/>
    </row>
    <row r="147">
      <c r="A147" s="55"/>
      <c r="B147" s="55"/>
      <c r="C147" s="55"/>
      <c r="D147" s="55"/>
      <c r="E147" s="55"/>
      <c r="F147" s="55"/>
      <c r="G147" s="55"/>
      <c r="H147" s="55"/>
    </row>
    <row r="148">
      <c r="A148" s="55"/>
      <c r="B148" s="55"/>
      <c r="C148" s="55"/>
      <c r="D148" s="55"/>
      <c r="E148" s="55"/>
      <c r="F148" s="55"/>
      <c r="G148" s="55"/>
      <c r="H148" s="55"/>
    </row>
    <row r="149">
      <c r="A149" s="55"/>
      <c r="B149" s="55"/>
      <c r="C149" s="55"/>
      <c r="D149" s="55"/>
      <c r="E149" s="55"/>
      <c r="F149" s="55"/>
      <c r="G149" s="55"/>
      <c r="H149" s="55"/>
    </row>
    <row r="150">
      <c r="A150" s="55"/>
      <c r="B150" s="55"/>
      <c r="C150" s="55"/>
      <c r="D150" s="55"/>
      <c r="E150" s="55"/>
      <c r="F150" s="55"/>
      <c r="G150" s="55"/>
      <c r="H150" s="55"/>
    </row>
    <row r="151">
      <c r="A151" s="55"/>
      <c r="B151" s="55"/>
      <c r="C151" s="55"/>
      <c r="D151" s="55"/>
      <c r="E151" s="55"/>
      <c r="F151" s="55"/>
      <c r="G151" s="55"/>
      <c r="H151" s="55"/>
    </row>
    <row r="152">
      <c r="A152" s="55"/>
      <c r="B152" s="55"/>
      <c r="C152" s="55"/>
      <c r="D152" s="55"/>
      <c r="E152" s="55"/>
      <c r="F152" s="55"/>
      <c r="G152" s="55"/>
      <c r="H152" s="55"/>
    </row>
    <row r="153">
      <c r="A153" s="55"/>
      <c r="B153" s="55"/>
      <c r="C153" s="55"/>
      <c r="D153" s="55"/>
      <c r="E153" s="55"/>
      <c r="F153" s="55"/>
      <c r="G153" s="55"/>
      <c r="H153" s="55"/>
    </row>
    <row r="154">
      <c r="A154" s="55"/>
      <c r="B154" s="55"/>
      <c r="C154" s="55"/>
      <c r="D154" s="55"/>
      <c r="E154" s="55"/>
      <c r="F154" s="55"/>
      <c r="G154" s="55"/>
      <c r="H154" s="55"/>
    </row>
    <row r="155">
      <c r="A155" s="55"/>
      <c r="B155" s="55"/>
      <c r="C155" s="55"/>
      <c r="D155" s="55"/>
      <c r="E155" s="55"/>
      <c r="F155" s="55"/>
      <c r="G155" s="55"/>
      <c r="H155" s="55"/>
    </row>
    <row r="156">
      <c r="A156" s="55"/>
      <c r="B156" s="55"/>
      <c r="C156" s="55"/>
      <c r="D156" s="55"/>
      <c r="E156" s="55"/>
      <c r="F156" s="55"/>
      <c r="G156" s="55"/>
      <c r="H156" s="55"/>
    </row>
    <row r="157">
      <c r="A157" s="55"/>
      <c r="B157" s="55"/>
      <c r="C157" s="55"/>
      <c r="D157" s="55"/>
      <c r="E157" s="55"/>
      <c r="F157" s="55"/>
      <c r="G157" s="55"/>
      <c r="H157" s="55"/>
    </row>
    <row r="158">
      <c r="A158" s="55"/>
      <c r="B158" s="55"/>
      <c r="C158" s="55"/>
      <c r="D158" s="55"/>
      <c r="E158" s="55"/>
      <c r="F158" s="55"/>
      <c r="G158" s="55"/>
      <c r="H158" s="55"/>
    </row>
    <row r="159">
      <c r="A159" s="55"/>
      <c r="B159" s="55"/>
      <c r="C159" s="55"/>
      <c r="D159" s="55"/>
      <c r="E159" s="55"/>
      <c r="F159" s="55"/>
      <c r="G159" s="55"/>
      <c r="H159" s="55"/>
    </row>
    <row r="160">
      <c r="A160" s="55"/>
      <c r="B160" s="55"/>
      <c r="C160" s="55"/>
      <c r="D160" s="55"/>
      <c r="E160" s="55"/>
      <c r="F160" s="55"/>
      <c r="G160" s="55"/>
      <c r="H160" s="55"/>
    </row>
    <row r="161">
      <c r="A161" s="55"/>
      <c r="B161" s="55"/>
      <c r="C161" s="55"/>
      <c r="D161" s="55"/>
      <c r="E161" s="55"/>
      <c r="F161" s="55"/>
      <c r="G161" s="55"/>
      <c r="H161" s="55"/>
    </row>
    <row r="162">
      <c r="A162" s="55"/>
      <c r="B162" s="55"/>
      <c r="C162" s="55"/>
      <c r="D162" s="55"/>
      <c r="E162" s="55"/>
      <c r="F162" s="55"/>
      <c r="G162" s="55"/>
      <c r="H162" s="55"/>
    </row>
    <row r="163">
      <c r="A163" s="55"/>
      <c r="B163" s="55"/>
      <c r="C163" s="55"/>
      <c r="D163" s="55"/>
      <c r="E163" s="55"/>
      <c r="F163" s="55"/>
      <c r="G163" s="55"/>
      <c r="H163" s="55"/>
    </row>
    <row r="164">
      <c r="A164" s="55"/>
      <c r="B164" s="55"/>
      <c r="C164" s="55"/>
      <c r="D164" s="55"/>
      <c r="E164" s="55"/>
      <c r="F164" s="55"/>
      <c r="G164" s="55"/>
      <c r="H164" s="55"/>
    </row>
    <row r="165">
      <c r="A165" s="55"/>
      <c r="B165" s="55"/>
      <c r="C165" s="55"/>
      <c r="D165" s="55"/>
      <c r="E165" s="55"/>
      <c r="F165" s="55"/>
      <c r="G165" s="55"/>
      <c r="H165" s="55"/>
    </row>
    <row r="166">
      <c r="A166" s="55"/>
      <c r="B166" s="55"/>
      <c r="C166" s="55"/>
      <c r="D166" s="55"/>
      <c r="E166" s="55"/>
      <c r="F166" s="55"/>
      <c r="G166" s="55"/>
      <c r="H166" s="55"/>
    </row>
    <row r="167">
      <c r="A167" s="55"/>
      <c r="B167" s="55"/>
      <c r="C167" s="55"/>
      <c r="D167" s="55"/>
      <c r="E167" s="55"/>
      <c r="F167" s="55"/>
      <c r="G167" s="55"/>
      <c r="H167" s="55"/>
    </row>
    <row r="168">
      <c r="A168" s="55"/>
      <c r="B168" s="55"/>
      <c r="C168" s="55"/>
      <c r="D168" s="55"/>
      <c r="E168" s="55"/>
      <c r="F168" s="55"/>
      <c r="G168" s="55"/>
      <c r="H168" s="55"/>
    </row>
    <row r="169">
      <c r="A169" s="55"/>
      <c r="B169" s="55"/>
      <c r="C169" s="55"/>
      <c r="D169" s="55"/>
      <c r="E169" s="55"/>
      <c r="F169" s="55"/>
      <c r="G169" s="55"/>
      <c r="H169" s="55"/>
    </row>
    <row r="170">
      <c r="A170" s="55"/>
      <c r="B170" s="55"/>
      <c r="C170" s="55"/>
      <c r="D170" s="55"/>
      <c r="E170" s="55"/>
      <c r="F170" s="55"/>
      <c r="G170" s="55"/>
      <c r="H170" s="55"/>
    </row>
    <row r="171">
      <c r="A171" s="55"/>
      <c r="B171" s="55"/>
      <c r="C171" s="55"/>
      <c r="D171" s="55"/>
      <c r="E171" s="55"/>
      <c r="F171" s="55"/>
      <c r="G171" s="55"/>
      <c r="H171" s="55"/>
    </row>
    <row r="172">
      <c r="A172" s="55"/>
      <c r="B172" s="55"/>
      <c r="C172" s="55"/>
      <c r="D172" s="55"/>
      <c r="E172" s="55"/>
      <c r="F172" s="55"/>
      <c r="G172" s="55"/>
      <c r="H172" s="55"/>
    </row>
    <row r="173">
      <c r="A173" s="55"/>
      <c r="B173" s="55"/>
      <c r="C173" s="55"/>
      <c r="D173" s="55"/>
      <c r="E173" s="55"/>
      <c r="F173" s="55"/>
      <c r="G173" s="55"/>
      <c r="H173" s="55"/>
    </row>
    <row r="174">
      <c r="A174" s="55"/>
      <c r="B174" s="55"/>
      <c r="C174" s="55"/>
      <c r="D174" s="55"/>
      <c r="E174" s="55"/>
      <c r="F174" s="55"/>
      <c r="G174" s="55"/>
      <c r="H174" s="55"/>
    </row>
    <row r="175">
      <c r="A175" s="55"/>
      <c r="B175" s="55"/>
      <c r="C175" s="55"/>
      <c r="D175" s="55"/>
      <c r="E175" s="55"/>
      <c r="F175" s="55"/>
      <c r="G175" s="55"/>
      <c r="H175" s="55"/>
    </row>
    <row r="176">
      <c r="A176" s="55"/>
      <c r="B176" s="55"/>
      <c r="C176" s="55"/>
      <c r="D176" s="55"/>
      <c r="E176" s="55"/>
      <c r="F176" s="55"/>
      <c r="G176" s="55"/>
      <c r="H176" s="55"/>
    </row>
    <row r="177">
      <c r="A177" s="55"/>
      <c r="B177" s="55"/>
      <c r="C177" s="55"/>
      <c r="D177" s="55"/>
      <c r="E177" s="55"/>
      <c r="F177" s="55"/>
      <c r="G177" s="55"/>
      <c r="H177" s="55"/>
    </row>
    <row r="178">
      <c r="A178" s="55"/>
      <c r="B178" s="55"/>
      <c r="C178" s="55"/>
      <c r="D178" s="55"/>
      <c r="E178" s="55"/>
      <c r="F178" s="55"/>
      <c r="G178" s="55"/>
      <c r="H178" s="55"/>
    </row>
    <row r="179">
      <c r="A179" s="55"/>
      <c r="B179" s="55"/>
      <c r="C179" s="55"/>
      <c r="D179" s="55"/>
      <c r="E179" s="55"/>
      <c r="F179" s="55"/>
      <c r="G179" s="55"/>
      <c r="H179" s="55"/>
    </row>
    <row r="180">
      <c r="A180" s="55"/>
      <c r="B180" s="55"/>
      <c r="C180" s="55"/>
      <c r="D180" s="55"/>
      <c r="E180" s="55"/>
      <c r="F180" s="55"/>
      <c r="G180" s="55"/>
      <c r="H180" s="55"/>
    </row>
    <row r="181">
      <c r="A181" s="55"/>
      <c r="B181" s="55"/>
      <c r="C181" s="55"/>
      <c r="D181" s="55"/>
      <c r="E181" s="55"/>
      <c r="F181" s="55"/>
      <c r="G181" s="55"/>
      <c r="H181" s="55"/>
    </row>
    <row r="182">
      <c r="A182" s="55"/>
      <c r="B182" s="55"/>
      <c r="C182" s="55"/>
      <c r="D182" s="55"/>
      <c r="E182" s="55"/>
      <c r="F182" s="55"/>
      <c r="G182" s="55"/>
      <c r="H182" s="55"/>
    </row>
    <row r="183">
      <c r="A183" s="55"/>
      <c r="B183" s="55"/>
      <c r="C183" s="55"/>
      <c r="D183" s="55"/>
      <c r="E183" s="55"/>
      <c r="F183" s="55"/>
      <c r="G183" s="55"/>
      <c r="H183" s="55"/>
    </row>
    <row r="184">
      <c r="A184" s="55"/>
      <c r="B184" s="55"/>
      <c r="C184" s="55"/>
      <c r="D184" s="55"/>
      <c r="E184" s="55"/>
      <c r="F184" s="55"/>
      <c r="G184" s="55"/>
      <c r="H184" s="55"/>
    </row>
    <row r="185">
      <c r="A185" s="55"/>
      <c r="B185" s="55"/>
      <c r="C185" s="55"/>
      <c r="D185" s="55"/>
      <c r="E185" s="55"/>
      <c r="F185" s="55"/>
      <c r="G185" s="55"/>
      <c r="H185" s="55"/>
    </row>
    <row r="186">
      <c r="A186" s="55"/>
      <c r="B186" s="55"/>
      <c r="C186" s="55"/>
      <c r="D186" s="55"/>
      <c r="E186" s="55"/>
      <c r="F186" s="55"/>
      <c r="G186" s="55"/>
      <c r="H186" s="55"/>
    </row>
    <row r="187">
      <c r="A187" s="55"/>
      <c r="B187" s="55"/>
      <c r="C187" s="55"/>
      <c r="D187" s="55"/>
      <c r="E187" s="55"/>
      <c r="F187" s="55"/>
      <c r="G187" s="55"/>
      <c r="H187" s="55"/>
    </row>
    <row r="188">
      <c r="A188" s="55"/>
      <c r="B188" s="55"/>
      <c r="C188" s="55"/>
      <c r="D188" s="55"/>
      <c r="E188" s="55"/>
      <c r="F188" s="55"/>
      <c r="G188" s="55"/>
      <c r="H188" s="55"/>
    </row>
    <row r="189">
      <c r="A189" s="55"/>
      <c r="B189" s="55"/>
      <c r="C189" s="55"/>
      <c r="D189" s="55"/>
      <c r="E189" s="55"/>
      <c r="F189" s="55"/>
      <c r="G189" s="55"/>
      <c r="H189" s="55"/>
    </row>
    <row r="190">
      <c r="A190" s="55"/>
      <c r="B190" s="55"/>
      <c r="C190" s="55"/>
      <c r="D190" s="55"/>
      <c r="E190" s="55"/>
      <c r="F190" s="55"/>
      <c r="G190" s="55"/>
      <c r="H190" s="55"/>
    </row>
    <row r="191">
      <c r="A191" s="55"/>
      <c r="B191" s="55"/>
      <c r="C191" s="55"/>
      <c r="D191" s="55"/>
      <c r="E191" s="55"/>
      <c r="F191" s="55"/>
      <c r="G191" s="55"/>
      <c r="H191" s="55"/>
    </row>
    <row r="192">
      <c r="A192" s="55"/>
      <c r="B192" s="55"/>
      <c r="C192" s="55"/>
      <c r="D192" s="55"/>
      <c r="E192" s="55"/>
      <c r="F192" s="55"/>
      <c r="G192" s="55"/>
      <c r="H192" s="55"/>
    </row>
    <row r="193">
      <c r="A193" s="55"/>
      <c r="B193" s="55"/>
      <c r="C193" s="55"/>
      <c r="D193" s="55"/>
      <c r="E193" s="55"/>
      <c r="F193" s="55"/>
      <c r="G193" s="55"/>
      <c r="H193" s="55"/>
    </row>
    <row r="194">
      <c r="A194" s="55"/>
      <c r="B194" s="55"/>
      <c r="C194" s="55"/>
      <c r="D194" s="55"/>
      <c r="E194" s="55"/>
      <c r="F194" s="55"/>
      <c r="G194" s="55"/>
      <c r="H194" s="55"/>
    </row>
    <row r="195">
      <c r="A195" s="55"/>
      <c r="B195" s="55"/>
      <c r="C195" s="55"/>
      <c r="D195" s="55"/>
      <c r="E195" s="55"/>
      <c r="F195" s="55"/>
      <c r="G195" s="55"/>
      <c r="H195" s="55"/>
    </row>
    <row r="196">
      <c r="A196" s="55"/>
      <c r="B196" s="55"/>
      <c r="C196" s="55"/>
      <c r="D196" s="55"/>
      <c r="E196" s="55"/>
      <c r="F196" s="55"/>
      <c r="G196" s="55"/>
      <c r="H196" s="55"/>
    </row>
    <row r="197">
      <c r="A197" s="55"/>
      <c r="B197" s="55"/>
      <c r="C197" s="55"/>
      <c r="D197" s="55"/>
      <c r="E197" s="55"/>
      <c r="F197" s="55"/>
      <c r="G197" s="55"/>
      <c r="H197" s="55"/>
    </row>
    <row r="198">
      <c r="A198" s="55"/>
      <c r="B198" s="55"/>
      <c r="C198" s="55"/>
      <c r="D198" s="55"/>
      <c r="E198" s="55"/>
      <c r="F198" s="55"/>
      <c r="G198" s="55"/>
      <c r="H198" s="55"/>
    </row>
    <row r="199">
      <c r="A199" s="55"/>
      <c r="B199" s="55"/>
      <c r="C199" s="55"/>
      <c r="D199" s="55"/>
      <c r="E199" s="55"/>
      <c r="F199" s="55"/>
      <c r="G199" s="55"/>
      <c r="H199" s="55"/>
    </row>
    <row r="200">
      <c r="A200" s="55"/>
      <c r="B200" s="55"/>
      <c r="C200" s="55"/>
      <c r="D200" s="55"/>
      <c r="E200" s="55"/>
      <c r="F200" s="55"/>
      <c r="G200" s="55"/>
      <c r="H200" s="55"/>
    </row>
    <row r="201">
      <c r="A201" s="55"/>
      <c r="B201" s="55"/>
      <c r="C201" s="55"/>
      <c r="D201" s="55"/>
      <c r="E201" s="55"/>
      <c r="F201" s="55"/>
      <c r="G201" s="55"/>
      <c r="H201" s="55"/>
    </row>
    <row r="202">
      <c r="A202" s="55"/>
      <c r="B202" s="55"/>
      <c r="C202" s="55"/>
      <c r="D202" s="55"/>
      <c r="E202" s="55"/>
      <c r="F202" s="55"/>
      <c r="G202" s="55"/>
      <c r="H202" s="55"/>
    </row>
    <row r="203">
      <c r="A203" s="55"/>
      <c r="B203" s="55"/>
      <c r="C203" s="55"/>
      <c r="D203" s="55"/>
      <c r="E203" s="55"/>
      <c r="F203" s="55"/>
      <c r="G203" s="55"/>
      <c r="H203" s="55"/>
    </row>
    <row r="204">
      <c r="A204" s="55"/>
      <c r="B204" s="55"/>
      <c r="C204" s="55"/>
      <c r="D204" s="55"/>
      <c r="E204" s="55"/>
      <c r="F204" s="55"/>
      <c r="G204" s="55"/>
      <c r="H204" s="55"/>
    </row>
    <row r="205">
      <c r="A205" s="55"/>
      <c r="B205" s="55"/>
      <c r="C205" s="55"/>
      <c r="D205" s="55"/>
      <c r="E205" s="55"/>
      <c r="F205" s="55"/>
      <c r="G205" s="55"/>
      <c r="H205" s="55"/>
    </row>
    <row r="206">
      <c r="A206" s="55"/>
      <c r="B206" s="55"/>
      <c r="C206" s="55"/>
      <c r="D206" s="55"/>
      <c r="E206" s="55"/>
      <c r="F206" s="55"/>
      <c r="G206" s="55"/>
      <c r="H206" s="55"/>
    </row>
    <row r="207">
      <c r="A207" s="55"/>
      <c r="B207" s="55"/>
      <c r="C207" s="55"/>
      <c r="D207" s="55"/>
      <c r="E207" s="55"/>
      <c r="F207" s="55"/>
      <c r="G207" s="55"/>
      <c r="H207" s="55"/>
    </row>
    <row r="208">
      <c r="A208" s="55"/>
      <c r="B208" s="55"/>
      <c r="C208" s="55"/>
      <c r="D208" s="55"/>
      <c r="E208" s="55"/>
      <c r="F208" s="55"/>
      <c r="G208" s="55"/>
      <c r="H208" s="55"/>
    </row>
    <row r="209">
      <c r="A209" s="55"/>
      <c r="B209" s="55"/>
      <c r="C209" s="55"/>
      <c r="D209" s="55"/>
      <c r="E209" s="55"/>
      <c r="F209" s="55"/>
      <c r="G209" s="55"/>
      <c r="H209" s="55"/>
    </row>
    <row r="210">
      <c r="A210" s="55"/>
      <c r="B210" s="55"/>
      <c r="C210" s="55"/>
      <c r="D210" s="55"/>
      <c r="E210" s="55"/>
      <c r="F210" s="55"/>
      <c r="G210" s="55"/>
      <c r="H210" s="55"/>
    </row>
    <row r="211">
      <c r="A211" s="55"/>
      <c r="B211" s="55"/>
      <c r="C211" s="55"/>
      <c r="D211" s="55"/>
      <c r="E211" s="55"/>
      <c r="F211" s="55"/>
      <c r="G211" s="55"/>
      <c r="H211" s="55"/>
    </row>
    <row r="212">
      <c r="A212" s="55"/>
      <c r="B212" s="55"/>
      <c r="C212" s="55"/>
      <c r="D212" s="55"/>
      <c r="E212" s="55"/>
      <c r="F212" s="55"/>
      <c r="G212" s="55"/>
      <c r="H212" s="55"/>
    </row>
    <row r="213">
      <c r="A213" s="55"/>
      <c r="B213" s="55"/>
      <c r="C213" s="55"/>
      <c r="D213" s="55"/>
      <c r="E213" s="55"/>
      <c r="F213" s="55"/>
      <c r="G213" s="55"/>
      <c r="H213" s="55"/>
    </row>
    <row r="214">
      <c r="A214" s="55"/>
      <c r="B214" s="55"/>
      <c r="C214" s="55"/>
      <c r="D214" s="55"/>
      <c r="E214" s="55"/>
      <c r="F214" s="55"/>
      <c r="G214" s="55"/>
      <c r="H214" s="55"/>
    </row>
    <row r="215">
      <c r="A215" s="55"/>
      <c r="B215" s="55"/>
      <c r="C215" s="55"/>
      <c r="D215" s="55"/>
      <c r="E215" s="55"/>
      <c r="F215" s="55"/>
      <c r="G215" s="55"/>
      <c r="H215" s="55"/>
    </row>
    <row r="216">
      <c r="A216" s="55"/>
      <c r="B216" s="55"/>
      <c r="C216" s="55"/>
      <c r="D216" s="55"/>
      <c r="E216" s="55"/>
      <c r="F216" s="55"/>
      <c r="G216" s="55"/>
      <c r="H216" s="55"/>
    </row>
    <row r="217">
      <c r="A217" s="55"/>
      <c r="B217" s="55"/>
      <c r="C217" s="55"/>
      <c r="D217" s="55"/>
      <c r="E217" s="55"/>
      <c r="F217" s="55"/>
      <c r="G217" s="55"/>
      <c r="H217" s="55"/>
    </row>
    <row r="218">
      <c r="A218" s="55"/>
      <c r="B218" s="55"/>
      <c r="C218" s="55"/>
      <c r="D218" s="55"/>
      <c r="E218" s="55"/>
      <c r="F218" s="55"/>
      <c r="G218" s="55"/>
      <c r="H218" s="55"/>
    </row>
    <row r="219">
      <c r="A219" s="55"/>
      <c r="B219" s="55"/>
      <c r="C219" s="55"/>
      <c r="D219" s="55"/>
      <c r="E219" s="55"/>
      <c r="F219" s="55"/>
      <c r="G219" s="55"/>
      <c r="H219" s="55"/>
    </row>
    <row r="220">
      <c r="A220" s="55"/>
      <c r="B220" s="55"/>
      <c r="C220" s="55"/>
      <c r="D220" s="55"/>
      <c r="E220" s="55"/>
      <c r="F220" s="55"/>
      <c r="G220" s="55"/>
      <c r="H220" s="55"/>
    </row>
    <row r="221">
      <c r="A221" s="55"/>
      <c r="B221" s="55"/>
      <c r="C221" s="55"/>
      <c r="D221" s="55"/>
      <c r="E221" s="55"/>
      <c r="F221" s="55"/>
      <c r="G221" s="55"/>
      <c r="H221" s="55"/>
    </row>
    <row r="222">
      <c r="A222" s="55"/>
      <c r="B222" s="55"/>
      <c r="C222" s="55"/>
      <c r="D222" s="55"/>
      <c r="E222" s="55"/>
      <c r="F222" s="55"/>
      <c r="G222" s="55"/>
      <c r="H222" s="55"/>
    </row>
    <row r="223">
      <c r="A223" s="55"/>
      <c r="B223" s="55"/>
      <c r="C223" s="55"/>
      <c r="D223" s="55"/>
      <c r="E223" s="55"/>
      <c r="F223" s="55"/>
      <c r="G223" s="55"/>
      <c r="H223" s="55"/>
    </row>
    <row r="224">
      <c r="A224" s="55"/>
      <c r="B224" s="55"/>
      <c r="C224" s="55"/>
      <c r="D224" s="55"/>
      <c r="E224" s="55"/>
      <c r="F224" s="55"/>
      <c r="G224" s="55"/>
      <c r="H224" s="55"/>
    </row>
    <row r="225">
      <c r="A225" s="55"/>
      <c r="B225" s="55"/>
      <c r="C225" s="55"/>
      <c r="D225" s="55"/>
      <c r="E225" s="55"/>
      <c r="F225" s="55"/>
      <c r="G225" s="55"/>
      <c r="H225" s="55"/>
    </row>
    <row r="226">
      <c r="A226" s="55"/>
      <c r="B226" s="55"/>
      <c r="C226" s="55"/>
      <c r="D226" s="55"/>
      <c r="E226" s="55"/>
      <c r="F226" s="55"/>
      <c r="G226" s="55"/>
      <c r="H226" s="55"/>
    </row>
    <row r="227">
      <c r="A227" s="55"/>
      <c r="B227" s="55"/>
      <c r="C227" s="55"/>
      <c r="D227" s="55"/>
      <c r="E227" s="55"/>
      <c r="F227" s="55"/>
      <c r="G227" s="55"/>
      <c r="H227" s="55"/>
    </row>
    <row r="228">
      <c r="A228" s="55"/>
      <c r="B228" s="55"/>
      <c r="C228" s="55"/>
      <c r="D228" s="55"/>
      <c r="E228" s="55"/>
      <c r="F228" s="55"/>
      <c r="G228" s="55"/>
      <c r="H228" s="55"/>
    </row>
    <row r="229">
      <c r="A229" s="55"/>
      <c r="B229" s="55"/>
      <c r="C229" s="55"/>
      <c r="D229" s="55"/>
      <c r="E229" s="55"/>
      <c r="F229" s="55"/>
      <c r="G229" s="55"/>
      <c r="H229" s="55"/>
    </row>
    <row r="230">
      <c r="A230" s="55"/>
      <c r="B230" s="55"/>
      <c r="C230" s="55"/>
      <c r="D230" s="55"/>
      <c r="E230" s="55"/>
      <c r="F230" s="55"/>
      <c r="G230" s="55"/>
      <c r="H230" s="55"/>
    </row>
    <row r="231">
      <c r="A231" s="55"/>
      <c r="B231" s="55"/>
      <c r="C231" s="55"/>
      <c r="D231" s="55"/>
      <c r="E231" s="55"/>
      <c r="F231" s="55"/>
      <c r="G231" s="55"/>
      <c r="H231" s="55"/>
    </row>
    <row r="232">
      <c r="A232" s="55"/>
      <c r="B232" s="55"/>
      <c r="C232" s="55"/>
      <c r="D232" s="55"/>
      <c r="E232" s="55"/>
      <c r="F232" s="55"/>
      <c r="G232" s="55"/>
      <c r="H232" s="55"/>
    </row>
    <row r="233">
      <c r="A233" s="55"/>
      <c r="B233" s="55"/>
      <c r="C233" s="55"/>
      <c r="D233" s="55"/>
      <c r="E233" s="55"/>
      <c r="F233" s="55"/>
      <c r="G233" s="55"/>
      <c r="H233" s="55"/>
    </row>
    <row r="234">
      <c r="A234" s="55"/>
      <c r="B234" s="55"/>
      <c r="C234" s="55"/>
      <c r="D234" s="55"/>
      <c r="E234" s="55"/>
      <c r="F234" s="55"/>
      <c r="G234" s="55"/>
      <c r="H234" s="55"/>
    </row>
    <row r="235">
      <c r="A235" s="55"/>
      <c r="B235" s="55"/>
      <c r="C235" s="55"/>
      <c r="D235" s="55"/>
      <c r="E235" s="55"/>
      <c r="F235" s="55"/>
      <c r="G235" s="55"/>
      <c r="H235" s="55"/>
    </row>
    <row r="236">
      <c r="A236" s="55"/>
      <c r="B236" s="55"/>
      <c r="C236" s="55"/>
      <c r="D236" s="55"/>
      <c r="E236" s="55"/>
      <c r="F236" s="55"/>
      <c r="G236" s="55"/>
      <c r="H236" s="55"/>
    </row>
    <row r="237">
      <c r="A237" s="55"/>
      <c r="B237" s="55"/>
      <c r="C237" s="55"/>
      <c r="D237" s="55"/>
      <c r="E237" s="55"/>
      <c r="F237" s="55"/>
      <c r="G237" s="55"/>
      <c r="H237" s="55"/>
    </row>
    <row r="238">
      <c r="A238" s="55"/>
      <c r="B238" s="55"/>
      <c r="C238" s="55"/>
      <c r="D238" s="55"/>
      <c r="E238" s="55"/>
      <c r="F238" s="55"/>
      <c r="G238" s="55"/>
      <c r="H238" s="55"/>
    </row>
    <row r="239">
      <c r="A239" s="55"/>
      <c r="B239" s="55"/>
      <c r="C239" s="55"/>
      <c r="D239" s="55"/>
      <c r="E239" s="55"/>
      <c r="F239" s="55"/>
      <c r="G239" s="55"/>
      <c r="H239" s="55"/>
    </row>
    <row r="240">
      <c r="A240" s="55"/>
      <c r="B240" s="55"/>
      <c r="C240" s="55"/>
      <c r="D240" s="55"/>
      <c r="E240" s="55"/>
      <c r="F240" s="55"/>
      <c r="G240" s="55"/>
      <c r="H240" s="55"/>
    </row>
    <row r="241">
      <c r="A241" s="55"/>
      <c r="B241" s="55"/>
      <c r="C241" s="55"/>
      <c r="D241" s="55"/>
      <c r="E241" s="55"/>
      <c r="F241" s="55"/>
      <c r="G241" s="55"/>
      <c r="H241" s="55"/>
    </row>
    <row r="242">
      <c r="A242" s="55"/>
      <c r="B242" s="55"/>
      <c r="C242" s="55"/>
      <c r="D242" s="55"/>
      <c r="E242" s="55"/>
      <c r="F242" s="55"/>
      <c r="G242" s="55"/>
      <c r="H242" s="55"/>
    </row>
    <row r="243">
      <c r="A243" s="55"/>
      <c r="B243" s="55"/>
      <c r="C243" s="55"/>
      <c r="D243" s="55"/>
      <c r="E243" s="55"/>
      <c r="F243" s="55"/>
      <c r="G243" s="55"/>
      <c r="H243" s="55"/>
    </row>
    <row r="244">
      <c r="A244" s="55"/>
      <c r="B244" s="55"/>
      <c r="C244" s="55"/>
      <c r="D244" s="55"/>
      <c r="E244" s="55"/>
      <c r="F244" s="55"/>
      <c r="G244" s="55"/>
      <c r="H244" s="55"/>
    </row>
    <row r="245">
      <c r="A245" s="55"/>
      <c r="B245" s="55"/>
      <c r="C245" s="55"/>
      <c r="D245" s="55"/>
      <c r="E245" s="55"/>
      <c r="F245" s="55"/>
      <c r="G245" s="55"/>
      <c r="H245" s="55"/>
    </row>
    <row r="246">
      <c r="A246" s="55"/>
      <c r="B246" s="55"/>
      <c r="C246" s="55"/>
      <c r="D246" s="55"/>
      <c r="E246" s="55"/>
      <c r="F246" s="55"/>
      <c r="G246" s="55"/>
      <c r="H246" s="55"/>
    </row>
    <row r="247">
      <c r="A247" s="55"/>
      <c r="B247" s="55"/>
      <c r="C247" s="55"/>
      <c r="D247" s="55"/>
      <c r="E247" s="55"/>
      <c r="F247" s="55"/>
      <c r="G247" s="55"/>
      <c r="H247" s="55"/>
    </row>
    <row r="248">
      <c r="A248" s="55"/>
      <c r="B248" s="55"/>
      <c r="C248" s="55"/>
      <c r="D248" s="55"/>
      <c r="E248" s="55"/>
      <c r="F248" s="55"/>
      <c r="G248" s="55"/>
      <c r="H248" s="55"/>
    </row>
    <row r="249">
      <c r="A249" s="55"/>
      <c r="B249" s="55"/>
      <c r="C249" s="55"/>
      <c r="D249" s="55"/>
      <c r="E249" s="55"/>
      <c r="F249" s="55"/>
      <c r="G249" s="55"/>
      <c r="H249" s="55"/>
    </row>
    <row r="250">
      <c r="A250" s="55"/>
      <c r="B250" s="55"/>
      <c r="C250" s="55"/>
      <c r="D250" s="55"/>
      <c r="E250" s="55"/>
      <c r="F250" s="55"/>
      <c r="G250" s="55"/>
      <c r="H250" s="55"/>
    </row>
    <row r="251">
      <c r="A251" s="55"/>
      <c r="B251" s="55"/>
      <c r="C251" s="55"/>
      <c r="D251" s="55"/>
      <c r="E251" s="55"/>
      <c r="F251" s="55"/>
      <c r="G251" s="55"/>
      <c r="H251" s="55"/>
    </row>
    <row r="252">
      <c r="A252" s="55"/>
      <c r="B252" s="55"/>
      <c r="C252" s="55"/>
      <c r="D252" s="55"/>
      <c r="E252" s="55"/>
      <c r="F252" s="55"/>
      <c r="G252" s="55"/>
      <c r="H252" s="55"/>
    </row>
    <row r="253">
      <c r="A253" s="55"/>
      <c r="B253" s="55"/>
      <c r="C253" s="55"/>
      <c r="D253" s="55"/>
      <c r="E253" s="55"/>
      <c r="F253" s="55"/>
      <c r="G253" s="55"/>
      <c r="H253" s="55"/>
    </row>
    <row r="254">
      <c r="A254" s="55"/>
      <c r="B254" s="55"/>
      <c r="C254" s="55"/>
      <c r="D254" s="55"/>
      <c r="E254" s="55"/>
      <c r="F254" s="55"/>
      <c r="G254" s="55"/>
      <c r="H254" s="55"/>
    </row>
    <row r="255">
      <c r="A255" s="55"/>
      <c r="B255" s="55"/>
      <c r="C255" s="55"/>
      <c r="D255" s="55"/>
      <c r="E255" s="55"/>
      <c r="F255" s="55"/>
      <c r="G255" s="55"/>
      <c r="H255" s="55"/>
    </row>
    <row r="256">
      <c r="A256" s="55"/>
      <c r="B256" s="55"/>
      <c r="C256" s="55"/>
      <c r="D256" s="55"/>
      <c r="E256" s="55"/>
      <c r="F256" s="55"/>
      <c r="G256" s="55"/>
      <c r="H256" s="55"/>
    </row>
    <row r="257">
      <c r="A257" s="55"/>
      <c r="B257" s="55"/>
      <c r="C257" s="55"/>
      <c r="D257" s="55"/>
      <c r="E257" s="55"/>
      <c r="F257" s="55"/>
      <c r="G257" s="55"/>
      <c r="H257" s="55"/>
    </row>
    <row r="258">
      <c r="A258" s="55"/>
      <c r="B258" s="55"/>
      <c r="C258" s="55"/>
      <c r="D258" s="55"/>
      <c r="E258" s="55"/>
      <c r="F258" s="55"/>
      <c r="G258" s="55"/>
      <c r="H258" s="55"/>
    </row>
    <row r="259">
      <c r="A259" s="55"/>
      <c r="B259" s="55"/>
      <c r="C259" s="55"/>
      <c r="D259" s="55"/>
      <c r="E259" s="55"/>
      <c r="F259" s="55"/>
      <c r="G259" s="55"/>
      <c r="H259" s="55"/>
    </row>
    <row r="260">
      <c r="A260" s="55"/>
      <c r="B260" s="55"/>
      <c r="C260" s="55"/>
      <c r="D260" s="55"/>
      <c r="E260" s="55"/>
      <c r="F260" s="55"/>
      <c r="G260" s="55"/>
      <c r="H260" s="55"/>
    </row>
    <row r="261">
      <c r="A261" s="55"/>
      <c r="B261" s="55"/>
      <c r="C261" s="55"/>
      <c r="D261" s="55"/>
      <c r="E261" s="55"/>
      <c r="F261" s="55"/>
      <c r="G261" s="55"/>
      <c r="H261" s="55"/>
    </row>
    <row r="262">
      <c r="A262" s="55"/>
      <c r="B262" s="55"/>
      <c r="C262" s="55"/>
      <c r="D262" s="55"/>
      <c r="E262" s="55"/>
      <c r="F262" s="55"/>
      <c r="G262" s="55"/>
      <c r="H262" s="55"/>
    </row>
    <row r="263">
      <c r="A263" s="55"/>
      <c r="B263" s="55"/>
      <c r="C263" s="55"/>
      <c r="D263" s="55"/>
      <c r="E263" s="55"/>
      <c r="F263" s="55"/>
      <c r="G263" s="55"/>
      <c r="H263" s="55"/>
    </row>
    <row r="264">
      <c r="A264" s="55"/>
      <c r="B264" s="55"/>
      <c r="C264" s="55"/>
      <c r="D264" s="55"/>
      <c r="E264" s="55"/>
      <c r="F264" s="55"/>
      <c r="G264" s="55"/>
      <c r="H264" s="55"/>
    </row>
    <row r="265">
      <c r="A265" s="55"/>
      <c r="B265" s="55"/>
      <c r="C265" s="55"/>
      <c r="D265" s="55"/>
      <c r="E265" s="55"/>
      <c r="F265" s="55"/>
      <c r="G265" s="55"/>
      <c r="H265" s="55"/>
    </row>
    <row r="266">
      <c r="A266" s="55"/>
      <c r="B266" s="55"/>
      <c r="C266" s="55"/>
      <c r="D266" s="55"/>
      <c r="E266" s="55"/>
      <c r="F266" s="55"/>
      <c r="G266" s="55"/>
      <c r="H266" s="55"/>
    </row>
    <row r="267">
      <c r="A267" s="55"/>
      <c r="B267" s="55"/>
      <c r="C267" s="55"/>
      <c r="D267" s="55"/>
      <c r="E267" s="55"/>
      <c r="F267" s="55"/>
      <c r="G267" s="55"/>
      <c r="H267" s="55"/>
    </row>
    <row r="268">
      <c r="A268" s="55"/>
      <c r="B268" s="55"/>
      <c r="C268" s="55"/>
      <c r="D268" s="55"/>
      <c r="E268" s="55"/>
      <c r="F268" s="55"/>
      <c r="G268" s="55"/>
      <c r="H268" s="55"/>
    </row>
    <row r="269">
      <c r="A269" s="55"/>
      <c r="B269" s="55"/>
      <c r="C269" s="55"/>
      <c r="D269" s="55"/>
      <c r="E269" s="55"/>
      <c r="F269" s="55"/>
      <c r="G269" s="55"/>
      <c r="H269" s="55"/>
    </row>
    <row r="270">
      <c r="A270" s="55"/>
      <c r="B270" s="55"/>
      <c r="C270" s="55"/>
      <c r="D270" s="55"/>
      <c r="E270" s="55"/>
      <c r="F270" s="55"/>
      <c r="G270" s="55"/>
      <c r="H270" s="55"/>
    </row>
    <row r="271">
      <c r="A271" s="55"/>
      <c r="B271" s="55"/>
      <c r="C271" s="55"/>
      <c r="D271" s="55"/>
      <c r="E271" s="55"/>
      <c r="F271" s="55"/>
      <c r="G271" s="55"/>
      <c r="H271" s="55"/>
    </row>
    <row r="272">
      <c r="A272" s="55"/>
      <c r="B272" s="55"/>
      <c r="C272" s="55"/>
      <c r="D272" s="55"/>
      <c r="E272" s="55"/>
      <c r="F272" s="55"/>
      <c r="G272" s="55"/>
      <c r="H272" s="55"/>
    </row>
    <row r="273">
      <c r="A273" s="55"/>
      <c r="B273" s="55"/>
      <c r="C273" s="55"/>
      <c r="D273" s="55"/>
      <c r="E273" s="55"/>
      <c r="F273" s="55"/>
      <c r="G273" s="55"/>
      <c r="H273" s="55"/>
    </row>
    <row r="274">
      <c r="A274" s="55"/>
      <c r="B274" s="55"/>
      <c r="C274" s="55"/>
      <c r="D274" s="55"/>
      <c r="E274" s="55"/>
      <c r="F274" s="55"/>
      <c r="G274" s="55"/>
      <c r="H274" s="55"/>
    </row>
    <row r="275">
      <c r="A275" s="55"/>
      <c r="B275" s="55"/>
      <c r="C275" s="55"/>
      <c r="D275" s="55"/>
      <c r="E275" s="55"/>
      <c r="F275" s="55"/>
      <c r="G275" s="55"/>
      <c r="H275" s="55"/>
    </row>
    <row r="276">
      <c r="A276" s="55"/>
      <c r="B276" s="55"/>
      <c r="C276" s="55"/>
      <c r="D276" s="55"/>
      <c r="E276" s="55"/>
      <c r="F276" s="55"/>
      <c r="G276" s="55"/>
      <c r="H276" s="55"/>
    </row>
    <row r="277">
      <c r="A277" s="55"/>
      <c r="B277" s="55"/>
      <c r="C277" s="55"/>
      <c r="D277" s="55"/>
      <c r="E277" s="55"/>
      <c r="F277" s="55"/>
      <c r="G277" s="55"/>
      <c r="H277" s="55"/>
    </row>
    <row r="278">
      <c r="A278" s="55"/>
      <c r="B278" s="55"/>
      <c r="C278" s="55"/>
      <c r="D278" s="55"/>
      <c r="E278" s="55"/>
      <c r="F278" s="55"/>
      <c r="G278" s="55"/>
      <c r="H278" s="55"/>
    </row>
    <row r="279">
      <c r="A279" s="55"/>
      <c r="B279" s="55"/>
      <c r="C279" s="55"/>
      <c r="D279" s="55"/>
      <c r="E279" s="55"/>
      <c r="F279" s="55"/>
      <c r="G279" s="55"/>
      <c r="H279" s="55"/>
    </row>
    <row r="280">
      <c r="A280" s="55"/>
      <c r="B280" s="55"/>
      <c r="C280" s="55"/>
      <c r="D280" s="55"/>
      <c r="E280" s="55"/>
      <c r="F280" s="55"/>
      <c r="G280" s="55"/>
      <c r="H280" s="55"/>
    </row>
    <row r="281">
      <c r="A281" s="55"/>
      <c r="B281" s="55"/>
      <c r="C281" s="55"/>
      <c r="D281" s="55"/>
      <c r="E281" s="55"/>
      <c r="F281" s="55"/>
      <c r="G281" s="55"/>
      <c r="H281" s="55"/>
    </row>
    <row r="282">
      <c r="A282" s="55"/>
      <c r="B282" s="55"/>
      <c r="C282" s="55"/>
      <c r="D282" s="55"/>
      <c r="E282" s="55"/>
      <c r="F282" s="55"/>
      <c r="G282" s="55"/>
      <c r="H282" s="55"/>
    </row>
    <row r="283">
      <c r="A283" s="55"/>
      <c r="B283" s="55"/>
      <c r="C283" s="55"/>
      <c r="D283" s="55"/>
      <c r="E283" s="55"/>
      <c r="F283" s="55"/>
      <c r="G283" s="55"/>
      <c r="H283" s="55"/>
    </row>
    <row r="284">
      <c r="A284" s="55"/>
      <c r="B284" s="55"/>
      <c r="C284" s="55"/>
      <c r="D284" s="55"/>
      <c r="E284" s="55"/>
      <c r="F284" s="55"/>
      <c r="G284" s="55"/>
      <c r="H284" s="55"/>
    </row>
    <row r="285">
      <c r="A285" s="55"/>
      <c r="B285" s="55"/>
      <c r="C285" s="55"/>
      <c r="D285" s="55"/>
      <c r="E285" s="55"/>
      <c r="F285" s="55"/>
      <c r="G285" s="55"/>
      <c r="H285" s="55"/>
    </row>
    <row r="286">
      <c r="A286" s="55"/>
      <c r="B286" s="55"/>
      <c r="C286" s="55"/>
      <c r="D286" s="55"/>
      <c r="E286" s="55"/>
      <c r="F286" s="55"/>
      <c r="G286" s="55"/>
      <c r="H286" s="55"/>
    </row>
    <row r="287">
      <c r="A287" s="55"/>
      <c r="B287" s="55"/>
      <c r="C287" s="55"/>
      <c r="D287" s="55"/>
      <c r="E287" s="55"/>
      <c r="F287" s="55"/>
      <c r="G287" s="55"/>
      <c r="H287" s="55"/>
    </row>
    <row r="288">
      <c r="A288" s="55"/>
      <c r="B288" s="55"/>
      <c r="C288" s="55"/>
      <c r="D288" s="55"/>
      <c r="E288" s="55"/>
      <c r="F288" s="55"/>
      <c r="G288" s="55"/>
      <c r="H288" s="55"/>
    </row>
    <row r="289">
      <c r="A289" s="55"/>
      <c r="B289" s="55"/>
      <c r="C289" s="55"/>
      <c r="D289" s="55"/>
      <c r="E289" s="55"/>
      <c r="F289" s="55"/>
      <c r="G289" s="55"/>
      <c r="H289" s="55"/>
    </row>
    <row r="290">
      <c r="A290" s="55"/>
      <c r="B290" s="55"/>
      <c r="C290" s="55"/>
      <c r="D290" s="55"/>
      <c r="E290" s="55"/>
      <c r="F290" s="55"/>
      <c r="G290" s="55"/>
      <c r="H290" s="55"/>
    </row>
    <row r="291">
      <c r="A291" s="55"/>
      <c r="B291" s="55"/>
      <c r="C291" s="55"/>
      <c r="D291" s="55"/>
      <c r="E291" s="55"/>
      <c r="F291" s="55"/>
      <c r="G291" s="55"/>
      <c r="H291" s="55"/>
    </row>
    <row r="292">
      <c r="A292" s="55"/>
      <c r="B292" s="55"/>
      <c r="C292" s="55"/>
      <c r="D292" s="55"/>
      <c r="E292" s="55"/>
      <c r="F292" s="55"/>
      <c r="G292" s="55"/>
      <c r="H292" s="55"/>
    </row>
    <row r="293">
      <c r="A293" s="55"/>
      <c r="B293" s="55"/>
      <c r="C293" s="55"/>
      <c r="D293" s="55"/>
      <c r="E293" s="55"/>
      <c r="F293" s="55"/>
      <c r="G293" s="55"/>
      <c r="H293" s="55"/>
    </row>
    <row r="294">
      <c r="A294" s="55"/>
      <c r="B294" s="55"/>
      <c r="C294" s="55"/>
      <c r="D294" s="55"/>
      <c r="E294" s="55"/>
      <c r="F294" s="55"/>
      <c r="G294" s="55"/>
      <c r="H294" s="55"/>
    </row>
    <row r="295">
      <c r="A295" s="55"/>
      <c r="B295" s="55"/>
      <c r="C295" s="55"/>
      <c r="D295" s="55"/>
      <c r="E295" s="55"/>
      <c r="F295" s="55"/>
      <c r="G295" s="55"/>
      <c r="H295" s="55"/>
    </row>
    <row r="296">
      <c r="A296" s="55"/>
      <c r="B296" s="55"/>
      <c r="C296" s="55"/>
      <c r="D296" s="55"/>
      <c r="E296" s="55"/>
      <c r="F296" s="55"/>
      <c r="G296" s="55"/>
      <c r="H296" s="55"/>
    </row>
    <row r="297">
      <c r="A297" s="55"/>
      <c r="B297" s="55"/>
      <c r="C297" s="55"/>
      <c r="D297" s="55"/>
      <c r="E297" s="55"/>
      <c r="F297" s="55"/>
      <c r="G297" s="55"/>
      <c r="H297" s="55"/>
    </row>
    <row r="298">
      <c r="A298" s="55"/>
      <c r="B298" s="55"/>
      <c r="C298" s="55"/>
      <c r="D298" s="55"/>
      <c r="E298" s="55"/>
      <c r="F298" s="55"/>
      <c r="G298" s="55"/>
      <c r="H298" s="55"/>
    </row>
    <row r="299">
      <c r="A299" s="55"/>
      <c r="B299" s="55"/>
      <c r="C299" s="55"/>
      <c r="D299" s="55"/>
      <c r="E299" s="55"/>
      <c r="F299" s="55"/>
      <c r="G299" s="55"/>
      <c r="H299" s="55"/>
    </row>
    <row r="300">
      <c r="A300" s="55"/>
      <c r="B300" s="55"/>
      <c r="C300" s="55"/>
      <c r="D300" s="55"/>
      <c r="E300" s="55"/>
      <c r="F300" s="55"/>
      <c r="G300" s="55"/>
      <c r="H300" s="55"/>
    </row>
    <row r="301">
      <c r="A301" s="55"/>
      <c r="B301" s="55"/>
      <c r="C301" s="55"/>
      <c r="D301" s="55"/>
      <c r="E301" s="55"/>
      <c r="F301" s="55"/>
      <c r="G301" s="55"/>
      <c r="H301" s="55"/>
    </row>
    <row r="302">
      <c r="A302" s="55"/>
      <c r="B302" s="55"/>
      <c r="C302" s="55"/>
      <c r="D302" s="55"/>
      <c r="E302" s="55"/>
      <c r="F302" s="55"/>
      <c r="G302" s="55"/>
      <c r="H302" s="55"/>
    </row>
    <row r="303">
      <c r="A303" s="55"/>
      <c r="B303" s="55"/>
      <c r="C303" s="55"/>
      <c r="D303" s="55"/>
      <c r="E303" s="55"/>
      <c r="F303" s="55"/>
      <c r="G303" s="55"/>
      <c r="H303" s="55"/>
    </row>
    <row r="304">
      <c r="A304" s="55"/>
      <c r="B304" s="55"/>
      <c r="C304" s="55"/>
      <c r="D304" s="55"/>
      <c r="E304" s="55"/>
      <c r="F304" s="55"/>
      <c r="G304" s="55"/>
      <c r="H304" s="55"/>
    </row>
    <row r="305">
      <c r="A305" s="55"/>
      <c r="B305" s="55"/>
      <c r="C305" s="55"/>
      <c r="D305" s="55"/>
      <c r="E305" s="55"/>
      <c r="F305" s="55"/>
      <c r="G305" s="55"/>
      <c r="H305" s="55"/>
    </row>
    <row r="306">
      <c r="A306" s="55"/>
      <c r="B306" s="55"/>
      <c r="C306" s="55"/>
      <c r="D306" s="55"/>
      <c r="E306" s="55"/>
      <c r="F306" s="55"/>
      <c r="G306" s="55"/>
      <c r="H306" s="55"/>
    </row>
    <row r="307">
      <c r="A307" s="55"/>
      <c r="B307" s="55"/>
      <c r="C307" s="55"/>
      <c r="D307" s="55"/>
      <c r="E307" s="55"/>
      <c r="F307" s="55"/>
      <c r="G307" s="55"/>
      <c r="H307" s="55"/>
    </row>
    <row r="308">
      <c r="A308" s="55"/>
      <c r="B308" s="55"/>
      <c r="C308" s="55"/>
      <c r="D308" s="55"/>
      <c r="E308" s="55"/>
      <c r="F308" s="55"/>
      <c r="G308" s="55"/>
      <c r="H308" s="55"/>
    </row>
    <row r="309">
      <c r="A309" s="55"/>
      <c r="B309" s="55"/>
      <c r="C309" s="55"/>
      <c r="D309" s="55"/>
      <c r="E309" s="55"/>
      <c r="F309" s="55"/>
      <c r="G309" s="55"/>
      <c r="H309" s="55"/>
    </row>
    <row r="310">
      <c r="A310" s="55"/>
      <c r="B310" s="55"/>
      <c r="C310" s="55"/>
      <c r="D310" s="55"/>
      <c r="E310" s="55"/>
      <c r="F310" s="55"/>
      <c r="G310" s="55"/>
      <c r="H310" s="55"/>
    </row>
    <row r="311">
      <c r="A311" s="55"/>
      <c r="B311" s="55"/>
      <c r="C311" s="55"/>
      <c r="D311" s="55"/>
      <c r="E311" s="55"/>
      <c r="F311" s="55"/>
      <c r="G311" s="55"/>
      <c r="H311" s="55"/>
    </row>
    <row r="312">
      <c r="A312" s="55"/>
      <c r="B312" s="55"/>
      <c r="C312" s="55"/>
      <c r="D312" s="55"/>
      <c r="E312" s="55"/>
      <c r="F312" s="55"/>
      <c r="G312" s="55"/>
      <c r="H312" s="55"/>
    </row>
    <row r="313">
      <c r="A313" s="55"/>
      <c r="B313" s="55"/>
      <c r="C313" s="55"/>
      <c r="D313" s="55"/>
      <c r="E313" s="55"/>
      <c r="F313" s="55"/>
      <c r="G313" s="55"/>
      <c r="H313" s="55"/>
    </row>
    <row r="314">
      <c r="A314" s="55"/>
      <c r="B314" s="55"/>
      <c r="C314" s="55"/>
      <c r="D314" s="55"/>
      <c r="E314" s="55"/>
      <c r="F314" s="55"/>
      <c r="G314" s="55"/>
      <c r="H314" s="55"/>
    </row>
    <row r="315">
      <c r="A315" s="55"/>
      <c r="B315" s="55"/>
      <c r="C315" s="55"/>
      <c r="D315" s="55"/>
      <c r="E315" s="55"/>
      <c r="F315" s="55"/>
      <c r="G315" s="55"/>
      <c r="H315" s="55"/>
    </row>
    <row r="316">
      <c r="A316" s="55"/>
      <c r="B316" s="55"/>
      <c r="C316" s="55"/>
      <c r="D316" s="55"/>
      <c r="E316" s="55"/>
      <c r="F316" s="55"/>
      <c r="G316" s="55"/>
      <c r="H316" s="55"/>
    </row>
    <row r="317">
      <c r="A317" s="55"/>
      <c r="B317" s="55"/>
      <c r="C317" s="55"/>
      <c r="D317" s="55"/>
      <c r="E317" s="55"/>
      <c r="F317" s="55"/>
      <c r="G317" s="55"/>
      <c r="H317" s="55"/>
    </row>
    <row r="318">
      <c r="A318" s="55"/>
      <c r="B318" s="55"/>
      <c r="C318" s="55"/>
      <c r="D318" s="55"/>
      <c r="E318" s="55"/>
      <c r="F318" s="55"/>
      <c r="G318" s="55"/>
      <c r="H318" s="55"/>
    </row>
    <row r="319">
      <c r="A319" s="55"/>
      <c r="B319" s="55"/>
      <c r="C319" s="55"/>
      <c r="D319" s="55"/>
      <c r="E319" s="55"/>
      <c r="F319" s="55"/>
      <c r="G319" s="55"/>
      <c r="H319" s="55"/>
    </row>
    <row r="320">
      <c r="A320" s="55"/>
      <c r="B320" s="55"/>
      <c r="C320" s="55"/>
      <c r="D320" s="55"/>
      <c r="E320" s="55"/>
      <c r="F320" s="55"/>
      <c r="G320" s="55"/>
      <c r="H320" s="55"/>
    </row>
    <row r="321">
      <c r="A321" s="55"/>
      <c r="B321" s="55"/>
      <c r="C321" s="55"/>
      <c r="D321" s="55"/>
      <c r="E321" s="55"/>
      <c r="F321" s="55"/>
      <c r="G321" s="55"/>
      <c r="H321" s="55"/>
    </row>
    <row r="322">
      <c r="A322" s="55"/>
      <c r="B322" s="55"/>
      <c r="C322" s="55"/>
      <c r="D322" s="55"/>
      <c r="E322" s="55"/>
      <c r="F322" s="55"/>
      <c r="G322" s="55"/>
      <c r="H322" s="55"/>
    </row>
    <row r="323">
      <c r="A323" s="55"/>
      <c r="B323" s="55"/>
      <c r="C323" s="55"/>
      <c r="D323" s="55"/>
      <c r="E323" s="55"/>
      <c r="F323" s="55"/>
      <c r="G323" s="55"/>
      <c r="H323" s="55"/>
    </row>
    <row r="324">
      <c r="A324" s="55"/>
      <c r="B324" s="55"/>
      <c r="C324" s="55"/>
      <c r="D324" s="55"/>
      <c r="E324" s="55"/>
      <c r="F324" s="55"/>
      <c r="G324" s="55"/>
      <c r="H324" s="55"/>
    </row>
    <row r="325">
      <c r="A325" s="55"/>
      <c r="B325" s="55"/>
      <c r="C325" s="55"/>
      <c r="D325" s="55"/>
      <c r="E325" s="55"/>
      <c r="F325" s="55"/>
      <c r="G325" s="55"/>
      <c r="H325" s="55"/>
    </row>
    <row r="326">
      <c r="A326" s="55"/>
      <c r="B326" s="55"/>
      <c r="C326" s="55"/>
      <c r="D326" s="55"/>
      <c r="E326" s="55"/>
      <c r="F326" s="55"/>
      <c r="G326" s="55"/>
      <c r="H326" s="55"/>
    </row>
    <row r="327">
      <c r="A327" s="55"/>
      <c r="B327" s="55"/>
      <c r="C327" s="55"/>
      <c r="D327" s="55"/>
      <c r="E327" s="55"/>
      <c r="F327" s="55"/>
      <c r="G327" s="55"/>
      <c r="H327" s="55"/>
    </row>
    <row r="328">
      <c r="A328" s="55"/>
      <c r="B328" s="55"/>
      <c r="C328" s="55"/>
      <c r="D328" s="55"/>
      <c r="E328" s="55"/>
      <c r="F328" s="55"/>
      <c r="G328" s="55"/>
      <c r="H328" s="55"/>
    </row>
    <row r="329">
      <c r="A329" s="55"/>
      <c r="B329" s="55"/>
      <c r="C329" s="55"/>
      <c r="D329" s="55"/>
      <c r="E329" s="55"/>
      <c r="F329" s="55"/>
      <c r="G329" s="55"/>
      <c r="H329" s="55"/>
    </row>
    <row r="330">
      <c r="A330" s="55"/>
      <c r="B330" s="55"/>
      <c r="C330" s="55"/>
      <c r="D330" s="55"/>
      <c r="E330" s="55"/>
      <c r="F330" s="55"/>
      <c r="G330" s="55"/>
      <c r="H330" s="55"/>
    </row>
    <row r="331">
      <c r="A331" s="55"/>
      <c r="B331" s="55"/>
      <c r="C331" s="55"/>
      <c r="D331" s="55"/>
      <c r="E331" s="55"/>
      <c r="F331" s="55"/>
      <c r="G331" s="55"/>
      <c r="H331" s="55"/>
    </row>
    <row r="332">
      <c r="A332" s="55"/>
      <c r="B332" s="55"/>
      <c r="C332" s="55"/>
      <c r="D332" s="55"/>
      <c r="E332" s="55"/>
      <c r="F332" s="55"/>
      <c r="G332" s="55"/>
      <c r="H332" s="55"/>
    </row>
    <row r="333">
      <c r="A333" s="55"/>
      <c r="B333" s="55"/>
      <c r="C333" s="55"/>
      <c r="D333" s="55"/>
      <c r="E333" s="55"/>
      <c r="F333" s="55"/>
      <c r="G333" s="55"/>
      <c r="H333" s="55"/>
    </row>
    <row r="334">
      <c r="A334" s="55"/>
      <c r="B334" s="55"/>
      <c r="C334" s="55"/>
      <c r="D334" s="55"/>
      <c r="E334" s="55"/>
      <c r="F334" s="55"/>
      <c r="G334" s="55"/>
      <c r="H334" s="55"/>
    </row>
    <row r="335">
      <c r="A335" s="55"/>
      <c r="B335" s="55"/>
      <c r="C335" s="55"/>
      <c r="D335" s="55"/>
      <c r="E335" s="55"/>
      <c r="F335" s="55"/>
      <c r="G335" s="55"/>
      <c r="H335" s="55"/>
    </row>
    <row r="336">
      <c r="A336" s="55"/>
      <c r="B336" s="55"/>
      <c r="C336" s="55"/>
      <c r="D336" s="55"/>
      <c r="E336" s="55"/>
      <c r="F336" s="55"/>
      <c r="G336" s="55"/>
      <c r="H336" s="55"/>
    </row>
    <row r="337">
      <c r="A337" s="55"/>
      <c r="B337" s="55"/>
      <c r="C337" s="55"/>
      <c r="D337" s="55"/>
      <c r="E337" s="55"/>
      <c r="F337" s="55"/>
      <c r="G337" s="55"/>
      <c r="H337" s="55"/>
    </row>
    <row r="338">
      <c r="A338" s="55"/>
      <c r="B338" s="55"/>
      <c r="C338" s="55"/>
      <c r="D338" s="55"/>
      <c r="E338" s="55"/>
      <c r="F338" s="55"/>
      <c r="G338" s="55"/>
      <c r="H338" s="55"/>
    </row>
    <row r="339">
      <c r="A339" s="55"/>
      <c r="B339" s="55"/>
      <c r="C339" s="55"/>
      <c r="D339" s="55"/>
      <c r="E339" s="55"/>
      <c r="F339" s="55"/>
      <c r="G339" s="55"/>
      <c r="H339" s="55"/>
    </row>
    <row r="340">
      <c r="A340" s="55"/>
      <c r="B340" s="55"/>
      <c r="C340" s="55"/>
      <c r="D340" s="55"/>
      <c r="E340" s="55"/>
      <c r="F340" s="55"/>
      <c r="G340" s="55"/>
      <c r="H340" s="55"/>
    </row>
    <row r="341">
      <c r="A341" s="55"/>
      <c r="B341" s="55"/>
      <c r="C341" s="55"/>
      <c r="D341" s="55"/>
      <c r="E341" s="55"/>
      <c r="F341" s="55"/>
      <c r="G341" s="55"/>
      <c r="H341" s="55"/>
    </row>
    <row r="342">
      <c r="A342" s="55"/>
      <c r="B342" s="55"/>
      <c r="C342" s="55"/>
      <c r="D342" s="55"/>
      <c r="E342" s="55"/>
      <c r="F342" s="55"/>
      <c r="G342" s="55"/>
      <c r="H342" s="55"/>
    </row>
    <row r="343">
      <c r="A343" s="55"/>
      <c r="B343" s="55"/>
      <c r="C343" s="55"/>
      <c r="D343" s="55"/>
      <c r="E343" s="55"/>
      <c r="F343" s="55"/>
      <c r="G343" s="55"/>
      <c r="H343" s="55"/>
    </row>
    <row r="344">
      <c r="A344" s="55"/>
      <c r="B344" s="55"/>
      <c r="C344" s="55"/>
      <c r="D344" s="55"/>
      <c r="E344" s="55"/>
      <c r="F344" s="55"/>
      <c r="G344" s="55"/>
      <c r="H344" s="55"/>
    </row>
    <row r="345">
      <c r="A345" s="55"/>
      <c r="B345" s="55"/>
      <c r="C345" s="55"/>
      <c r="D345" s="55"/>
      <c r="E345" s="55"/>
      <c r="F345" s="55"/>
      <c r="G345" s="55"/>
      <c r="H345" s="55"/>
    </row>
    <row r="346">
      <c r="A346" s="55"/>
      <c r="B346" s="55"/>
      <c r="C346" s="55"/>
      <c r="D346" s="55"/>
      <c r="E346" s="55"/>
      <c r="F346" s="55"/>
      <c r="G346" s="55"/>
      <c r="H346" s="55"/>
    </row>
    <row r="347">
      <c r="A347" s="55"/>
      <c r="B347" s="55"/>
      <c r="C347" s="55"/>
      <c r="D347" s="55"/>
      <c r="E347" s="55"/>
      <c r="F347" s="55"/>
      <c r="G347" s="55"/>
      <c r="H347" s="55"/>
    </row>
    <row r="348">
      <c r="A348" s="55"/>
      <c r="B348" s="55"/>
      <c r="C348" s="55"/>
      <c r="D348" s="55"/>
      <c r="E348" s="55"/>
      <c r="F348" s="55"/>
      <c r="G348" s="55"/>
      <c r="H348" s="55"/>
    </row>
    <row r="349">
      <c r="A349" s="55"/>
      <c r="B349" s="55"/>
      <c r="C349" s="55"/>
      <c r="D349" s="55"/>
      <c r="E349" s="55"/>
      <c r="F349" s="55"/>
      <c r="G349" s="55"/>
      <c r="H349" s="55"/>
    </row>
    <row r="350">
      <c r="A350" s="55"/>
      <c r="B350" s="55"/>
      <c r="C350" s="55"/>
      <c r="D350" s="55"/>
      <c r="E350" s="55"/>
      <c r="F350" s="55"/>
      <c r="G350" s="55"/>
      <c r="H350" s="55"/>
    </row>
    <row r="351">
      <c r="A351" s="55"/>
      <c r="B351" s="55"/>
      <c r="C351" s="55"/>
      <c r="D351" s="55"/>
      <c r="E351" s="55"/>
      <c r="F351" s="55"/>
      <c r="G351" s="55"/>
      <c r="H351" s="55"/>
    </row>
    <row r="352">
      <c r="A352" s="55"/>
      <c r="B352" s="55"/>
      <c r="C352" s="55"/>
      <c r="D352" s="55"/>
      <c r="E352" s="55"/>
      <c r="F352" s="55"/>
      <c r="G352" s="55"/>
      <c r="H352" s="55"/>
    </row>
    <row r="353">
      <c r="A353" s="55"/>
      <c r="B353" s="55"/>
      <c r="C353" s="55"/>
      <c r="D353" s="55"/>
      <c r="E353" s="55"/>
      <c r="F353" s="55"/>
      <c r="G353" s="55"/>
      <c r="H353" s="55"/>
    </row>
    <row r="354">
      <c r="A354" s="55"/>
      <c r="B354" s="55"/>
      <c r="C354" s="55"/>
      <c r="D354" s="55"/>
      <c r="E354" s="55"/>
      <c r="F354" s="55"/>
      <c r="G354" s="55"/>
      <c r="H354" s="55"/>
    </row>
    <row r="355">
      <c r="A355" s="55"/>
      <c r="B355" s="55"/>
      <c r="C355" s="55"/>
      <c r="D355" s="55"/>
      <c r="E355" s="55"/>
      <c r="F355" s="55"/>
      <c r="G355" s="55"/>
      <c r="H355" s="55"/>
    </row>
    <row r="356">
      <c r="A356" s="55"/>
      <c r="B356" s="55"/>
      <c r="C356" s="55"/>
      <c r="D356" s="55"/>
      <c r="E356" s="55"/>
      <c r="F356" s="55"/>
      <c r="G356" s="55"/>
      <c r="H356" s="55"/>
    </row>
    <row r="357">
      <c r="A357" s="55"/>
      <c r="B357" s="55"/>
      <c r="C357" s="55"/>
      <c r="D357" s="55"/>
      <c r="E357" s="55"/>
      <c r="F357" s="55"/>
      <c r="G357" s="55"/>
      <c r="H357" s="55"/>
    </row>
    <row r="358">
      <c r="A358" s="55"/>
      <c r="B358" s="55"/>
      <c r="C358" s="55"/>
      <c r="D358" s="55"/>
      <c r="E358" s="55"/>
      <c r="F358" s="55"/>
      <c r="G358" s="55"/>
      <c r="H358" s="55"/>
    </row>
    <row r="359">
      <c r="A359" s="55"/>
      <c r="B359" s="55"/>
      <c r="C359" s="55"/>
      <c r="D359" s="55"/>
      <c r="E359" s="55"/>
      <c r="F359" s="55"/>
      <c r="G359" s="55"/>
      <c r="H359" s="55"/>
    </row>
    <row r="360">
      <c r="A360" s="55"/>
      <c r="B360" s="55"/>
      <c r="C360" s="55"/>
      <c r="D360" s="55"/>
      <c r="E360" s="55"/>
      <c r="F360" s="55"/>
      <c r="G360" s="55"/>
      <c r="H360" s="55"/>
    </row>
    <row r="361">
      <c r="A361" s="55"/>
      <c r="B361" s="55"/>
      <c r="C361" s="55"/>
      <c r="D361" s="55"/>
      <c r="E361" s="55"/>
      <c r="F361" s="55"/>
      <c r="G361" s="55"/>
      <c r="H361" s="55"/>
    </row>
    <row r="362">
      <c r="A362" s="55"/>
      <c r="B362" s="55"/>
      <c r="C362" s="55"/>
      <c r="D362" s="55"/>
      <c r="E362" s="55"/>
      <c r="F362" s="55"/>
      <c r="G362" s="55"/>
      <c r="H362" s="55"/>
    </row>
    <row r="363">
      <c r="A363" s="55"/>
      <c r="B363" s="55"/>
      <c r="C363" s="55"/>
      <c r="D363" s="55"/>
      <c r="E363" s="55"/>
      <c r="F363" s="55"/>
      <c r="G363" s="55"/>
      <c r="H363" s="55"/>
    </row>
    <row r="364">
      <c r="A364" s="55"/>
      <c r="B364" s="55"/>
      <c r="C364" s="55"/>
      <c r="D364" s="55"/>
      <c r="E364" s="55"/>
      <c r="F364" s="55"/>
      <c r="G364" s="55"/>
      <c r="H364" s="55"/>
    </row>
    <row r="365">
      <c r="A365" s="55"/>
      <c r="B365" s="55"/>
      <c r="C365" s="55"/>
      <c r="D365" s="55"/>
      <c r="E365" s="55"/>
      <c r="F365" s="55"/>
      <c r="G365" s="55"/>
      <c r="H365" s="55"/>
    </row>
    <row r="366">
      <c r="A366" s="55"/>
      <c r="B366" s="55"/>
      <c r="C366" s="55"/>
      <c r="D366" s="55"/>
      <c r="E366" s="55"/>
      <c r="F366" s="55"/>
      <c r="G366" s="55"/>
      <c r="H366" s="55"/>
    </row>
    <row r="367">
      <c r="A367" s="55"/>
      <c r="B367" s="55"/>
      <c r="C367" s="55"/>
      <c r="D367" s="55"/>
      <c r="E367" s="55"/>
      <c r="F367" s="55"/>
      <c r="G367" s="55"/>
      <c r="H367" s="55"/>
    </row>
    <row r="368">
      <c r="A368" s="55"/>
      <c r="B368" s="55"/>
      <c r="C368" s="55"/>
      <c r="D368" s="55"/>
      <c r="E368" s="55"/>
      <c r="F368" s="55"/>
      <c r="G368" s="55"/>
      <c r="H368" s="55"/>
    </row>
    <row r="369">
      <c r="A369" s="55"/>
      <c r="B369" s="55"/>
      <c r="C369" s="55"/>
      <c r="D369" s="55"/>
      <c r="E369" s="55"/>
      <c r="F369" s="55"/>
      <c r="G369" s="55"/>
      <c r="H369" s="55"/>
    </row>
    <row r="370">
      <c r="A370" s="55"/>
      <c r="B370" s="55"/>
      <c r="C370" s="55"/>
      <c r="D370" s="55"/>
      <c r="E370" s="55"/>
      <c r="F370" s="55"/>
      <c r="G370" s="55"/>
      <c r="H370" s="55"/>
    </row>
    <row r="371">
      <c r="A371" s="55"/>
      <c r="B371" s="55"/>
      <c r="C371" s="55"/>
      <c r="D371" s="55"/>
      <c r="E371" s="55"/>
      <c r="F371" s="55"/>
      <c r="G371" s="55"/>
      <c r="H371" s="55"/>
    </row>
    <row r="372">
      <c r="A372" s="55"/>
      <c r="B372" s="55"/>
      <c r="C372" s="55"/>
      <c r="D372" s="55"/>
      <c r="E372" s="55"/>
      <c r="F372" s="55"/>
      <c r="G372" s="55"/>
      <c r="H372" s="55"/>
    </row>
    <row r="373">
      <c r="A373" s="55"/>
      <c r="B373" s="55"/>
      <c r="C373" s="55"/>
      <c r="D373" s="55"/>
      <c r="E373" s="55"/>
      <c r="F373" s="55"/>
      <c r="G373" s="55"/>
      <c r="H373" s="55"/>
    </row>
    <row r="374">
      <c r="A374" s="55"/>
      <c r="B374" s="55"/>
      <c r="C374" s="55"/>
      <c r="D374" s="55"/>
      <c r="E374" s="55"/>
      <c r="F374" s="55"/>
      <c r="G374" s="55"/>
      <c r="H374" s="55"/>
    </row>
    <row r="375">
      <c r="A375" s="55"/>
      <c r="B375" s="55"/>
      <c r="C375" s="55"/>
      <c r="D375" s="55"/>
      <c r="E375" s="55"/>
      <c r="F375" s="55"/>
      <c r="G375" s="55"/>
      <c r="H375" s="55"/>
    </row>
    <row r="376">
      <c r="A376" s="55"/>
      <c r="B376" s="55"/>
      <c r="C376" s="55"/>
      <c r="D376" s="55"/>
      <c r="E376" s="55"/>
      <c r="F376" s="55"/>
      <c r="G376" s="55"/>
      <c r="H376" s="55"/>
    </row>
    <row r="377">
      <c r="A377" s="55"/>
      <c r="B377" s="55"/>
      <c r="C377" s="55"/>
      <c r="D377" s="55"/>
      <c r="E377" s="55"/>
      <c r="F377" s="55"/>
      <c r="G377" s="55"/>
      <c r="H377" s="55"/>
    </row>
    <row r="378">
      <c r="A378" s="55"/>
      <c r="B378" s="55"/>
      <c r="C378" s="55"/>
      <c r="D378" s="55"/>
      <c r="E378" s="55"/>
      <c r="F378" s="55"/>
      <c r="G378" s="55"/>
      <c r="H378" s="55"/>
    </row>
    <row r="379">
      <c r="A379" s="55"/>
      <c r="B379" s="55"/>
      <c r="C379" s="55"/>
      <c r="D379" s="55"/>
      <c r="E379" s="55"/>
      <c r="F379" s="55"/>
      <c r="G379" s="55"/>
      <c r="H379" s="55"/>
    </row>
    <row r="380">
      <c r="A380" s="55"/>
      <c r="B380" s="55"/>
      <c r="C380" s="55"/>
      <c r="D380" s="55"/>
      <c r="E380" s="55"/>
      <c r="F380" s="55"/>
      <c r="G380" s="55"/>
      <c r="H380" s="55"/>
    </row>
    <row r="381">
      <c r="A381" s="55"/>
      <c r="B381" s="55"/>
      <c r="C381" s="55"/>
      <c r="D381" s="55"/>
      <c r="E381" s="55"/>
      <c r="F381" s="55"/>
      <c r="G381" s="55"/>
      <c r="H381" s="55"/>
    </row>
    <row r="382">
      <c r="A382" s="55"/>
      <c r="B382" s="55"/>
      <c r="C382" s="55"/>
      <c r="D382" s="55"/>
      <c r="E382" s="55"/>
      <c r="F382" s="55"/>
      <c r="G382" s="55"/>
      <c r="H382" s="55"/>
    </row>
    <row r="383">
      <c r="A383" s="55"/>
      <c r="B383" s="55"/>
      <c r="C383" s="55"/>
      <c r="D383" s="55"/>
      <c r="E383" s="55"/>
      <c r="F383" s="55"/>
      <c r="G383" s="55"/>
      <c r="H383" s="55"/>
    </row>
    <row r="384">
      <c r="A384" s="55"/>
      <c r="B384" s="55"/>
      <c r="C384" s="55"/>
      <c r="D384" s="55"/>
      <c r="E384" s="55"/>
      <c r="F384" s="55"/>
      <c r="G384" s="55"/>
      <c r="H384" s="55"/>
    </row>
    <row r="385">
      <c r="A385" s="55"/>
      <c r="B385" s="55"/>
      <c r="C385" s="55"/>
      <c r="D385" s="55"/>
      <c r="E385" s="55"/>
      <c r="F385" s="55"/>
      <c r="G385" s="55"/>
      <c r="H385" s="55"/>
    </row>
    <row r="386">
      <c r="A386" s="55"/>
      <c r="B386" s="55"/>
      <c r="C386" s="55"/>
      <c r="D386" s="55"/>
      <c r="E386" s="55"/>
      <c r="F386" s="55"/>
      <c r="G386" s="55"/>
      <c r="H386" s="55"/>
    </row>
    <row r="387">
      <c r="A387" s="55"/>
      <c r="B387" s="55"/>
      <c r="C387" s="55"/>
      <c r="D387" s="55"/>
      <c r="E387" s="55"/>
      <c r="F387" s="55"/>
      <c r="G387" s="55"/>
      <c r="H387" s="55"/>
    </row>
    <row r="388">
      <c r="A388" s="55"/>
      <c r="B388" s="55"/>
      <c r="C388" s="55"/>
      <c r="D388" s="55"/>
      <c r="E388" s="55"/>
      <c r="F388" s="55"/>
      <c r="G388" s="55"/>
      <c r="H388" s="55"/>
    </row>
    <row r="389">
      <c r="A389" s="55"/>
      <c r="B389" s="55"/>
      <c r="C389" s="55"/>
      <c r="D389" s="55"/>
      <c r="E389" s="55"/>
      <c r="F389" s="55"/>
      <c r="G389" s="55"/>
      <c r="H389" s="55"/>
    </row>
    <row r="390">
      <c r="A390" s="55"/>
      <c r="B390" s="55"/>
      <c r="C390" s="55"/>
      <c r="D390" s="55"/>
      <c r="E390" s="55"/>
      <c r="F390" s="55"/>
      <c r="G390" s="55"/>
      <c r="H390" s="55"/>
    </row>
    <row r="391">
      <c r="A391" s="55"/>
      <c r="B391" s="55"/>
      <c r="C391" s="55"/>
      <c r="D391" s="55"/>
      <c r="E391" s="55"/>
      <c r="F391" s="55"/>
      <c r="G391" s="55"/>
      <c r="H391" s="55"/>
    </row>
    <row r="392">
      <c r="A392" s="55"/>
      <c r="B392" s="55"/>
      <c r="C392" s="55"/>
      <c r="D392" s="55"/>
      <c r="E392" s="55"/>
      <c r="F392" s="55"/>
      <c r="G392" s="55"/>
      <c r="H392" s="55"/>
    </row>
    <row r="393">
      <c r="A393" s="55"/>
      <c r="B393" s="55"/>
      <c r="C393" s="55"/>
      <c r="D393" s="55"/>
      <c r="E393" s="55"/>
      <c r="F393" s="55"/>
      <c r="G393" s="55"/>
      <c r="H393" s="55"/>
    </row>
    <row r="394">
      <c r="A394" s="55"/>
      <c r="B394" s="55"/>
      <c r="C394" s="55"/>
      <c r="D394" s="55"/>
      <c r="E394" s="55"/>
      <c r="F394" s="55"/>
      <c r="G394" s="55"/>
      <c r="H394" s="55"/>
    </row>
    <row r="395">
      <c r="A395" s="55"/>
      <c r="B395" s="55"/>
      <c r="C395" s="55"/>
      <c r="D395" s="55"/>
      <c r="E395" s="55"/>
      <c r="F395" s="55"/>
      <c r="G395" s="55"/>
      <c r="H395" s="55"/>
    </row>
    <row r="396">
      <c r="A396" s="55"/>
      <c r="B396" s="55"/>
      <c r="C396" s="55"/>
      <c r="D396" s="55"/>
      <c r="E396" s="55"/>
      <c r="F396" s="55"/>
      <c r="G396" s="55"/>
      <c r="H396" s="55"/>
    </row>
    <row r="397">
      <c r="A397" s="55"/>
      <c r="B397" s="55"/>
      <c r="C397" s="55"/>
      <c r="D397" s="55"/>
      <c r="E397" s="55"/>
      <c r="F397" s="55"/>
      <c r="G397" s="55"/>
      <c r="H397" s="55"/>
    </row>
    <row r="398">
      <c r="A398" s="55"/>
      <c r="B398" s="55"/>
      <c r="C398" s="55"/>
      <c r="D398" s="55"/>
      <c r="E398" s="55"/>
      <c r="F398" s="55"/>
      <c r="G398" s="55"/>
      <c r="H398" s="55"/>
    </row>
    <row r="399">
      <c r="A399" s="55"/>
      <c r="B399" s="55"/>
      <c r="C399" s="55"/>
      <c r="D399" s="55"/>
      <c r="E399" s="55"/>
      <c r="F399" s="55"/>
      <c r="G399" s="55"/>
      <c r="H399" s="55"/>
    </row>
    <row r="400">
      <c r="A400" s="55"/>
      <c r="B400" s="55"/>
      <c r="C400" s="55"/>
      <c r="D400" s="55"/>
      <c r="E400" s="55"/>
      <c r="F400" s="55"/>
      <c r="G400" s="55"/>
      <c r="H400" s="55"/>
    </row>
    <row r="401">
      <c r="A401" s="55"/>
      <c r="B401" s="55"/>
      <c r="C401" s="55"/>
      <c r="D401" s="55"/>
      <c r="E401" s="55"/>
      <c r="F401" s="55"/>
      <c r="G401" s="55"/>
      <c r="H401" s="55"/>
    </row>
    <row r="402">
      <c r="A402" s="55"/>
      <c r="B402" s="55"/>
      <c r="C402" s="55"/>
      <c r="D402" s="55"/>
      <c r="E402" s="55"/>
      <c r="F402" s="55"/>
      <c r="G402" s="55"/>
      <c r="H402" s="55"/>
    </row>
    <row r="403">
      <c r="A403" s="55"/>
      <c r="B403" s="55"/>
      <c r="C403" s="55"/>
      <c r="D403" s="55"/>
      <c r="E403" s="55"/>
      <c r="F403" s="55"/>
      <c r="G403" s="55"/>
      <c r="H403" s="55"/>
    </row>
    <row r="404">
      <c r="A404" s="55"/>
      <c r="B404" s="55"/>
      <c r="C404" s="55"/>
      <c r="D404" s="55"/>
      <c r="E404" s="55"/>
      <c r="F404" s="55"/>
      <c r="G404" s="55"/>
      <c r="H404" s="55"/>
    </row>
    <row r="405">
      <c r="A405" s="55"/>
      <c r="B405" s="55"/>
      <c r="C405" s="55"/>
      <c r="D405" s="55"/>
      <c r="E405" s="55"/>
      <c r="F405" s="55"/>
      <c r="G405" s="55"/>
      <c r="H405" s="55"/>
    </row>
    <row r="406">
      <c r="A406" s="55"/>
      <c r="B406" s="55"/>
      <c r="C406" s="55"/>
      <c r="D406" s="55"/>
      <c r="E406" s="55"/>
      <c r="F406" s="55"/>
      <c r="G406" s="55"/>
      <c r="H406" s="55"/>
    </row>
    <row r="407">
      <c r="A407" s="55"/>
      <c r="B407" s="55"/>
      <c r="C407" s="55"/>
      <c r="D407" s="55"/>
      <c r="E407" s="55"/>
      <c r="F407" s="55"/>
      <c r="G407" s="55"/>
      <c r="H407" s="55"/>
    </row>
    <row r="408">
      <c r="A408" s="55"/>
      <c r="B408" s="55"/>
      <c r="C408" s="55"/>
      <c r="D408" s="55"/>
      <c r="E408" s="55"/>
      <c r="F408" s="55"/>
      <c r="G408" s="55"/>
      <c r="H408" s="55"/>
    </row>
    <row r="409">
      <c r="A409" s="55"/>
      <c r="B409" s="55"/>
      <c r="C409" s="55"/>
      <c r="D409" s="55"/>
      <c r="E409" s="55"/>
      <c r="F409" s="55"/>
      <c r="G409" s="55"/>
      <c r="H409" s="55"/>
    </row>
    <row r="410">
      <c r="A410" s="55"/>
      <c r="B410" s="55"/>
      <c r="C410" s="55"/>
      <c r="D410" s="55"/>
      <c r="E410" s="55"/>
      <c r="F410" s="55"/>
      <c r="G410" s="55"/>
      <c r="H410" s="55"/>
    </row>
    <row r="411">
      <c r="A411" s="55"/>
      <c r="B411" s="55"/>
      <c r="C411" s="55"/>
      <c r="D411" s="55"/>
      <c r="E411" s="55"/>
      <c r="F411" s="55"/>
      <c r="G411" s="55"/>
      <c r="H411" s="55"/>
    </row>
    <row r="412">
      <c r="A412" s="55"/>
      <c r="B412" s="55"/>
      <c r="C412" s="55"/>
      <c r="D412" s="55"/>
      <c r="E412" s="55"/>
      <c r="F412" s="55"/>
      <c r="G412" s="55"/>
      <c r="H412" s="55"/>
    </row>
    <row r="413">
      <c r="A413" s="55"/>
      <c r="B413" s="55"/>
      <c r="C413" s="55"/>
      <c r="D413" s="55"/>
      <c r="E413" s="55"/>
      <c r="F413" s="55"/>
      <c r="G413" s="55"/>
      <c r="H413" s="55"/>
    </row>
    <row r="414">
      <c r="A414" s="55"/>
      <c r="B414" s="55"/>
      <c r="C414" s="55"/>
      <c r="D414" s="55"/>
      <c r="E414" s="55"/>
      <c r="F414" s="55"/>
      <c r="G414" s="55"/>
      <c r="H414" s="55"/>
    </row>
    <row r="415">
      <c r="A415" s="55"/>
      <c r="B415" s="55"/>
      <c r="C415" s="55"/>
      <c r="D415" s="55"/>
      <c r="E415" s="55"/>
      <c r="F415" s="55"/>
      <c r="G415" s="55"/>
      <c r="H415" s="55"/>
    </row>
    <row r="416">
      <c r="A416" s="55"/>
      <c r="B416" s="55"/>
      <c r="C416" s="55"/>
      <c r="D416" s="55"/>
      <c r="E416" s="55"/>
      <c r="F416" s="55"/>
      <c r="G416" s="55"/>
      <c r="H416" s="55"/>
    </row>
    <row r="417">
      <c r="A417" s="55"/>
      <c r="B417" s="55"/>
      <c r="C417" s="55"/>
      <c r="D417" s="55"/>
      <c r="E417" s="55"/>
      <c r="F417" s="55"/>
      <c r="G417" s="55"/>
      <c r="H417" s="55"/>
    </row>
    <row r="418">
      <c r="A418" s="55"/>
      <c r="B418" s="55"/>
      <c r="C418" s="55"/>
      <c r="D418" s="55"/>
      <c r="E418" s="55"/>
      <c r="F418" s="55"/>
      <c r="G418" s="55"/>
      <c r="H418" s="55"/>
    </row>
    <row r="419">
      <c r="A419" s="55"/>
      <c r="B419" s="55"/>
      <c r="C419" s="55"/>
      <c r="D419" s="55"/>
      <c r="E419" s="55"/>
      <c r="F419" s="55"/>
      <c r="G419" s="55"/>
      <c r="H419" s="55"/>
    </row>
    <row r="420">
      <c r="A420" s="55"/>
      <c r="B420" s="55"/>
      <c r="C420" s="55"/>
      <c r="D420" s="55"/>
      <c r="E420" s="55"/>
      <c r="F420" s="55"/>
      <c r="G420" s="55"/>
      <c r="H420" s="55"/>
    </row>
    <row r="421">
      <c r="A421" s="55"/>
      <c r="B421" s="55"/>
      <c r="C421" s="55"/>
      <c r="D421" s="55"/>
      <c r="E421" s="55"/>
      <c r="F421" s="55"/>
      <c r="G421" s="55"/>
      <c r="H421" s="55"/>
    </row>
    <row r="422">
      <c r="A422" s="55"/>
      <c r="B422" s="55"/>
      <c r="C422" s="55"/>
      <c r="D422" s="55"/>
      <c r="E422" s="55"/>
      <c r="F422" s="55"/>
      <c r="G422" s="55"/>
      <c r="H422" s="55"/>
    </row>
    <row r="423">
      <c r="A423" s="55"/>
      <c r="B423" s="55"/>
      <c r="C423" s="55"/>
      <c r="D423" s="55"/>
      <c r="E423" s="55"/>
      <c r="F423" s="55"/>
      <c r="G423" s="55"/>
      <c r="H423" s="55"/>
    </row>
    <row r="424">
      <c r="A424" s="55"/>
      <c r="B424" s="55"/>
      <c r="C424" s="55"/>
      <c r="D424" s="55"/>
      <c r="E424" s="55"/>
      <c r="F424" s="55"/>
      <c r="G424" s="55"/>
      <c r="H424" s="55"/>
    </row>
    <row r="425">
      <c r="A425" s="55"/>
      <c r="B425" s="55"/>
      <c r="C425" s="55"/>
      <c r="D425" s="55"/>
      <c r="E425" s="55"/>
      <c r="F425" s="55"/>
      <c r="G425" s="55"/>
      <c r="H425" s="55"/>
    </row>
    <row r="426">
      <c r="A426" s="55"/>
      <c r="B426" s="55"/>
      <c r="C426" s="55"/>
      <c r="D426" s="55"/>
      <c r="E426" s="55"/>
      <c r="F426" s="55"/>
      <c r="G426" s="55"/>
      <c r="H426" s="55"/>
    </row>
    <row r="427">
      <c r="A427" s="55"/>
      <c r="B427" s="55"/>
      <c r="C427" s="55"/>
      <c r="D427" s="55"/>
      <c r="E427" s="55"/>
      <c r="F427" s="55"/>
      <c r="G427" s="55"/>
      <c r="H427" s="55"/>
    </row>
    <row r="428">
      <c r="A428" s="55"/>
      <c r="B428" s="55"/>
      <c r="C428" s="55"/>
      <c r="D428" s="55"/>
      <c r="E428" s="55"/>
      <c r="F428" s="55"/>
      <c r="G428" s="55"/>
      <c r="H428" s="55"/>
    </row>
    <row r="429">
      <c r="A429" s="55"/>
      <c r="B429" s="55"/>
      <c r="C429" s="55"/>
      <c r="D429" s="55"/>
      <c r="E429" s="55"/>
      <c r="F429" s="55"/>
      <c r="G429" s="55"/>
      <c r="H429" s="55"/>
    </row>
    <row r="430">
      <c r="A430" s="55"/>
      <c r="B430" s="55"/>
      <c r="C430" s="55"/>
      <c r="D430" s="55"/>
      <c r="E430" s="55"/>
      <c r="F430" s="55"/>
      <c r="G430" s="55"/>
      <c r="H430" s="55"/>
    </row>
    <row r="431">
      <c r="A431" s="55"/>
      <c r="B431" s="55"/>
      <c r="C431" s="55"/>
      <c r="D431" s="55"/>
      <c r="E431" s="55"/>
      <c r="F431" s="55"/>
      <c r="G431" s="55"/>
      <c r="H431" s="55"/>
    </row>
    <row r="432">
      <c r="A432" s="55"/>
      <c r="B432" s="55"/>
      <c r="C432" s="55"/>
      <c r="D432" s="55"/>
      <c r="E432" s="55"/>
      <c r="F432" s="55"/>
      <c r="G432" s="55"/>
      <c r="H432" s="55"/>
    </row>
    <row r="433">
      <c r="A433" s="55"/>
      <c r="B433" s="55"/>
      <c r="C433" s="55"/>
      <c r="D433" s="55"/>
      <c r="E433" s="55"/>
      <c r="F433" s="55"/>
      <c r="G433" s="55"/>
      <c r="H433" s="55"/>
    </row>
    <row r="434">
      <c r="A434" s="55"/>
      <c r="B434" s="55"/>
      <c r="C434" s="55"/>
      <c r="D434" s="55"/>
      <c r="E434" s="55"/>
      <c r="F434" s="55"/>
      <c r="G434" s="55"/>
      <c r="H434" s="55"/>
    </row>
    <row r="435">
      <c r="A435" s="55"/>
      <c r="B435" s="55"/>
      <c r="C435" s="55"/>
      <c r="D435" s="55"/>
      <c r="E435" s="55"/>
      <c r="F435" s="55"/>
      <c r="G435" s="55"/>
      <c r="H435" s="55"/>
    </row>
    <row r="436">
      <c r="A436" s="55"/>
      <c r="B436" s="55"/>
      <c r="C436" s="55"/>
      <c r="D436" s="55"/>
      <c r="E436" s="55"/>
      <c r="F436" s="55"/>
      <c r="G436" s="55"/>
      <c r="H436" s="55"/>
    </row>
    <row r="437">
      <c r="A437" s="55"/>
      <c r="B437" s="55"/>
      <c r="C437" s="55"/>
      <c r="D437" s="55"/>
      <c r="E437" s="55"/>
      <c r="F437" s="55"/>
      <c r="G437" s="55"/>
      <c r="H437" s="55"/>
    </row>
    <row r="438">
      <c r="A438" s="55"/>
      <c r="B438" s="55"/>
      <c r="C438" s="55"/>
      <c r="D438" s="55"/>
      <c r="E438" s="55"/>
      <c r="F438" s="55"/>
      <c r="G438" s="55"/>
      <c r="H438" s="55"/>
    </row>
    <row r="439">
      <c r="A439" s="55"/>
      <c r="B439" s="55"/>
      <c r="C439" s="55"/>
      <c r="D439" s="55"/>
      <c r="E439" s="55"/>
      <c r="F439" s="55"/>
      <c r="G439" s="55"/>
      <c r="H439" s="55"/>
    </row>
    <row r="440">
      <c r="A440" s="55"/>
      <c r="B440" s="55"/>
      <c r="C440" s="55"/>
      <c r="D440" s="55"/>
      <c r="E440" s="55"/>
      <c r="F440" s="55"/>
      <c r="G440" s="55"/>
      <c r="H440" s="55"/>
    </row>
    <row r="441">
      <c r="A441" s="55"/>
      <c r="B441" s="55"/>
      <c r="C441" s="55"/>
      <c r="D441" s="55"/>
      <c r="E441" s="55"/>
      <c r="F441" s="55"/>
      <c r="G441" s="55"/>
      <c r="H441" s="55"/>
    </row>
    <row r="442">
      <c r="A442" s="55"/>
      <c r="B442" s="55"/>
      <c r="C442" s="55"/>
      <c r="D442" s="55"/>
      <c r="E442" s="55"/>
      <c r="F442" s="55"/>
      <c r="G442" s="55"/>
      <c r="H442" s="55"/>
    </row>
    <row r="443">
      <c r="A443" s="55"/>
      <c r="B443" s="55"/>
      <c r="C443" s="55"/>
      <c r="D443" s="55"/>
      <c r="E443" s="55"/>
      <c r="F443" s="55"/>
      <c r="G443" s="55"/>
      <c r="H443" s="55"/>
    </row>
    <row r="444">
      <c r="A444" s="55"/>
      <c r="B444" s="55"/>
      <c r="C444" s="55"/>
      <c r="D444" s="55"/>
      <c r="E444" s="55"/>
      <c r="F444" s="55"/>
      <c r="G444" s="55"/>
      <c r="H444" s="55"/>
    </row>
    <row r="445">
      <c r="A445" s="55"/>
      <c r="B445" s="55"/>
      <c r="C445" s="55"/>
      <c r="D445" s="55"/>
      <c r="E445" s="55"/>
      <c r="F445" s="55"/>
      <c r="G445" s="55"/>
      <c r="H445" s="55"/>
    </row>
    <row r="446">
      <c r="A446" s="55"/>
      <c r="B446" s="55"/>
      <c r="C446" s="55"/>
      <c r="D446" s="55"/>
      <c r="E446" s="55"/>
      <c r="F446" s="55"/>
      <c r="G446" s="55"/>
      <c r="H446" s="55"/>
    </row>
    <row r="447">
      <c r="A447" s="55"/>
      <c r="B447" s="55"/>
      <c r="C447" s="55"/>
      <c r="D447" s="55"/>
      <c r="E447" s="55"/>
      <c r="F447" s="55"/>
      <c r="G447" s="55"/>
      <c r="H447" s="55"/>
    </row>
    <row r="448">
      <c r="A448" s="55"/>
      <c r="B448" s="55"/>
      <c r="C448" s="55"/>
      <c r="D448" s="55"/>
      <c r="E448" s="55"/>
      <c r="F448" s="55"/>
      <c r="G448" s="55"/>
      <c r="H448" s="55"/>
    </row>
    <row r="449">
      <c r="A449" s="55"/>
      <c r="B449" s="55"/>
      <c r="C449" s="55"/>
      <c r="D449" s="55"/>
      <c r="E449" s="55"/>
      <c r="F449" s="55"/>
      <c r="G449" s="55"/>
      <c r="H449" s="55"/>
    </row>
    <row r="450">
      <c r="A450" s="55"/>
      <c r="B450" s="55"/>
      <c r="C450" s="55"/>
      <c r="D450" s="55"/>
      <c r="E450" s="55"/>
      <c r="F450" s="55"/>
      <c r="G450" s="55"/>
      <c r="H450" s="55"/>
    </row>
    <row r="451">
      <c r="A451" s="55"/>
      <c r="B451" s="55"/>
      <c r="C451" s="55"/>
      <c r="D451" s="55"/>
      <c r="E451" s="55"/>
      <c r="F451" s="55"/>
      <c r="G451" s="55"/>
      <c r="H451" s="55"/>
    </row>
    <row r="452">
      <c r="A452" s="55"/>
      <c r="B452" s="55"/>
      <c r="C452" s="55"/>
      <c r="D452" s="55"/>
      <c r="E452" s="55"/>
      <c r="F452" s="55"/>
      <c r="G452" s="55"/>
      <c r="H452" s="55"/>
    </row>
    <row r="453">
      <c r="A453" s="55"/>
      <c r="B453" s="55"/>
      <c r="C453" s="55"/>
      <c r="D453" s="55"/>
      <c r="E453" s="55"/>
      <c r="F453" s="55"/>
      <c r="G453" s="55"/>
      <c r="H453" s="55"/>
    </row>
    <row r="454">
      <c r="A454" s="55"/>
      <c r="B454" s="55"/>
      <c r="C454" s="55"/>
      <c r="D454" s="55"/>
      <c r="E454" s="55"/>
      <c r="F454" s="55"/>
      <c r="G454" s="55"/>
      <c r="H454" s="55"/>
    </row>
    <row r="455">
      <c r="A455" s="55"/>
      <c r="B455" s="55"/>
      <c r="C455" s="55"/>
      <c r="D455" s="55"/>
      <c r="E455" s="55"/>
      <c r="F455" s="55"/>
      <c r="G455" s="55"/>
      <c r="H455" s="55"/>
    </row>
    <row r="456">
      <c r="A456" s="55"/>
      <c r="B456" s="55"/>
      <c r="C456" s="55"/>
      <c r="D456" s="55"/>
      <c r="E456" s="55"/>
      <c r="F456" s="55"/>
      <c r="G456" s="55"/>
      <c r="H456" s="55"/>
    </row>
    <row r="457">
      <c r="A457" s="55"/>
      <c r="B457" s="55"/>
      <c r="C457" s="55"/>
      <c r="D457" s="55"/>
      <c r="E457" s="55"/>
      <c r="F457" s="55"/>
      <c r="G457" s="55"/>
      <c r="H457" s="55"/>
    </row>
    <row r="458">
      <c r="A458" s="55"/>
      <c r="B458" s="55"/>
      <c r="C458" s="55"/>
      <c r="D458" s="55"/>
      <c r="E458" s="55"/>
      <c r="F458" s="55"/>
      <c r="G458" s="55"/>
      <c r="H458" s="55"/>
    </row>
    <row r="459">
      <c r="A459" s="55"/>
      <c r="B459" s="55"/>
      <c r="C459" s="55"/>
      <c r="D459" s="55"/>
      <c r="E459" s="55"/>
      <c r="F459" s="55"/>
      <c r="G459" s="55"/>
      <c r="H459" s="55"/>
    </row>
    <row r="460">
      <c r="A460" s="55"/>
      <c r="B460" s="55"/>
      <c r="C460" s="55"/>
      <c r="D460" s="55"/>
      <c r="E460" s="55"/>
      <c r="F460" s="55"/>
      <c r="G460" s="55"/>
      <c r="H460" s="55"/>
    </row>
    <row r="461">
      <c r="A461" s="55"/>
      <c r="B461" s="55"/>
      <c r="C461" s="55"/>
      <c r="D461" s="55"/>
      <c r="E461" s="55"/>
      <c r="F461" s="55"/>
      <c r="G461" s="55"/>
      <c r="H461" s="55"/>
    </row>
    <row r="462">
      <c r="A462" s="55"/>
      <c r="B462" s="55"/>
      <c r="C462" s="55"/>
      <c r="D462" s="55"/>
      <c r="E462" s="55"/>
      <c r="F462" s="55"/>
      <c r="G462" s="55"/>
      <c r="H462" s="55"/>
    </row>
    <row r="463">
      <c r="A463" s="55"/>
      <c r="B463" s="55"/>
      <c r="C463" s="55"/>
      <c r="D463" s="55"/>
      <c r="E463" s="55"/>
      <c r="F463" s="55"/>
      <c r="G463" s="55"/>
      <c r="H463" s="55"/>
    </row>
    <row r="464">
      <c r="A464" s="55"/>
      <c r="B464" s="55"/>
      <c r="C464" s="55"/>
      <c r="D464" s="55"/>
      <c r="E464" s="55"/>
      <c r="F464" s="55"/>
      <c r="G464" s="55"/>
      <c r="H464" s="55"/>
    </row>
    <row r="465">
      <c r="A465" s="55"/>
      <c r="B465" s="55"/>
      <c r="C465" s="55"/>
      <c r="D465" s="55"/>
      <c r="E465" s="55"/>
      <c r="F465" s="55"/>
      <c r="G465" s="55"/>
      <c r="H465" s="55"/>
    </row>
    <row r="466">
      <c r="A466" s="55"/>
      <c r="B466" s="55"/>
      <c r="C466" s="55"/>
      <c r="D466" s="55"/>
      <c r="E466" s="55"/>
      <c r="F466" s="55"/>
      <c r="G466" s="55"/>
      <c r="H466" s="55"/>
    </row>
    <row r="467">
      <c r="A467" s="55"/>
      <c r="B467" s="55"/>
      <c r="C467" s="55"/>
      <c r="D467" s="55"/>
      <c r="E467" s="55"/>
      <c r="F467" s="55"/>
      <c r="G467" s="55"/>
      <c r="H467" s="55"/>
    </row>
    <row r="468">
      <c r="A468" s="55"/>
      <c r="B468" s="55"/>
      <c r="C468" s="55"/>
      <c r="D468" s="55"/>
      <c r="E468" s="55"/>
      <c r="F468" s="55"/>
      <c r="G468" s="55"/>
      <c r="H468" s="55"/>
    </row>
    <row r="469">
      <c r="A469" s="55"/>
      <c r="B469" s="55"/>
      <c r="C469" s="55"/>
      <c r="D469" s="55"/>
      <c r="E469" s="55"/>
      <c r="F469" s="55"/>
      <c r="G469" s="55"/>
      <c r="H469" s="55"/>
    </row>
    <row r="470">
      <c r="A470" s="55"/>
      <c r="B470" s="55"/>
      <c r="C470" s="55"/>
      <c r="D470" s="55"/>
      <c r="E470" s="55"/>
      <c r="F470" s="55"/>
      <c r="G470" s="55"/>
      <c r="H470" s="55"/>
    </row>
    <row r="471">
      <c r="A471" s="55"/>
      <c r="B471" s="55"/>
      <c r="C471" s="55"/>
      <c r="D471" s="55"/>
      <c r="E471" s="55"/>
      <c r="F471" s="55"/>
      <c r="G471" s="55"/>
      <c r="H471" s="55"/>
    </row>
    <row r="472">
      <c r="A472" s="55"/>
      <c r="B472" s="55"/>
      <c r="C472" s="55"/>
      <c r="D472" s="55"/>
      <c r="E472" s="55"/>
      <c r="F472" s="55"/>
      <c r="G472" s="55"/>
      <c r="H472" s="55"/>
    </row>
    <row r="473">
      <c r="A473" s="55"/>
      <c r="B473" s="55"/>
      <c r="C473" s="55"/>
      <c r="D473" s="55"/>
      <c r="E473" s="55"/>
      <c r="F473" s="55"/>
      <c r="G473" s="55"/>
      <c r="H473" s="55"/>
    </row>
    <row r="474">
      <c r="A474" s="55"/>
      <c r="B474" s="55"/>
      <c r="C474" s="55"/>
      <c r="D474" s="55"/>
      <c r="E474" s="55"/>
      <c r="F474" s="55"/>
      <c r="G474" s="55"/>
      <c r="H474" s="55"/>
    </row>
    <row r="475">
      <c r="A475" s="55"/>
      <c r="B475" s="55"/>
      <c r="C475" s="55"/>
      <c r="D475" s="55"/>
      <c r="E475" s="55"/>
      <c r="F475" s="55"/>
      <c r="G475" s="55"/>
      <c r="H475" s="55"/>
    </row>
    <row r="476">
      <c r="A476" s="55"/>
      <c r="B476" s="55"/>
      <c r="C476" s="55"/>
      <c r="D476" s="55"/>
      <c r="E476" s="55"/>
      <c r="F476" s="55"/>
      <c r="G476" s="55"/>
      <c r="H476" s="55"/>
    </row>
    <row r="477">
      <c r="A477" s="55"/>
      <c r="B477" s="55"/>
      <c r="C477" s="55"/>
      <c r="D477" s="55"/>
      <c r="E477" s="55"/>
      <c r="F477" s="55"/>
      <c r="G477" s="55"/>
      <c r="H477" s="55"/>
    </row>
    <row r="478">
      <c r="A478" s="55"/>
      <c r="B478" s="55"/>
      <c r="C478" s="55"/>
      <c r="D478" s="55"/>
      <c r="E478" s="55"/>
      <c r="F478" s="55"/>
      <c r="G478" s="55"/>
      <c r="H478" s="55"/>
    </row>
    <row r="479">
      <c r="A479" s="55"/>
      <c r="B479" s="55"/>
      <c r="C479" s="55"/>
      <c r="D479" s="55"/>
      <c r="E479" s="55"/>
      <c r="F479" s="55"/>
      <c r="G479" s="55"/>
      <c r="H479" s="55"/>
    </row>
    <row r="480">
      <c r="A480" s="55"/>
      <c r="B480" s="55"/>
      <c r="C480" s="55"/>
      <c r="D480" s="55"/>
      <c r="E480" s="55"/>
      <c r="F480" s="55"/>
      <c r="G480" s="55"/>
      <c r="H480" s="55"/>
    </row>
    <row r="481">
      <c r="A481" s="55"/>
      <c r="B481" s="55"/>
      <c r="C481" s="55"/>
      <c r="D481" s="55"/>
      <c r="E481" s="55"/>
      <c r="F481" s="55"/>
      <c r="G481" s="55"/>
      <c r="H481" s="55"/>
    </row>
    <row r="482">
      <c r="A482" s="55"/>
      <c r="B482" s="55"/>
      <c r="C482" s="55"/>
      <c r="D482" s="55"/>
      <c r="E482" s="55"/>
      <c r="F482" s="55"/>
      <c r="G482" s="55"/>
      <c r="H482" s="55"/>
    </row>
    <row r="483">
      <c r="A483" s="55"/>
      <c r="B483" s="55"/>
      <c r="C483" s="55"/>
      <c r="D483" s="55"/>
      <c r="E483" s="55"/>
      <c r="F483" s="55"/>
      <c r="G483" s="55"/>
      <c r="H483" s="55"/>
    </row>
    <row r="484">
      <c r="A484" s="55"/>
      <c r="B484" s="55"/>
      <c r="C484" s="55"/>
      <c r="D484" s="55"/>
      <c r="E484" s="55"/>
      <c r="F484" s="55"/>
      <c r="G484" s="55"/>
      <c r="H484" s="55"/>
    </row>
    <row r="485">
      <c r="A485" s="55"/>
      <c r="B485" s="55"/>
      <c r="C485" s="55"/>
      <c r="D485" s="55"/>
      <c r="E485" s="55"/>
      <c r="F485" s="55"/>
      <c r="G485" s="55"/>
      <c r="H485" s="55"/>
    </row>
    <row r="486">
      <c r="A486" s="55"/>
      <c r="B486" s="55"/>
      <c r="C486" s="55"/>
      <c r="D486" s="55"/>
      <c r="E486" s="55"/>
      <c r="F486" s="55"/>
      <c r="G486" s="55"/>
      <c r="H486" s="55"/>
    </row>
    <row r="487">
      <c r="A487" s="55"/>
      <c r="B487" s="55"/>
      <c r="C487" s="55"/>
      <c r="D487" s="55"/>
      <c r="E487" s="55"/>
      <c r="F487" s="55"/>
      <c r="G487" s="55"/>
      <c r="H487" s="55"/>
    </row>
    <row r="488">
      <c r="A488" s="55"/>
      <c r="B488" s="55"/>
      <c r="C488" s="55"/>
      <c r="D488" s="55"/>
      <c r="E488" s="55"/>
      <c r="F488" s="55"/>
      <c r="G488" s="55"/>
      <c r="H488" s="55"/>
    </row>
    <row r="489">
      <c r="A489" s="55"/>
      <c r="B489" s="55"/>
      <c r="C489" s="55"/>
      <c r="D489" s="55"/>
      <c r="E489" s="55"/>
      <c r="F489" s="55"/>
      <c r="G489" s="55"/>
      <c r="H489" s="55"/>
    </row>
    <row r="490">
      <c r="A490" s="55"/>
      <c r="B490" s="55"/>
      <c r="C490" s="55"/>
      <c r="D490" s="55"/>
      <c r="E490" s="55"/>
      <c r="F490" s="55"/>
      <c r="G490" s="55"/>
      <c r="H490" s="55"/>
    </row>
    <row r="491">
      <c r="A491" s="55"/>
      <c r="B491" s="55"/>
      <c r="C491" s="55"/>
      <c r="D491" s="55"/>
      <c r="E491" s="55"/>
      <c r="F491" s="55"/>
      <c r="G491" s="55"/>
      <c r="H491" s="55"/>
    </row>
    <row r="492">
      <c r="A492" s="55"/>
      <c r="B492" s="55"/>
      <c r="C492" s="55"/>
      <c r="D492" s="55"/>
      <c r="E492" s="55"/>
      <c r="F492" s="55"/>
      <c r="G492" s="55"/>
      <c r="H492" s="55"/>
    </row>
    <row r="493">
      <c r="A493" s="55"/>
      <c r="B493" s="55"/>
      <c r="C493" s="55"/>
      <c r="D493" s="55"/>
      <c r="E493" s="55"/>
      <c r="F493" s="55"/>
      <c r="G493" s="55"/>
      <c r="H493" s="55"/>
    </row>
    <row r="494">
      <c r="A494" s="55"/>
      <c r="B494" s="55"/>
      <c r="C494" s="55"/>
      <c r="D494" s="55"/>
      <c r="E494" s="55"/>
      <c r="F494" s="55"/>
      <c r="G494" s="55"/>
      <c r="H494" s="55"/>
    </row>
    <row r="495">
      <c r="A495" s="55"/>
      <c r="B495" s="55"/>
      <c r="C495" s="55"/>
      <c r="D495" s="55"/>
      <c r="E495" s="55"/>
      <c r="F495" s="55"/>
      <c r="G495" s="55"/>
      <c r="H495" s="55"/>
    </row>
    <row r="496">
      <c r="A496" s="55"/>
      <c r="B496" s="55"/>
      <c r="C496" s="55"/>
      <c r="D496" s="55"/>
      <c r="E496" s="55"/>
      <c r="F496" s="55"/>
      <c r="G496" s="55"/>
      <c r="H496" s="55"/>
    </row>
    <row r="497">
      <c r="A497" s="55"/>
      <c r="B497" s="55"/>
      <c r="C497" s="55"/>
      <c r="D497" s="55"/>
      <c r="E497" s="55"/>
      <c r="F497" s="55"/>
      <c r="G497" s="55"/>
      <c r="H497" s="55"/>
    </row>
    <row r="498">
      <c r="A498" s="55"/>
      <c r="B498" s="55"/>
      <c r="C498" s="55"/>
      <c r="D498" s="55"/>
      <c r="E498" s="55"/>
      <c r="F498" s="55"/>
      <c r="G498" s="55"/>
      <c r="H498" s="55"/>
    </row>
    <row r="499">
      <c r="A499" s="55"/>
      <c r="B499" s="55"/>
      <c r="C499" s="55"/>
      <c r="D499" s="55"/>
      <c r="E499" s="55"/>
      <c r="F499" s="55"/>
      <c r="G499" s="55"/>
      <c r="H499" s="55"/>
    </row>
    <row r="500">
      <c r="A500" s="55"/>
      <c r="B500" s="55"/>
      <c r="C500" s="55"/>
      <c r="D500" s="55"/>
      <c r="E500" s="55"/>
      <c r="F500" s="55"/>
      <c r="G500" s="55"/>
      <c r="H500" s="55"/>
    </row>
    <row r="501">
      <c r="A501" s="55"/>
      <c r="B501" s="55"/>
      <c r="C501" s="55"/>
      <c r="D501" s="55"/>
      <c r="E501" s="55"/>
      <c r="F501" s="55"/>
      <c r="G501" s="55"/>
      <c r="H501" s="55"/>
    </row>
    <row r="502">
      <c r="A502" s="55"/>
      <c r="B502" s="55"/>
      <c r="C502" s="55"/>
      <c r="D502" s="55"/>
      <c r="E502" s="55"/>
      <c r="F502" s="55"/>
      <c r="G502" s="55"/>
      <c r="H502" s="55"/>
    </row>
    <row r="503">
      <c r="A503" s="55"/>
      <c r="B503" s="55"/>
      <c r="C503" s="55"/>
      <c r="D503" s="55"/>
      <c r="E503" s="55"/>
      <c r="F503" s="55"/>
      <c r="G503" s="55"/>
      <c r="H503" s="55"/>
    </row>
    <row r="504">
      <c r="A504" s="55"/>
      <c r="B504" s="55"/>
      <c r="C504" s="55"/>
      <c r="D504" s="55"/>
      <c r="E504" s="55"/>
      <c r="F504" s="55"/>
      <c r="G504" s="55"/>
      <c r="H504" s="55"/>
    </row>
    <row r="505">
      <c r="A505" s="55"/>
      <c r="B505" s="55"/>
      <c r="C505" s="55"/>
      <c r="D505" s="55"/>
      <c r="E505" s="55"/>
      <c r="F505" s="55"/>
      <c r="G505" s="55"/>
      <c r="H505" s="55"/>
    </row>
    <row r="506">
      <c r="A506" s="55"/>
      <c r="B506" s="55"/>
      <c r="C506" s="55"/>
      <c r="D506" s="55"/>
      <c r="E506" s="55"/>
      <c r="F506" s="55"/>
      <c r="G506" s="55"/>
      <c r="H506" s="55"/>
    </row>
    <row r="507">
      <c r="A507" s="55"/>
      <c r="B507" s="55"/>
      <c r="C507" s="55"/>
      <c r="D507" s="55"/>
      <c r="E507" s="55"/>
      <c r="F507" s="55"/>
      <c r="G507" s="55"/>
      <c r="H507" s="55"/>
    </row>
    <row r="508">
      <c r="A508" s="55"/>
      <c r="B508" s="55"/>
      <c r="C508" s="55"/>
      <c r="D508" s="55"/>
      <c r="E508" s="55"/>
      <c r="F508" s="55"/>
      <c r="G508" s="55"/>
      <c r="H508" s="55"/>
    </row>
    <row r="509">
      <c r="A509" s="55"/>
      <c r="B509" s="55"/>
      <c r="C509" s="55"/>
      <c r="D509" s="55"/>
      <c r="E509" s="55"/>
      <c r="F509" s="55"/>
      <c r="G509" s="55"/>
      <c r="H509" s="55"/>
    </row>
    <row r="510">
      <c r="A510" s="55"/>
      <c r="B510" s="55"/>
      <c r="C510" s="55"/>
      <c r="D510" s="55"/>
      <c r="E510" s="55"/>
      <c r="F510" s="55"/>
      <c r="G510" s="55"/>
      <c r="H510" s="55"/>
    </row>
    <row r="511">
      <c r="A511" s="55"/>
      <c r="B511" s="55"/>
      <c r="C511" s="55"/>
      <c r="D511" s="55"/>
      <c r="E511" s="55"/>
      <c r="F511" s="55"/>
      <c r="G511" s="55"/>
      <c r="H511" s="55"/>
    </row>
    <row r="512">
      <c r="A512" s="55"/>
      <c r="B512" s="55"/>
      <c r="C512" s="55"/>
      <c r="D512" s="55"/>
      <c r="E512" s="55"/>
      <c r="F512" s="55"/>
      <c r="G512" s="55"/>
      <c r="H512" s="55"/>
    </row>
    <row r="513">
      <c r="A513" s="55"/>
      <c r="B513" s="55"/>
      <c r="C513" s="55"/>
      <c r="D513" s="55"/>
      <c r="E513" s="55"/>
      <c r="F513" s="55"/>
      <c r="G513" s="55"/>
      <c r="H513" s="55"/>
    </row>
    <row r="514">
      <c r="A514" s="55"/>
      <c r="B514" s="55"/>
      <c r="C514" s="55"/>
      <c r="D514" s="55"/>
      <c r="E514" s="55"/>
      <c r="F514" s="55"/>
      <c r="G514" s="55"/>
      <c r="H514" s="55"/>
    </row>
    <row r="515">
      <c r="A515" s="55"/>
      <c r="B515" s="55"/>
      <c r="C515" s="55"/>
      <c r="D515" s="55"/>
      <c r="E515" s="55"/>
      <c r="F515" s="55"/>
      <c r="G515" s="55"/>
      <c r="H515" s="55"/>
    </row>
    <row r="516">
      <c r="A516" s="55"/>
      <c r="B516" s="55"/>
      <c r="C516" s="55"/>
      <c r="D516" s="55"/>
      <c r="E516" s="55"/>
      <c r="F516" s="55"/>
      <c r="G516" s="55"/>
      <c r="H516" s="55"/>
    </row>
    <row r="517">
      <c r="A517" s="55"/>
      <c r="B517" s="55"/>
      <c r="C517" s="55"/>
      <c r="D517" s="55"/>
      <c r="E517" s="55"/>
      <c r="F517" s="55"/>
      <c r="G517" s="55"/>
      <c r="H517" s="55"/>
    </row>
    <row r="518">
      <c r="A518" s="55"/>
      <c r="B518" s="55"/>
      <c r="C518" s="55"/>
      <c r="D518" s="55"/>
      <c r="E518" s="55"/>
      <c r="F518" s="55"/>
      <c r="G518" s="55"/>
      <c r="H518" s="55"/>
    </row>
    <row r="519">
      <c r="A519" s="55"/>
      <c r="B519" s="55"/>
      <c r="C519" s="55"/>
      <c r="D519" s="55"/>
      <c r="E519" s="55"/>
      <c r="F519" s="55"/>
      <c r="G519" s="55"/>
      <c r="H519" s="55"/>
    </row>
    <row r="520">
      <c r="A520" s="55"/>
      <c r="B520" s="55"/>
      <c r="C520" s="55"/>
      <c r="D520" s="55"/>
      <c r="E520" s="55"/>
      <c r="F520" s="55"/>
      <c r="G520" s="55"/>
      <c r="H520" s="55"/>
    </row>
    <row r="521">
      <c r="A521" s="55"/>
      <c r="B521" s="55"/>
      <c r="C521" s="55"/>
      <c r="D521" s="55"/>
      <c r="E521" s="55"/>
      <c r="F521" s="55"/>
      <c r="G521" s="55"/>
      <c r="H521" s="55"/>
    </row>
    <row r="522">
      <c r="A522" s="55"/>
      <c r="B522" s="55"/>
      <c r="C522" s="55"/>
      <c r="D522" s="55"/>
      <c r="E522" s="55"/>
      <c r="F522" s="55"/>
      <c r="G522" s="55"/>
      <c r="H522" s="55"/>
    </row>
    <row r="523">
      <c r="A523" s="55"/>
      <c r="B523" s="55"/>
      <c r="C523" s="55"/>
      <c r="D523" s="55"/>
      <c r="E523" s="55"/>
      <c r="F523" s="55"/>
      <c r="G523" s="55"/>
      <c r="H523" s="55"/>
    </row>
    <row r="524">
      <c r="A524" s="55"/>
      <c r="B524" s="55"/>
      <c r="C524" s="55"/>
      <c r="D524" s="55"/>
      <c r="E524" s="55"/>
      <c r="F524" s="55"/>
      <c r="G524" s="55"/>
      <c r="H524" s="55"/>
    </row>
    <row r="525">
      <c r="A525" s="55"/>
      <c r="B525" s="55"/>
      <c r="C525" s="55"/>
      <c r="D525" s="55"/>
      <c r="E525" s="55"/>
      <c r="F525" s="55"/>
      <c r="G525" s="55"/>
      <c r="H525" s="55"/>
    </row>
    <row r="526">
      <c r="A526" s="55"/>
      <c r="B526" s="55"/>
      <c r="C526" s="55"/>
      <c r="D526" s="55"/>
      <c r="E526" s="55"/>
      <c r="F526" s="55"/>
      <c r="G526" s="55"/>
      <c r="H526" s="55"/>
    </row>
    <row r="527">
      <c r="A527" s="55"/>
      <c r="B527" s="55"/>
      <c r="C527" s="55"/>
      <c r="D527" s="55"/>
      <c r="E527" s="55"/>
      <c r="F527" s="55"/>
      <c r="G527" s="55"/>
      <c r="H527" s="55"/>
    </row>
    <row r="528">
      <c r="A528" s="55"/>
      <c r="B528" s="55"/>
      <c r="C528" s="55"/>
      <c r="D528" s="55"/>
      <c r="E528" s="55"/>
      <c r="F528" s="55"/>
      <c r="G528" s="55"/>
      <c r="H528" s="55"/>
    </row>
    <row r="529">
      <c r="A529" s="55"/>
      <c r="B529" s="55"/>
      <c r="C529" s="55"/>
      <c r="D529" s="55"/>
      <c r="E529" s="55"/>
      <c r="F529" s="55"/>
      <c r="G529" s="55"/>
      <c r="H529" s="55"/>
    </row>
    <row r="530">
      <c r="A530" s="55"/>
      <c r="B530" s="55"/>
      <c r="C530" s="55"/>
      <c r="D530" s="55"/>
      <c r="E530" s="55"/>
      <c r="F530" s="55"/>
      <c r="G530" s="55"/>
      <c r="H530" s="55"/>
    </row>
    <row r="531">
      <c r="A531" s="55"/>
      <c r="B531" s="55"/>
      <c r="C531" s="55"/>
      <c r="D531" s="55"/>
      <c r="E531" s="55"/>
      <c r="F531" s="55"/>
      <c r="G531" s="55"/>
      <c r="H531" s="55"/>
    </row>
    <row r="532">
      <c r="A532" s="55"/>
      <c r="B532" s="55"/>
      <c r="C532" s="55"/>
      <c r="D532" s="55"/>
      <c r="E532" s="55"/>
      <c r="F532" s="55"/>
      <c r="G532" s="55"/>
      <c r="H532" s="55"/>
    </row>
    <row r="533">
      <c r="A533" s="55"/>
      <c r="B533" s="55"/>
      <c r="C533" s="55"/>
      <c r="D533" s="55"/>
      <c r="E533" s="55"/>
      <c r="F533" s="55"/>
      <c r="G533" s="55"/>
      <c r="H533" s="55"/>
    </row>
    <row r="534">
      <c r="A534" s="55"/>
      <c r="B534" s="55"/>
      <c r="C534" s="55"/>
      <c r="D534" s="55"/>
      <c r="E534" s="55"/>
      <c r="F534" s="55"/>
      <c r="G534" s="55"/>
      <c r="H534" s="55"/>
    </row>
    <row r="535">
      <c r="A535" s="55"/>
      <c r="B535" s="55"/>
      <c r="C535" s="55"/>
      <c r="D535" s="55"/>
      <c r="E535" s="55"/>
      <c r="F535" s="55"/>
      <c r="G535" s="55"/>
      <c r="H535" s="55"/>
    </row>
    <row r="536">
      <c r="A536" s="55"/>
      <c r="B536" s="55"/>
      <c r="C536" s="55"/>
      <c r="D536" s="55"/>
      <c r="E536" s="55"/>
      <c r="F536" s="55"/>
      <c r="G536" s="55"/>
      <c r="H536" s="55"/>
    </row>
    <row r="537">
      <c r="A537" s="55"/>
      <c r="B537" s="55"/>
      <c r="C537" s="55"/>
      <c r="D537" s="55"/>
      <c r="E537" s="55"/>
      <c r="F537" s="55"/>
      <c r="G537" s="55"/>
      <c r="H537" s="55"/>
    </row>
    <row r="538">
      <c r="A538" s="55"/>
      <c r="B538" s="55"/>
      <c r="C538" s="55"/>
      <c r="D538" s="55"/>
      <c r="E538" s="55"/>
      <c r="F538" s="55"/>
      <c r="G538" s="55"/>
      <c r="H538" s="55"/>
    </row>
    <row r="539">
      <c r="A539" s="55"/>
      <c r="B539" s="55"/>
      <c r="C539" s="55"/>
      <c r="D539" s="55"/>
      <c r="E539" s="55"/>
      <c r="F539" s="55"/>
      <c r="G539" s="55"/>
      <c r="H539" s="55"/>
    </row>
    <row r="540">
      <c r="A540" s="55"/>
      <c r="B540" s="55"/>
      <c r="C540" s="55"/>
      <c r="D540" s="55"/>
      <c r="E540" s="55"/>
      <c r="F540" s="55"/>
      <c r="G540" s="55"/>
      <c r="H540" s="55"/>
    </row>
    <row r="541">
      <c r="A541" s="55"/>
      <c r="B541" s="55"/>
      <c r="C541" s="55"/>
      <c r="D541" s="55"/>
      <c r="E541" s="55"/>
      <c r="F541" s="55"/>
      <c r="G541" s="55"/>
      <c r="H541" s="55"/>
    </row>
    <row r="542">
      <c r="A542" s="55"/>
      <c r="B542" s="55"/>
      <c r="C542" s="55"/>
      <c r="D542" s="55"/>
      <c r="E542" s="55"/>
      <c r="F542" s="55"/>
      <c r="G542" s="55"/>
      <c r="H542" s="55"/>
    </row>
    <row r="543">
      <c r="A543" s="55"/>
      <c r="B543" s="55"/>
      <c r="C543" s="55"/>
      <c r="D543" s="55"/>
      <c r="E543" s="55"/>
      <c r="F543" s="55"/>
      <c r="G543" s="55"/>
      <c r="H543" s="55"/>
    </row>
    <row r="544">
      <c r="A544" s="55"/>
      <c r="B544" s="55"/>
      <c r="C544" s="55"/>
      <c r="D544" s="55"/>
      <c r="E544" s="55"/>
      <c r="F544" s="55"/>
      <c r="G544" s="55"/>
      <c r="H544" s="55"/>
    </row>
    <row r="545">
      <c r="A545" s="55"/>
      <c r="B545" s="55"/>
      <c r="C545" s="55"/>
      <c r="D545" s="55"/>
      <c r="E545" s="55"/>
      <c r="F545" s="55"/>
      <c r="G545" s="55"/>
      <c r="H545" s="55"/>
    </row>
    <row r="546">
      <c r="A546" s="55"/>
      <c r="B546" s="55"/>
      <c r="C546" s="55"/>
      <c r="D546" s="55"/>
      <c r="E546" s="55"/>
      <c r="F546" s="55"/>
      <c r="G546" s="55"/>
      <c r="H546" s="55"/>
    </row>
    <row r="547">
      <c r="A547" s="55"/>
      <c r="B547" s="55"/>
      <c r="C547" s="55"/>
      <c r="D547" s="55"/>
      <c r="E547" s="55"/>
      <c r="F547" s="55"/>
      <c r="G547" s="55"/>
      <c r="H547" s="55"/>
    </row>
    <row r="548">
      <c r="A548" s="55"/>
      <c r="B548" s="55"/>
      <c r="C548" s="55"/>
      <c r="D548" s="55"/>
      <c r="E548" s="55"/>
      <c r="F548" s="55"/>
      <c r="G548" s="55"/>
      <c r="H548" s="55"/>
    </row>
    <row r="549">
      <c r="A549" s="55"/>
      <c r="B549" s="55"/>
      <c r="C549" s="55"/>
      <c r="D549" s="55"/>
      <c r="E549" s="55"/>
      <c r="F549" s="55"/>
      <c r="G549" s="55"/>
      <c r="H549" s="55"/>
    </row>
    <row r="550">
      <c r="A550" s="55"/>
      <c r="B550" s="55"/>
      <c r="C550" s="55"/>
      <c r="D550" s="55"/>
      <c r="E550" s="55"/>
      <c r="F550" s="55"/>
      <c r="G550" s="55"/>
      <c r="H550" s="55"/>
    </row>
    <row r="551">
      <c r="A551" s="55"/>
      <c r="B551" s="55"/>
      <c r="C551" s="55"/>
      <c r="D551" s="55"/>
      <c r="E551" s="55"/>
      <c r="F551" s="55"/>
      <c r="G551" s="55"/>
      <c r="H551" s="55"/>
    </row>
    <row r="552">
      <c r="A552" s="55"/>
      <c r="B552" s="55"/>
      <c r="C552" s="55"/>
      <c r="D552" s="55"/>
      <c r="E552" s="55"/>
      <c r="F552" s="55"/>
      <c r="G552" s="55"/>
      <c r="H552" s="55"/>
    </row>
    <row r="553">
      <c r="A553" s="55"/>
      <c r="B553" s="55"/>
      <c r="C553" s="55"/>
      <c r="D553" s="55"/>
      <c r="E553" s="55"/>
      <c r="F553" s="55"/>
      <c r="G553" s="55"/>
      <c r="H553" s="55"/>
    </row>
    <row r="554">
      <c r="A554" s="55"/>
      <c r="B554" s="55"/>
      <c r="C554" s="55"/>
      <c r="D554" s="55"/>
      <c r="E554" s="55"/>
      <c r="F554" s="55"/>
      <c r="G554" s="55"/>
      <c r="H554" s="55"/>
    </row>
    <row r="555">
      <c r="A555" s="55"/>
      <c r="B555" s="55"/>
      <c r="C555" s="55"/>
      <c r="D555" s="55"/>
      <c r="E555" s="55"/>
      <c r="F555" s="55"/>
      <c r="G555" s="55"/>
      <c r="H555" s="55"/>
    </row>
    <row r="556">
      <c r="A556" s="55"/>
      <c r="B556" s="55"/>
      <c r="C556" s="55"/>
      <c r="D556" s="55"/>
      <c r="E556" s="55"/>
      <c r="F556" s="55"/>
      <c r="G556" s="55"/>
      <c r="H556" s="55"/>
    </row>
    <row r="557">
      <c r="A557" s="55"/>
      <c r="B557" s="55"/>
      <c r="C557" s="55"/>
      <c r="D557" s="55"/>
      <c r="E557" s="55"/>
      <c r="F557" s="55"/>
      <c r="G557" s="55"/>
      <c r="H557" s="55"/>
    </row>
    <row r="558">
      <c r="A558" s="55"/>
      <c r="B558" s="55"/>
      <c r="C558" s="55"/>
      <c r="D558" s="55"/>
      <c r="E558" s="55"/>
      <c r="F558" s="55"/>
      <c r="G558" s="55"/>
      <c r="H558" s="55"/>
    </row>
    <row r="559">
      <c r="A559" s="55"/>
      <c r="B559" s="55"/>
      <c r="C559" s="55"/>
      <c r="D559" s="55"/>
      <c r="E559" s="55"/>
      <c r="F559" s="55"/>
      <c r="G559" s="55"/>
      <c r="H559" s="55"/>
    </row>
    <row r="560">
      <c r="A560" s="55"/>
      <c r="B560" s="55"/>
      <c r="C560" s="55"/>
      <c r="D560" s="55"/>
      <c r="E560" s="55"/>
      <c r="F560" s="55"/>
      <c r="G560" s="55"/>
      <c r="H560" s="55"/>
    </row>
    <row r="561">
      <c r="A561" s="55"/>
      <c r="B561" s="55"/>
      <c r="C561" s="55"/>
      <c r="D561" s="55"/>
      <c r="E561" s="55"/>
      <c r="F561" s="55"/>
      <c r="G561" s="55"/>
      <c r="H561" s="55"/>
    </row>
    <row r="562">
      <c r="A562" s="55"/>
      <c r="B562" s="55"/>
      <c r="C562" s="55"/>
      <c r="D562" s="55"/>
      <c r="E562" s="55"/>
      <c r="F562" s="55"/>
      <c r="G562" s="55"/>
      <c r="H562" s="55"/>
    </row>
    <row r="563">
      <c r="A563" s="55"/>
      <c r="B563" s="55"/>
      <c r="C563" s="55"/>
      <c r="D563" s="55"/>
      <c r="E563" s="55"/>
      <c r="F563" s="55"/>
      <c r="G563" s="55"/>
      <c r="H563" s="55"/>
    </row>
    <row r="564">
      <c r="A564" s="55"/>
      <c r="B564" s="55"/>
      <c r="C564" s="55"/>
      <c r="D564" s="55"/>
      <c r="E564" s="55"/>
      <c r="F564" s="55"/>
      <c r="G564" s="55"/>
      <c r="H564" s="55"/>
    </row>
    <row r="565">
      <c r="A565" s="55"/>
      <c r="B565" s="55"/>
      <c r="C565" s="55"/>
      <c r="D565" s="55"/>
      <c r="E565" s="55"/>
      <c r="F565" s="55"/>
      <c r="G565" s="55"/>
      <c r="H565" s="55"/>
    </row>
    <row r="566">
      <c r="A566" s="55"/>
      <c r="B566" s="55"/>
      <c r="C566" s="55"/>
      <c r="D566" s="55"/>
      <c r="E566" s="55"/>
      <c r="F566" s="55"/>
      <c r="G566" s="55"/>
      <c r="H566" s="55"/>
    </row>
    <row r="567">
      <c r="A567" s="55"/>
      <c r="B567" s="55"/>
      <c r="C567" s="55"/>
      <c r="D567" s="55"/>
      <c r="E567" s="55"/>
      <c r="F567" s="55"/>
      <c r="G567" s="55"/>
      <c r="H567" s="55"/>
    </row>
    <row r="568">
      <c r="A568" s="55"/>
      <c r="B568" s="55"/>
      <c r="C568" s="55"/>
      <c r="D568" s="55"/>
      <c r="E568" s="55"/>
      <c r="F568" s="55"/>
      <c r="G568" s="55"/>
      <c r="H568" s="55"/>
    </row>
    <row r="569">
      <c r="A569" s="55"/>
      <c r="B569" s="55"/>
      <c r="C569" s="55"/>
      <c r="D569" s="55"/>
      <c r="E569" s="55"/>
      <c r="F569" s="55"/>
      <c r="G569" s="55"/>
      <c r="H569" s="55"/>
    </row>
    <row r="570">
      <c r="A570" s="55"/>
      <c r="B570" s="55"/>
      <c r="C570" s="55"/>
      <c r="D570" s="55"/>
      <c r="E570" s="55"/>
      <c r="F570" s="55"/>
      <c r="G570" s="55"/>
      <c r="H570" s="55"/>
    </row>
    <row r="571">
      <c r="A571" s="55"/>
      <c r="B571" s="55"/>
      <c r="C571" s="55"/>
      <c r="D571" s="55"/>
      <c r="E571" s="55"/>
      <c r="F571" s="55"/>
      <c r="G571" s="55"/>
      <c r="H571" s="55"/>
    </row>
    <row r="572">
      <c r="A572" s="55"/>
      <c r="B572" s="55"/>
      <c r="C572" s="55"/>
      <c r="D572" s="55"/>
      <c r="E572" s="55"/>
      <c r="F572" s="55"/>
      <c r="G572" s="55"/>
      <c r="H572" s="55"/>
    </row>
    <row r="573">
      <c r="A573" s="55"/>
      <c r="B573" s="55"/>
      <c r="C573" s="55"/>
      <c r="D573" s="55"/>
      <c r="E573" s="55"/>
      <c r="F573" s="55"/>
      <c r="G573" s="55"/>
      <c r="H573" s="55"/>
    </row>
    <row r="574">
      <c r="A574" s="55"/>
      <c r="B574" s="55"/>
      <c r="C574" s="55"/>
      <c r="D574" s="55"/>
      <c r="E574" s="55"/>
      <c r="F574" s="55"/>
      <c r="G574" s="55"/>
      <c r="H574" s="55"/>
    </row>
    <row r="575">
      <c r="A575" s="55"/>
      <c r="B575" s="55"/>
      <c r="C575" s="55"/>
      <c r="D575" s="55"/>
      <c r="E575" s="55"/>
      <c r="F575" s="55"/>
      <c r="G575" s="55"/>
      <c r="H575" s="55"/>
    </row>
    <row r="576">
      <c r="A576" s="55"/>
      <c r="B576" s="55"/>
      <c r="C576" s="55"/>
      <c r="D576" s="55"/>
      <c r="E576" s="55"/>
      <c r="F576" s="55"/>
      <c r="G576" s="55"/>
      <c r="H576" s="55"/>
    </row>
    <row r="577">
      <c r="A577" s="55"/>
      <c r="B577" s="55"/>
      <c r="C577" s="55"/>
      <c r="D577" s="55"/>
      <c r="E577" s="55"/>
      <c r="F577" s="55"/>
      <c r="G577" s="55"/>
      <c r="H577" s="55"/>
    </row>
    <row r="578">
      <c r="A578" s="55"/>
      <c r="B578" s="55"/>
      <c r="C578" s="55"/>
      <c r="D578" s="55"/>
      <c r="E578" s="55"/>
      <c r="F578" s="55"/>
      <c r="G578" s="55"/>
      <c r="H578" s="55"/>
    </row>
    <row r="579">
      <c r="A579" s="55"/>
      <c r="B579" s="55"/>
      <c r="C579" s="55"/>
      <c r="D579" s="55"/>
      <c r="E579" s="55"/>
      <c r="F579" s="55"/>
      <c r="G579" s="55"/>
      <c r="H579" s="55"/>
    </row>
    <row r="580">
      <c r="A580" s="55"/>
      <c r="B580" s="55"/>
      <c r="C580" s="55"/>
      <c r="D580" s="55"/>
      <c r="E580" s="55"/>
      <c r="F580" s="55"/>
      <c r="G580" s="55"/>
      <c r="H580" s="55"/>
    </row>
    <row r="581">
      <c r="A581" s="55"/>
      <c r="B581" s="55"/>
      <c r="C581" s="55"/>
      <c r="D581" s="55"/>
      <c r="E581" s="55"/>
      <c r="F581" s="55"/>
      <c r="G581" s="55"/>
      <c r="H581" s="55"/>
    </row>
    <row r="582">
      <c r="A582" s="55"/>
      <c r="B582" s="55"/>
      <c r="C582" s="55"/>
      <c r="D582" s="55"/>
      <c r="E582" s="55"/>
      <c r="F582" s="55"/>
      <c r="G582" s="55"/>
      <c r="H582" s="55"/>
    </row>
    <row r="583">
      <c r="A583" s="55"/>
      <c r="B583" s="55"/>
      <c r="C583" s="55"/>
      <c r="D583" s="55"/>
      <c r="E583" s="55"/>
      <c r="F583" s="55"/>
      <c r="G583" s="55"/>
      <c r="H583" s="55"/>
    </row>
    <row r="584">
      <c r="A584" s="55"/>
      <c r="B584" s="55"/>
      <c r="C584" s="55"/>
      <c r="D584" s="55"/>
      <c r="E584" s="55"/>
      <c r="F584" s="55"/>
      <c r="G584" s="55"/>
      <c r="H584" s="55"/>
    </row>
    <row r="585">
      <c r="A585" s="55"/>
      <c r="B585" s="55"/>
      <c r="C585" s="55"/>
      <c r="D585" s="55"/>
      <c r="E585" s="55"/>
      <c r="F585" s="55"/>
      <c r="G585" s="55"/>
      <c r="H585" s="55"/>
    </row>
    <row r="586">
      <c r="A586" s="55"/>
      <c r="B586" s="55"/>
      <c r="C586" s="55"/>
      <c r="D586" s="55"/>
      <c r="E586" s="55"/>
      <c r="F586" s="55"/>
      <c r="G586" s="55"/>
      <c r="H586" s="55"/>
    </row>
    <row r="587">
      <c r="A587" s="55"/>
      <c r="B587" s="55"/>
      <c r="C587" s="55"/>
      <c r="D587" s="55"/>
      <c r="E587" s="55"/>
      <c r="F587" s="55"/>
      <c r="G587" s="55"/>
      <c r="H587" s="55"/>
    </row>
    <row r="588">
      <c r="A588" s="55"/>
      <c r="B588" s="55"/>
      <c r="C588" s="55"/>
      <c r="D588" s="55"/>
      <c r="E588" s="55"/>
      <c r="F588" s="55"/>
      <c r="G588" s="55"/>
      <c r="H588" s="55"/>
    </row>
    <row r="589">
      <c r="A589" s="55"/>
      <c r="B589" s="55"/>
      <c r="C589" s="55"/>
      <c r="D589" s="55"/>
      <c r="E589" s="55"/>
      <c r="F589" s="55"/>
      <c r="G589" s="55"/>
      <c r="H589" s="55"/>
    </row>
    <row r="590">
      <c r="A590" s="55"/>
      <c r="B590" s="55"/>
      <c r="C590" s="55"/>
      <c r="D590" s="55"/>
      <c r="E590" s="55"/>
      <c r="F590" s="55"/>
      <c r="G590" s="55"/>
      <c r="H590" s="55"/>
    </row>
    <row r="591">
      <c r="A591" s="55"/>
      <c r="B591" s="55"/>
      <c r="C591" s="55"/>
      <c r="D591" s="55"/>
      <c r="E591" s="55"/>
      <c r="F591" s="55"/>
      <c r="G591" s="55"/>
      <c r="H591" s="55"/>
    </row>
    <row r="592">
      <c r="A592" s="55"/>
      <c r="B592" s="55"/>
      <c r="C592" s="55"/>
      <c r="D592" s="55"/>
      <c r="E592" s="55"/>
      <c r="F592" s="55"/>
      <c r="G592" s="55"/>
      <c r="H592" s="55"/>
    </row>
    <row r="593">
      <c r="A593" s="55"/>
      <c r="B593" s="55"/>
      <c r="C593" s="55"/>
      <c r="D593" s="55"/>
      <c r="E593" s="55"/>
      <c r="F593" s="55"/>
      <c r="G593" s="55"/>
      <c r="H593" s="55"/>
    </row>
    <row r="594">
      <c r="A594" s="55"/>
      <c r="B594" s="55"/>
      <c r="C594" s="55"/>
      <c r="D594" s="55"/>
      <c r="E594" s="55"/>
      <c r="F594" s="55"/>
      <c r="G594" s="55"/>
      <c r="H594" s="55"/>
    </row>
    <row r="595">
      <c r="A595" s="55"/>
      <c r="B595" s="55"/>
      <c r="C595" s="55"/>
      <c r="D595" s="55"/>
      <c r="E595" s="55"/>
      <c r="F595" s="55"/>
      <c r="G595" s="55"/>
      <c r="H595" s="55"/>
    </row>
    <row r="596">
      <c r="A596" s="55"/>
      <c r="B596" s="55"/>
      <c r="C596" s="55"/>
      <c r="D596" s="55"/>
      <c r="E596" s="55"/>
      <c r="F596" s="55"/>
      <c r="G596" s="55"/>
      <c r="H596" s="55"/>
    </row>
    <row r="597">
      <c r="A597" s="55"/>
      <c r="B597" s="55"/>
      <c r="C597" s="55"/>
      <c r="D597" s="55"/>
      <c r="E597" s="55"/>
      <c r="F597" s="55"/>
      <c r="G597" s="55"/>
      <c r="H597" s="55"/>
    </row>
    <row r="598">
      <c r="A598" s="55"/>
      <c r="B598" s="55"/>
      <c r="C598" s="55"/>
      <c r="D598" s="55"/>
      <c r="E598" s="55"/>
      <c r="F598" s="55"/>
      <c r="G598" s="55"/>
      <c r="H598" s="55"/>
    </row>
    <row r="599">
      <c r="A599" s="55"/>
      <c r="B599" s="55"/>
      <c r="C599" s="55"/>
      <c r="D599" s="55"/>
      <c r="E599" s="55"/>
      <c r="F599" s="55"/>
      <c r="G599" s="55"/>
      <c r="H599" s="55"/>
    </row>
    <row r="600">
      <c r="A600" s="55"/>
      <c r="B600" s="55"/>
      <c r="C600" s="55"/>
      <c r="D600" s="55"/>
      <c r="E600" s="55"/>
      <c r="F600" s="55"/>
      <c r="G600" s="55"/>
      <c r="H600" s="55"/>
    </row>
    <row r="601">
      <c r="A601" s="55"/>
      <c r="B601" s="55"/>
      <c r="C601" s="55"/>
      <c r="D601" s="55"/>
      <c r="E601" s="55"/>
      <c r="F601" s="55"/>
      <c r="G601" s="55"/>
      <c r="H601" s="55"/>
    </row>
    <row r="602">
      <c r="A602" s="55"/>
      <c r="B602" s="55"/>
      <c r="C602" s="55"/>
      <c r="D602" s="55"/>
      <c r="E602" s="55"/>
      <c r="F602" s="55"/>
      <c r="G602" s="55"/>
      <c r="H602" s="55"/>
    </row>
    <row r="603">
      <c r="A603" s="55"/>
      <c r="B603" s="55"/>
      <c r="C603" s="55"/>
      <c r="D603" s="55"/>
      <c r="E603" s="55"/>
      <c r="F603" s="55"/>
      <c r="G603" s="55"/>
      <c r="H603" s="55"/>
    </row>
    <row r="604">
      <c r="A604" s="55"/>
      <c r="B604" s="55"/>
      <c r="C604" s="55"/>
      <c r="D604" s="55"/>
      <c r="E604" s="55"/>
      <c r="F604" s="55"/>
      <c r="G604" s="55"/>
      <c r="H604" s="55"/>
    </row>
    <row r="605">
      <c r="A605" s="55"/>
      <c r="B605" s="55"/>
      <c r="C605" s="55"/>
      <c r="D605" s="55"/>
      <c r="E605" s="55"/>
      <c r="F605" s="55"/>
      <c r="G605" s="55"/>
      <c r="H605" s="55"/>
    </row>
    <row r="606">
      <c r="A606" s="55"/>
      <c r="B606" s="55"/>
      <c r="C606" s="55"/>
      <c r="D606" s="55"/>
      <c r="E606" s="55"/>
      <c r="F606" s="55"/>
      <c r="G606" s="55"/>
      <c r="H606" s="55"/>
    </row>
    <row r="607">
      <c r="A607" s="55"/>
      <c r="B607" s="55"/>
      <c r="C607" s="55"/>
      <c r="D607" s="55"/>
      <c r="E607" s="55"/>
      <c r="F607" s="55"/>
      <c r="G607" s="55"/>
      <c r="H607" s="55"/>
    </row>
    <row r="608">
      <c r="A608" s="55"/>
      <c r="B608" s="55"/>
      <c r="C608" s="55"/>
      <c r="D608" s="55"/>
      <c r="E608" s="55"/>
      <c r="F608" s="55"/>
      <c r="G608" s="55"/>
      <c r="H608" s="55"/>
    </row>
    <row r="609">
      <c r="A609" s="55"/>
      <c r="B609" s="55"/>
      <c r="C609" s="55"/>
      <c r="D609" s="55"/>
      <c r="E609" s="55"/>
      <c r="F609" s="55"/>
      <c r="G609" s="55"/>
      <c r="H609" s="55"/>
    </row>
    <row r="610">
      <c r="A610" s="55"/>
      <c r="B610" s="55"/>
      <c r="C610" s="55"/>
      <c r="D610" s="55"/>
      <c r="E610" s="55"/>
      <c r="F610" s="55"/>
      <c r="G610" s="55"/>
      <c r="H610" s="55"/>
    </row>
    <row r="611">
      <c r="A611" s="55"/>
      <c r="B611" s="55"/>
      <c r="C611" s="55"/>
      <c r="D611" s="55"/>
      <c r="E611" s="55"/>
      <c r="F611" s="55"/>
      <c r="G611" s="55"/>
      <c r="H611" s="55"/>
    </row>
    <row r="612">
      <c r="A612" s="55"/>
      <c r="B612" s="55"/>
      <c r="C612" s="55"/>
      <c r="D612" s="55"/>
      <c r="E612" s="55"/>
      <c r="F612" s="55"/>
      <c r="G612" s="55"/>
      <c r="H612" s="55"/>
    </row>
    <row r="613">
      <c r="A613" s="55"/>
      <c r="B613" s="55"/>
      <c r="C613" s="55"/>
      <c r="D613" s="55"/>
      <c r="E613" s="55"/>
      <c r="F613" s="55"/>
      <c r="G613" s="55"/>
      <c r="H613" s="55"/>
    </row>
    <row r="614">
      <c r="A614" s="55"/>
      <c r="B614" s="55"/>
      <c r="C614" s="55"/>
      <c r="D614" s="55"/>
      <c r="E614" s="55"/>
      <c r="F614" s="55"/>
      <c r="G614" s="55"/>
      <c r="H614" s="55"/>
    </row>
    <row r="615">
      <c r="A615" s="55"/>
      <c r="B615" s="55"/>
      <c r="C615" s="55"/>
      <c r="D615" s="55"/>
      <c r="E615" s="55"/>
      <c r="F615" s="55"/>
      <c r="G615" s="55"/>
      <c r="H615" s="55"/>
    </row>
    <row r="616">
      <c r="A616" s="55"/>
      <c r="B616" s="55"/>
      <c r="C616" s="55"/>
      <c r="D616" s="55"/>
      <c r="E616" s="55"/>
      <c r="F616" s="55"/>
      <c r="G616" s="55"/>
      <c r="H616" s="55"/>
    </row>
    <row r="617">
      <c r="A617" s="55"/>
      <c r="B617" s="55"/>
      <c r="C617" s="55"/>
      <c r="D617" s="55"/>
      <c r="E617" s="55"/>
      <c r="F617" s="55"/>
      <c r="G617" s="55"/>
      <c r="H617" s="55"/>
    </row>
    <row r="618">
      <c r="A618" s="55"/>
      <c r="B618" s="55"/>
      <c r="C618" s="55"/>
      <c r="D618" s="55"/>
      <c r="E618" s="55"/>
      <c r="F618" s="55"/>
      <c r="G618" s="55"/>
      <c r="H618" s="55"/>
    </row>
    <row r="619">
      <c r="A619" s="55"/>
      <c r="B619" s="55"/>
      <c r="C619" s="55"/>
      <c r="D619" s="55"/>
      <c r="E619" s="55"/>
      <c r="F619" s="55"/>
      <c r="G619" s="55"/>
      <c r="H619" s="55"/>
    </row>
    <row r="620">
      <c r="A620" s="55"/>
      <c r="B620" s="55"/>
      <c r="C620" s="55"/>
      <c r="D620" s="55"/>
      <c r="E620" s="55"/>
      <c r="F620" s="55"/>
      <c r="G620" s="55"/>
      <c r="H620" s="55"/>
    </row>
    <row r="621">
      <c r="A621" s="55"/>
      <c r="B621" s="55"/>
      <c r="C621" s="55"/>
      <c r="D621" s="55"/>
      <c r="E621" s="55"/>
      <c r="F621" s="55"/>
      <c r="G621" s="55"/>
      <c r="H621" s="55"/>
    </row>
    <row r="622">
      <c r="A622" s="55"/>
      <c r="B622" s="55"/>
      <c r="C622" s="55"/>
      <c r="D622" s="55"/>
      <c r="E622" s="55"/>
      <c r="F622" s="55"/>
      <c r="G622" s="55"/>
      <c r="H622" s="55"/>
    </row>
    <row r="623">
      <c r="A623" s="55"/>
      <c r="B623" s="55"/>
      <c r="C623" s="55"/>
      <c r="D623" s="55"/>
      <c r="E623" s="55"/>
      <c r="F623" s="55"/>
      <c r="G623" s="55"/>
      <c r="H623" s="55"/>
    </row>
    <row r="624">
      <c r="A624" s="55"/>
      <c r="B624" s="55"/>
      <c r="C624" s="55"/>
      <c r="D624" s="55"/>
      <c r="E624" s="55"/>
      <c r="F624" s="55"/>
      <c r="G624" s="55"/>
      <c r="H624" s="55"/>
    </row>
    <row r="625">
      <c r="A625" s="55"/>
      <c r="B625" s="55"/>
      <c r="C625" s="55"/>
      <c r="D625" s="55"/>
      <c r="E625" s="55"/>
      <c r="F625" s="55"/>
      <c r="G625" s="55"/>
      <c r="H625" s="55"/>
    </row>
    <row r="626">
      <c r="A626" s="55"/>
      <c r="B626" s="55"/>
      <c r="C626" s="55"/>
      <c r="D626" s="55"/>
      <c r="E626" s="55"/>
      <c r="F626" s="55"/>
      <c r="G626" s="55"/>
      <c r="H626" s="55"/>
    </row>
    <row r="627">
      <c r="A627" s="55"/>
      <c r="B627" s="55"/>
      <c r="C627" s="55"/>
      <c r="D627" s="55"/>
      <c r="E627" s="55"/>
      <c r="F627" s="55"/>
      <c r="G627" s="55"/>
      <c r="H627" s="55"/>
    </row>
    <row r="628">
      <c r="A628" s="55"/>
      <c r="B628" s="55"/>
      <c r="C628" s="55"/>
      <c r="D628" s="55"/>
      <c r="E628" s="55"/>
      <c r="F628" s="55"/>
      <c r="G628" s="55"/>
      <c r="H628" s="55"/>
    </row>
    <row r="629">
      <c r="A629" s="55"/>
      <c r="B629" s="55"/>
      <c r="C629" s="55"/>
      <c r="D629" s="55"/>
      <c r="E629" s="55"/>
      <c r="F629" s="55"/>
      <c r="G629" s="55"/>
      <c r="H629" s="55"/>
    </row>
    <row r="630">
      <c r="A630" s="55"/>
      <c r="B630" s="55"/>
      <c r="C630" s="55"/>
      <c r="D630" s="55"/>
      <c r="E630" s="55"/>
      <c r="F630" s="55"/>
      <c r="G630" s="55"/>
      <c r="H630" s="55"/>
    </row>
    <row r="631">
      <c r="A631" s="55"/>
      <c r="B631" s="55"/>
      <c r="C631" s="55"/>
      <c r="D631" s="55"/>
      <c r="E631" s="55"/>
      <c r="F631" s="55"/>
      <c r="G631" s="55"/>
      <c r="H631" s="55"/>
    </row>
    <row r="632">
      <c r="A632" s="55"/>
      <c r="B632" s="55"/>
      <c r="C632" s="55"/>
      <c r="D632" s="55"/>
      <c r="E632" s="55"/>
      <c r="F632" s="55"/>
      <c r="G632" s="55"/>
      <c r="H632" s="55"/>
    </row>
    <row r="633">
      <c r="A633" s="55"/>
      <c r="B633" s="55"/>
      <c r="C633" s="55"/>
      <c r="D633" s="55"/>
      <c r="E633" s="55"/>
      <c r="F633" s="55"/>
      <c r="G633" s="55"/>
      <c r="H633" s="55"/>
    </row>
    <row r="634">
      <c r="A634" s="55"/>
      <c r="B634" s="55"/>
      <c r="C634" s="55"/>
      <c r="D634" s="55"/>
      <c r="E634" s="55"/>
      <c r="F634" s="55"/>
      <c r="G634" s="55"/>
      <c r="H634" s="55"/>
    </row>
    <row r="635">
      <c r="A635" s="55"/>
      <c r="B635" s="55"/>
      <c r="C635" s="55"/>
      <c r="D635" s="55"/>
      <c r="E635" s="55"/>
      <c r="F635" s="55"/>
      <c r="G635" s="55"/>
      <c r="H635" s="55"/>
    </row>
    <row r="636">
      <c r="A636" s="55"/>
      <c r="B636" s="55"/>
      <c r="C636" s="55"/>
      <c r="D636" s="55"/>
      <c r="E636" s="55"/>
      <c r="F636" s="55"/>
      <c r="G636" s="55"/>
      <c r="H636" s="55"/>
    </row>
    <row r="637">
      <c r="A637" s="55"/>
      <c r="B637" s="55"/>
      <c r="C637" s="55"/>
      <c r="D637" s="55"/>
      <c r="E637" s="55"/>
      <c r="F637" s="55"/>
      <c r="G637" s="55"/>
      <c r="H637" s="55"/>
    </row>
    <row r="638">
      <c r="A638" s="55"/>
      <c r="B638" s="55"/>
      <c r="C638" s="55"/>
      <c r="D638" s="55"/>
      <c r="E638" s="55"/>
      <c r="F638" s="55"/>
      <c r="G638" s="55"/>
      <c r="H638" s="55"/>
    </row>
    <row r="639">
      <c r="A639" s="55"/>
      <c r="B639" s="55"/>
      <c r="C639" s="55"/>
      <c r="D639" s="55"/>
      <c r="E639" s="55"/>
      <c r="F639" s="55"/>
      <c r="G639" s="55"/>
      <c r="H639" s="55"/>
    </row>
    <row r="640">
      <c r="A640" s="55"/>
      <c r="B640" s="55"/>
      <c r="C640" s="55"/>
      <c r="D640" s="55"/>
      <c r="E640" s="55"/>
      <c r="F640" s="55"/>
      <c r="G640" s="55"/>
      <c r="H640" s="55"/>
    </row>
    <row r="641">
      <c r="A641" s="55"/>
      <c r="B641" s="55"/>
      <c r="C641" s="55"/>
      <c r="D641" s="55"/>
      <c r="E641" s="55"/>
      <c r="F641" s="55"/>
      <c r="G641" s="55"/>
      <c r="H641" s="55"/>
    </row>
    <row r="642">
      <c r="A642" s="55"/>
      <c r="B642" s="55"/>
      <c r="C642" s="55"/>
      <c r="D642" s="55"/>
      <c r="E642" s="55"/>
      <c r="F642" s="55"/>
      <c r="G642" s="55"/>
      <c r="H642" s="55"/>
    </row>
    <row r="643">
      <c r="A643" s="55"/>
      <c r="B643" s="55"/>
      <c r="C643" s="55"/>
      <c r="D643" s="55"/>
      <c r="E643" s="55"/>
      <c r="F643" s="55"/>
      <c r="G643" s="55"/>
      <c r="H643" s="55"/>
    </row>
    <row r="644">
      <c r="A644" s="55"/>
      <c r="B644" s="55"/>
      <c r="C644" s="55"/>
      <c r="D644" s="55"/>
      <c r="E644" s="55"/>
      <c r="F644" s="55"/>
      <c r="G644" s="55"/>
      <c r="H644" s="55"/>
    </row>
    <row r="645">
      <c r="A645" s="55"/>
      <c r="B645" s="55"/>
      <c r="C645" s="55"/>
      <c r="D645" s="55"/>
      <c r="E645" s="55"/>
      <c r="F645" s="55"/>
      <c r="G645" s="55"/>
      <c r="H645" s="55"/>
    </row>
    <row r="646">
      <c r="A646" s="55"/>
      <c r="B646" s="55"/>
      <c r="C646" s="55"/>
      <c r="D646" s="55"/>
      <c r="E646" s="55"/>
      <c r="F646" s="55"/>
      <c r="G646" s="55"/>
      <c r="H646" s="55"/>
    </row>
    <row r="647">
      <c r="A647" s="55"/>
      <c r="B647" s="55"/>
      <c r="C647" s="55"/>
      <c r="D647" s="55"/>
      <c r="E647" s="55"/>
      <c r="F647" s="55"/>
      <c r="G647" s="55"/>
      <c r="H647" s="55"/>
    </row>
    <row r="648">
      <c r="A648" s="55"/>
      <c r="B648" s="55"/>
      <c r="C648" s="55"/>
      <c r="D648" s="55"/>
      <c r="E648" s="55"/>
      <c r="F648" s="55"/>
      <c r="G648" s="55"/>
      <c r="H648" s="55"/>
    </row>
    <row r="649">
      <c r="A649" s="55"/>
      <c r="B649" s="55"/>
      <c r="C649" s="55"/>
      <c r="D649" s="55"/>
      <c r="E649" s="55"/>
      <c r="F649" s="55"/>
      <c r="G649" s="55"/>
      <c r="H649" s="55"/>
    </row>
    <row r="650">
      <c r="A650" s="55"/>
      <c r="B650" s="55"/>
      <c r="C650" s="55"/>
      <c r="D650" s="55"/>
      <c r="E650" s="55"/>
      <c r="F650" s="55"/>
      <c r="G650" s="55"/>
      <c r="H650" s="55"/>
    </row>
    <row r="651">
      <c r="A651" s="55"/>
      <c r="B651" s="55"/>
      <c r="C651" s="55"/>
      <c r="D651" s="55"/>
      <c r="E651" s="55"/>
      <c r="F651" s="55"/>
      <c r="G651" s="55"/>
      <c r="H651" s="55"/>
    </row>
    <row r="652">
      <c r="A652" s="55"/>
      <c r="B652" s="55"/>
      <c r="C652" s="55"/>
      <c r="D652" s="55"/>
      <c r="E652" s="55"/>
      <c r="F652" s="55"/>
      <c r="G652" s="55"/>
      <c r="H652" s="55"/>
    </row>
    <row r="653">
      <c r="A653" s="55"/>
      <c r="B653" s="55"/>
      <c r="C653" s="55"/>
      <c r="D653" s="55"/>
      <c r="E653" s="55"/>
      <c r="F653" s="55"/>
      <c r="G653" s="55"/>
      <c r="H653" s="55"/>
    </row>
    <row r="654">
      <c r="A654" s="55"/>
      <c r="B654" s="55"/>
      <c r="C654" s="55"/>
      <c r="D654" s="55"/>
      <c r="E654" s="55"/>
      <c r="F654" s="55"/>
      <c r="G654" s="55"/>
      <c r="H654" s="55"/>
    </row>
    <row r="655">
      <c r="A655" s="55"/>
      <c r="B655" s="55"/>
      <c r="C655" s="55"/>
      <c r="D655" s="55"/>
      <c r="E655" s="55"/>
      <c r="F655" s="55"/>
      <c r="G655" s="55"/>
      <c r="H655" s="55"/>
    </row>
    <row r="656">
      <c r="A656" s="55"/>
      <c r="B656" s="55"/>
      <c r="C656" s="55"/>
      <c r="D656" s="55"/>
      <c r="E656" s="55"/>
      <c r="F656" s="55"/>
      <c r="G656" s="55"/>
      <c r="H656" s="55"/>
    </row>
    <row r="657">
      <c r="A657" s="55"/>
      <c r="B657" s="55"/>
      <c r="C657" s="55"/>
      <c r="D657" s="55"/>
      <c r="E657" s="55"/>
      <c r="F657" s="55"/>
      <c r="G657" s="55"/>
      <c r="H657" s="55"/>
    </row>
    <row r="658">
      <c r="A658" s="55"/>
      <c r="B658" s="55"/>
      <c r="C658" s="55"/>
      <c r="D658" s="55"/>
      <c r="E658" s="55"/>
      <c r="F658" s="55"/>
      <c r="G658" s="55"/>
      <c r="H658" s="55"/>
    </row>
    <row r="659">
      <c r="A659" s="55"/>
      <c r="B659" s="55"/>
      <c r="C659" s="55"/>
      <c r="D659" s="55"/>
      <c r="E659" s="55"/>
      <c r="F659" s="55"/>
      <c r="G659" s="55"/>
      <c r="H659" s="55"/>
    </row>
    <row r="660">
      <c r="A660" s="55"/>
      <c r="B660" s="55"/>
      <c r="C660" s="55"/>
      <c r="D660" s="55"/>
      <c r="E660" s="55"/>
      <c r="F660" s="55"/>
      <c r="G660" s="55"/>
      <c r="H660" s="55"/>
    </row>
    <row r="661">
      <c r="A661" s="55"/>
      <c r="B661" s="55"/>
      <c r="C661" s="55"/>
      <c r="D661" s="55"/>
      <c r="E661" s="55"/>
      <c r="F661" s="55"/>
      <c r="G661" s="55"/>
      <c r="H661" s="55"/>
    </row>
    <row r="662">
      <c r="A662" s="55"/>
      <c r="B662" s="55"/>
      <c r="C662" s="55"/>
      <c r="D662" s="55"/>
      <c r="E662" s="55"/>
      <c r="F662" s="55"/>
      <c r="G662" s="55"/>
      <c r="H662" s="55"/>
    </row>
    <row r="663">
      <c r="A663" s="55"/>
      <c r="B663" s="55"/>
      <c r="C663" s="55"/>
      <c r="D663" s="55"/>
      <c r="E663" s="55"/>
      <c r="F663" s="55"/>
      <c r="G663" s="55"/>
      <c r="H663" s="55"/>
    </row>
    <row r="664">
      <c r="A664" s="55"/>
      <c r="B664" s="55"/>
      <c r="C664" s="55"/>
      <c r="D664" s="55"/>
      <c r="E664" s="55"/>
      <c r="F664" s="55"/>
      <c r="G664" s="55"/>
      <c r="H664" s="55"/>
    </row>
    <row r="665">
      <c r="A665" s="55"/>
      <c r="B665" s="55"/>
      <c r="C665" s="55"/>
      <c r="D665" s="55"/>
      <c r="E665" s="55"/>
      <c r="F665" s="55"/>
      <c r="G665" s="55"/>
      <c r="H665" s="55"/>
    </row>
    <row r="666">
      <c r="A666" s="55"/>
      <c r="B666" s="55"/>
      <c r="C666" s="55"/>
      <c r="D666" s="55"/>
      <c r="E666" s="55"/>
      <c r="F666" s="55"/>
      <c r="G666" s="55"/>
      <c r="H666" s="55"/>
    </row>
    <row r="667">
      <c r="A667" s="55"/>
      <c r="B667" s="55"/>
      <c r="C667" s="55"/>
      <c r="D667" s="55"/>
      <c r="E667" s="55"/>
      <c r="F667" s="55"/>
      <c r="G667" s="55"/>
      <c r="H667" s="55"/>
    </row>
    <row r="668">
      <c r="A668" s="55"/>
      <c r="B668" s="55"/>
      <c r="C668" s="55"/>
      <c r="D668" s="55"/>
      <c r="E668" s="55"/>
      <c r="F668" s="55"/>
      <c r="G668" s="55"/>
      <c r="H668" s="55"/>
    </row>
    <row r="669">
      <c r="A669" s="55"/>
      <c r="B669" s="55"/>
      <c r="C669" s="55"/>
      <c r="D669" s="55"/>
      <c r="E669" s="55"/>
      <c r="F669" s="55"/>
      <c r="G669" s="55"/>
      <c r="H669" s="55"/>
    </row>
    <row r="670">
      <c r="A670" s="55"/>
      <c r="B670" s="55"/>
      <c r="C670" s="55"/>
      <c r="D670" s="55"/>
      <c r="E670" s="55"/>
      <c r="F670" s="55"/>
      <c r="G670" s="55"/>
      <c r="H670" s="55"/>
    </row>
    <row r="671">
      <c r="A671" s="55"/>
      <c r="B671" s="55"/>
      <c r="C671" s="55"/>
      <c r="D671" s="55"/>
      <c r="E671" s="55"/>
      <c r="F671" s="55"/>
      <c r="G671" s="55"/>
      <c r="H671" s="55"/>
    </row>
    <row r="672">
      <c r="A672" s="55"/>
      <c r="B672" s="55"/>
      <c r="C672" s="55"/>
      <c r="D672" s="55"/>
      <c r="E672" s="55"/>
      <c r="F672" s="55"/>
      <c r="G672" s="55"/>
      <c r="H672" s="55"/>
    </row>
    <row r="673">
      <c r="A673" s="55"/>
      <c r="B673" s="55"/>
      <c r="C673" s="55"/>
      <c r="D673" s="55"/>
      <c r="E673" s="55"/>
      <c r="F673" s="55"/>
      <c r="G673" s="55"/>
      <c r="H673" s="55"/>
    </row>
    <row r="674">
      <c r="A674" s="55"/>
      <c r="B674" s="55"/>
      <c r="C674" s="55"/>
      <c r="D674" s="55"/>
      <c r="E674" s="55"/>
      <c r="F674" s="55"/>
      <c r="G674" s="55"/>
      <c r="H674" s="55"/>
    </row>
    <row r="675">
      <c r="A675" s="55"/>
      <c r="B675" s="55"/>
      <c r="C675" s="55"/>
      <c r="D675" s="55"/>
      <c r="E675" s="55"/>
      <c r="F675" s="55"/>
      <c r="G675" s="55"/>
      <c r="H675" s="55"/>
    </row>
    <row r="676">
      <c r="A676" s="55"/>
      <c r="B676" s="55"/>
      <c r="C676" s="55"/>
      <c r="D676" s="55"/>
      <c r="E676" s="55"/>
      <c r="F676" s="55"/>
      <c r="G676" s="55"/>
      <c r="H676" s="55"/>
    </row>
    <row r="677">
      <c r="A677" s="55"/>
      <c r="B677" s="55"/>
      <c r="C677" s="55"/>
      <c r="D677" s="55"/>
      <c r="E677" s="55"/>
      <c r="F677" s="55"/>
      <c r="G677" s="55"/>
      <c r="H677" s="55"/>
    </row>
    <row r="678">
      <c r="A678" s="55"/>
      <c r="B678" s="55"/>
      <c r="C678" s="55"/>
      <c r="D678" s="55"/>
      <c r="E678" s="55"/>
      <c r="F678" s="55"/>
      <c r="G678" s="55"/>
      <c r="H678" s="55"/>
    </row>
    <row r="679">
      <c r="A679" s="55"/>
      <c r="B679" s="55"/>
      <c r="C679" s="55"/>
      <c r="D679" s="55"/>
      <c r="E679" s="55"/>
      <c r="F679" s="55"/>
      <c r="G679" s="55"/>
      <c r="H679" s="55"/>
    </row>
    <row r="680">
      <c r="A680" s="55"/>
      <c r="B680" s="55"/>
      <c r="C680" s="55"/>
      <c r="D680" s="55"/>
      <c r="E680" s="55"/>
      <c r="F680" s="55"/>
      <c r="G680" s="55"/>
      <c r="H680" s="55"/>
    </row>
    <row r="681">
      <c r="A681" s="55"/>
      <c r="B681" s="55"/>
      <c r="C681" s="55"/>
      <c r="D681" s="55"/>
      <c r="E681" s="55"/>
      <c r="F681" s="55"/>
      <c r="G681" s="55"/>
      <c r="H681" s="55"/>
    </row>
    <row r="682">
      <c r="A682" s="55"/>
      <c r="B682" s="55"/>
      <c r="C682" s="55"/>
      <c r="D682" s="55"/>
      <c r="E682" s="55"/>
      <c r="F682" s="55"/>
      <c r="G682" s="55"/>
      <c r="H682" s="55"/>
    </row>
    <row r="683">
      <c r="A683" s="55"/>
      <c r="B683" s="55"/>
      <c r="C683" s="55"/>
      <c r="D683" s="55"/>
      <c r="E683" s="55"/>
      <c r="F683" s="55"/>
      <c r="G683" s="55"/>
      <c r="H683" s="55"/>
    </row>
    <row r="684">
      <c r="A684" s="55"/>
      <c r="B684" s="55"/>
      <c r="C684" s="55"/>
      <c r="D684" s="55"/>
      <c r="E684" s="55"/>
      <c r="F684" s="55"/>
      <c r="G684" s="55"/>
      <c r="H684" s="55"/>
    </row>
    <row r="685">
      <c r="A685" s="55"/>
      <c r="B685" s="55"/>
      <c r="C685" s="55"/>
      <c r="D685" s="55"/>
      <c r="E685" s="55"/>
      <c r="F685" s="55"/>
      <c r="G685" s="55"/>
      <c r="H685" s="55"/>
    </row>
    <row r="686">
      <c r="A686" s="55"/>
      <c r="B686" s="55"/>
      <c r="C686" s="55"/>
      <c r="D686" s="55"/>
      <c r="E686" s="55"/>
      <c r="F686" s="55"/>
      <c r="G686" s="55"/>
      <c r="H686" s="55"/>
    </row>
    <row r="687">
      <c r="A687" s="55"/>
      <c r="B687" s="55"/>
      <c r="C687" s="55"/>
      <c r="D687" s="55"/>
      <c r="E687" s="55"/>
      <c r="F687" s="55"/>
      <c r="G687" s="55"/>
      <c r="H687" s="55"/>
    </row>
    <row r="688">
      <c r="A688" s="55"/>
      <c r="B688" s="55"/>
      <c r="C688" s="55"/>
      <c r="D688" s="55"/>
      <c r="E688" s="55"/>
      <c r="F688" s="55"/>
      <c r="G688" s="55"/>
      <c r="H688" s="55"/>
    </row>
    <row r="689">
      <c r="A689" s="55"/>
      <c r="B689" s="55"/>
      <c r="C689" s="55"/>
      <c r="D689" s="55"/>
      <c r="E689" s="55"/>
      <c r="F689" s="55"/>
      <c r="G689" s="55"/>
      <c r="H689" s="55"/>
    </row>
    <row r="690">
      <c r="A690" s="55"/>
      <c r="B690" s="55"/>
      <c r="C690" s="55"/>
      <c r="D690" s="55"/>
      <c r="E690" s="55"/>
      <c r="F690" s="55"/>
      <c r="G690" s="55"/>
      <c r="H690" s="55"/>
    </row>
    <row r="691">
      <c r="A691" s="55"/>
      <c r="B691" s="55"/>
      <c r="C691" s="55"/>
      <c r="D691" s="55"/>
      <c r="E691" s="55"/>
      <c r="F691" s="55"/>
      <c r="G691" s="55"/>
      <c r="H691" s="55"/>
    </row>
    <row r="692">
      <c r="A692" s="55"/>
      <c r="B692" s="55"/>
      <c r="C692" s="55"/>
      <c r="D692" s="55"/>
      <c r="E692" s="55"/>
      <c r="F692" s="55"/>
      <c r="G692" s="55"/>
      <c r="H692" s="55"/>
    </row>
    <row r="693">
      <c r="A693" s="55"/>
      <c r="B693" s="55"/>
      <c r="C693" s="55"/>
      <c r="D693" s="55"/>
      <c r="E693" s="55"/>
      <c r="F693" s="55"/>
      <c r="G693" s="55"/>
      <c r="H693" s="55"/>
    </row>
    <row r="694">
      <c r="A694" s="55"/>
      <c r="B694" s="55"/>
      <c r="C694" s="55"/>
      <c r="D694" s="55"/>
      <c r="E694" s="55"/>
      <c r="F694" s="55"/>
      <c r="G694" s="55"/>
      <c r="H694" s="55"/>
    </row>
    <row r="695">
      <c r="A695" s="55"/>
      <c r="B695" s="55"/>
      <c r="C695" s="55"/>
      <c r="D695" s="55"/>
      <c r="E695" s="55"/>
      <c r="F695" s="55"/>
      <c r="G695" s="55"/>
      <c r="H695" s="55"/>
    </row>
    <row r="696">
      <c r="A696" s="55"/>
      <c r="B696" s="55"/>
      <c r="C696" s="55"/>
      <c r="D696" s="55"/>
      <c r="E696" s="55"/>
      <c r="F696" s="55"/>
      <c r="G696" s="55"/>
      <c r="H696" s="55"/>
    </row>
    <row r="697">
      <c r="A697" s="55"/>
      <c r="B697" s="55"/>
      <c r="C697" s="55"/>
      <c r="D697" s="55"/>
      <c r="E697" s="55"/>
      <c r="F697" s="55"/>
      <c r="G697" s="55"/>
      <c r="H697" s="55"/>
    </row>
    <row r="698">
      <c r="A698" s="55"/>
      <c r="B698" s="55"/>
      <c r="C698" s="55"/>
      <c r="D698" s="55"/>
      <c r="E698" s="55"/>
      <c r="F698" s="55"/>
      <c r="G698" s="55"/>
      <c r="H698" s="55"/>
    </row>
    <row r="699">
      <c r="A699" s="55"/>
      <c r="B699" s="55"/>
      <c r="C699" s="55"/>
      <c r="D699" s="55"/>
      <c r="E699" s="55"/>
      <c r="F699" s="55"/>
      <c r="G699" s="55"/>
      <c r="H699" s="55"/>
    </row>
    <row r="700">
      <c r="A700" s="55"/>
      <c r="B700" s="55"/>
      <c r="C700" s="55"/>
      <c r="D700" s="55"/>
      <c r="E700" s="55"/>
      <c r="F700" s="55"/>
      <c r="G700" s="55"/>
      <c r="H700" s="55"/>
    </row>
    <row r="701">
      <c r="A701" s="55"/>
      <c r="B701" s="55"/>
      <c r="C701" s="55"/>
      <c r="D701" s="55"/>
      <c r="E701" s="55"/>
      <c r="F701" s="55"/>
      <c r="G701" s="55"/>
      <c r="H701" s="55"/>
    </row>
    <row r="702">
      <c r="A702" s="55"/>
      <c r="B702" s="55"/>
      <c r="C702" s="55"/>
      <c r="D702" s="55"/>
      <c r="E702" s="55"/>
      <c r="F702" s="55"/>
      <c r="G702" s="55"/>
      <c r="H702" s="55"/>
    </row>
    <row r="703">
      <c r="A703" s="55"/>
      <c r="B703" s="55"/>
      <c r="C703" s="55"/>
      <c r="D703" s="55"/>
      <c r="E703" s="55"/>
      <c r="F703" s="55"/>
      <c r="G703" s="55"/>
      <c r="H703" s="55"/>
    </row>
    <row r="704">
      <c r="A704" s="55"/>
      <c r="B704" s="55"/>
      <c r="C704" s="55"/>
      <c r="D704" s="55"/>
      <c r="E704" s="55"/>
      <c r="F704" s="55"/>
      <c r="G704" s="55"/>
      <c r="H704" s="55"/>
    </row>
    <row r="705">
      <c r="A705" s="55"/>
      <c r="B705" s="55"/>
      <c r="C705" s="55"/>
      <c r="D705" s="55"/>
      <c r="E705" s="55"/>
      <c r="F705" s="55"/>
      <c r="G705" s="55"/>
      <c r="H705" s="55"/>
    </row>
    <row r="706">
      <c r="A706" s="55"/>
      <c r="B706" s="55"/>
      <c r="C706" s="55"/>
      <c r="D706" s="55"/>
      <c r="E706" s="55"/>
      <c r="F706" s="55"/>
      <c r="G706" s="55"/>
      <c r="H706" s="55"/>
    </row>
    <row r="707">
      <c r="A707" s="55"/>
      <c r="B707" s="55"/>
      <c r="C707" s="55"/>
      <c r="D707" s="55"/>
      <c r="E707" s="55"/>
      <c r="F707" s="55"/>
      <c r="G707" s="55"/>
      <c r="H707" s="55"/>
    </row>
    <row r="708">
      <c r="A708" s="55"/>
      <c r="B708" s="55"/>
      <c r="C708" s="55"/>
      <c r="D708" s="55"/>
      <c r="E708" s="55"/>
      <c r="F708" s="55"/>
      <c r="G708" s="55"/>
      <c r="H708" s="55"/>
    </row>
    <row r="709">
      <c r="A709" s="55"/>
      <c r="B709" s="55"/>
      <c r="C709" s="55"/>
      <c r="D709" s="55"/>
      <c r="E709" s="55"/>
      <c r="F709" s="55"/>
      <c r="G709" s="55"/>
      <c r="H709" s="55"/>
    </row>
    <row r="710">
      <c r="A710" s="55"/>
      <c r="B710" s="55"/>
      <c r="C710" s="55"/>
      <c r="D710" s="55"/>
      <c r="E710" s="55"/>
      <c r="F710" s="55"/>
      <c r="G710" s="55"/>
      <c r="H710" s="55"/>
    </row>
    <row r="711">
      <c r="A711" s="55"/>
      <c r="B711" s="55"/>
      <c r="C711" s="55"/>
      <c r="D711" s="55"/>
      <c r="E711" s="55"/>
      <c r="F711" s="55"/>
      <c r="G711" s="55"/>
      <c r="H711" s="55"/>
    </row>
    <row r="712">
      <c r="A712" s="55"/>
      <c r="B712" s="55"/>
      <c r="C712" s="55"/>
      <c r="D712" s="55"/>
      <c r="E712" s="55"/>
      <c r="F712" s="55"/>
      <c r="G712" s="55"/>
      <c r="H712" s="55"/>
    </row>
    <row r="713">
      <c r="A713" s="55"/>
      <c r="B713" s="55"/>
      <c r="C713" s="55"/>
      <c r="D713" s="55"/>
      <c r="E713" s="55"/>
      <c r="F713" s="55"/>
      <c r="G713" s="55"/>
      <c r="H713" s="55"/>
    </row>
    <row r="714">
      <c r="A714" s="55"/>
      <c r="B714" s="55"/>
      <c r="C714" s="55"/>
      <c r="D714" s="55"/>
      <c r="E714" s="55"/>
      <c r="F714" s="55"/>
      <c r="G714" s="55"/>
      <c r="H714" s="55"/>
    </row>
    <row r="715">
      <c r="A715" s="55"/>
      <c r="B715" s="55"/>
      <c r="C715" s="55"/>
      <c r="D715" s="55"/>
      <c r="E715" s="55"/>
      <c r="F715" s="55"/>
      <c r="G715" s="55"/>
      <c r="H715" s="55"/>
    </row>
    <row r="716">
      <c r="A716" s="55"/>
      <c r="B716" s="55"/>
      <c r="C716" s="55"/>
      <c r="D716" s="55"/>
      <c r="E716" s="55"/>
      <c r="F716" s="55"/>
      <c r="G716" s="55"/>
      <c r="H716" s="55"/>
    </row>
    <row r="717">
      <c r="A717" s="55"/>
      <c r="B717" s="55"/>
      <c r="C717" s="55"/>
      <c r="D717" s="55"/>
      <c r="E717" s="55"/>
      <c r="F717" s="55"/>
      <c r="G717" s="55"/>
      <c r="H717" s="55"/>
    </row>
    <row r="718">
      <c r="A718" s="55"/>
      <c r="B718" s="55"/>
      <c r="C718" s="55"/>
      <c r="D718" s="55"/>
      <c r="E718" s="55"/>
      <c r="F718" s="55"/>
      <c r="G718" s="55"/>
      <c r="H718" s="55"/>
    </row>
    <row r="719">
      <c r="A719" s="55"/>
      <c r="B719" s="55"/>
      <c r="C719" s="55"/>
      <c r="D719" s="55"/>
      <c r="E719" s="55"/>
      <c r="F719" s="55"/>
      <c r="G719" s="55"/>
      <c r="H719" s="55"/>
    </row>
    <row r="720">
      <c r="A720" s="55"/>
      <c r="B720" s="55"/>
      <c r="C720" s="55"/>
      <c r="D720" s="55"/>
      <c r="E720" s="55"/>
      <c r="F720" s="55"/>
      <c r="G720" s="55"/>
      <c r="H720" s="55"/>
    </row>
    <row r="721">
      <c r="A721" s="55"/>
      <c r="B721" s="55"/>
      <c r="C721" s="55"/>
      <c r="D721" s="55"/>
      <c r="E721" s="55"/>
      <c r="F721" s="55"/>
      <c r="G721" s="55"/>
      <c r="H721" s="55"/>
    </row>
    <row r="722">
      <c r="A722" s="55"/>
      <c r="B722" s="55"/>
      <c r="C722" s="55"/>
      <c r="D722" s="55"/>
      <c r="E722" s="55"/>
      <c r="F722" s="55"/>
      <c r="G722" s="55"/>
      <c r="H722" s="55"/>
    </row>
    <row r="723">
      <c r="A723" s="55"/>
      <c r="B723" s="55"/>
      <c r="C723" s="55"/>
      <c r="D723" s="55"/>
      <c r="E723" s="55"/>
      <c r="F723" s="55"/>
      <c r="G723" s="55"/>
      <c r="H723" s="55"/>
    </row>
    <row r="724">
      <c r="A724" s="55"/>
      <c r="B724" s="55"/>
      <c r="C724" s="55"/>
      <c r="D724" s="55"/>
      <c r="E724" s="55"/>
      <c r="F724" s="55"/>
      <c r="G724" s="55"/>
      <c r="H724" s="55"/>
    </row>
    <row r="725">
      <c r="A725" s="55"/>
      <c r="B725" s="55"/>
      <c r="C725" s="55"/>
      <c r="D725" s="55"/>
      <c r="E725" s="55"/>
      <c r="F725" s="55"/>
      <c r="G725" s="55"/>
      <c r="H725" s="55"/>
    </row>
    <row r="726">
      <c r="A726" s="55"/>
      <c r="B726" s="55"/>
      <c r="C726" s="55"/>
      <c r="D726" s="55"/>
      <c r="E726" s="55"/>
      <c r="F726" s="55"/>
      <c r="G726" s="55"/>
      <c r="H726" s="55"/>
    </row>
    <row r="727">
      <c r="A727" s="55"/>
      <c r="B727" s="55"/>
      <c r="C727" s="55"/>
      <c r="D727" s="55"/>
      <c r="E727" s="55"/>
      <c r="F727" s="55"/>
      <c r="G727" s="55"/>
      <c r="H727" s="55"/>
    </row>
    <row r="728">
      <c r="A728" s="55"/>
      <c r="B728" s="55"/>
      <c r="C728" s="55"/>
      <c r="D728" s="55"/>
      <c r="E728" s="55"/>
      <c r="F728" s="55"/>
      <c r="G728" s="55"/>
      <c r="H728" s="55"/>
    </row>
    <row r="729">
      <c r="A729" s="55"/>
      <c r="B729" s="55"/>
      <c r="C729" s="55"/>
      <c r="D729" s="55"/>
      <c r="E729" s="55"/>
      <c r="F729" s="55"/>
      <c r="G729" s="55"/>
      <c r="H729" s="55"/>
    </row>
    <row r="730">
      <c r="A730" s="55"/>
      <c r="B730" s="55"/>
      <c r="C730" s="55"/>
      <c r="D730" s="55"/>
      <c r="E730" s="55"/>
      <c r="F730" s="55"/>
      <c r="G730" s="55"/>
      <c r="H730" s="55"/>
    </row>
    <row r="731">
      <c r="A731" s="55"/>
      <c r="B731" s="55"/>
      <c r="C731" s="55"/>
      <c r="D731" s="55"/>
      <c r="E731" s="55"/>
      <c r="F731" s="55"/>
      <c r="G731" s="55"/>
      <c r="H731" s="55"/>
    </row>
    <row r="732">
      <c r="A732" s="55"/>
      <c r="B732" s="55"/>
      <c r="C732" s="55"/>
      <c r="D732" s="55"/>
      <c r="E732" s="55"/>
      <c r="F732" s="55"/>
      <c r="G732" s="55"/>
      <c r="H732" s="55"/>
    </row>
    <row r="733">
      <c r="A733" s="55"/>
      <c r="B733" s="55"/>
      <c r="C733" s="55"/>
      <c r="D733" s="55"/>
      <c r="E733" s="55"/>
      <c r="F733" s="55"/>
      <c r="G733" s="55"/>
      <c r="H733" s="55"/>
    </row>
    <row r="734">
      <c r="A734" s="55"/>
      <c r="B734" s="55"/>
      <c r="C734" s="55"/>
      <c r="D734" s="55"/>
      <c r="E734" s="55"/>
      <c r="F734" s="55"/>
      <c r="G734" s="55"/>
      <c r="H734" s="55"/>
    </row>
    <row r="735">
      <c r="A735" s="55"/>
      <c r="B735" s="55"/>
      <c r="C735" s="55"/>
      <c r="D735" s="55"/>
      <c r="E735" s="55"/>
      <c r="F735" s="55"/>
      <c r="G735" s="55"/>
      <c r="H735" s="55"/>
    </row>
    <row r="736">
      <c r="A736" s="55"/>
      <c r="B736" s="55"/>
      <c r="C736" s="55"/>
      <c r="D736" s="55"/>
      <c r="E736" s="55"/>
      <c r="F736" s="55"/>
      <c r="G736" s="55"/>
      <c r="H736" s="55"/>
    </row>
    <row r="737">
      <c r="A737" s="55"/>
      <c r="B737" s="55"/>
      <c r="C737" s="55"/>
      <c r="D737" s="55"/>
      <c r="E737" s="55"/>
      <c r="F737" s="55"/>
      <c r="G737" s="55"/>
      <c r="H737" s="55"/>
    </row>
    <row r="738">
      <c r="A738" s="55"/>
      <c r="B738" s="55"/>
      <c r="C738" s="55"/>
      <c r="D738" s="55"/>
      <c r="E738" s="55"/>
      <c r="F738" s="55"/>
      <c r="G738" s="55"/>
      <c r="H738" s="55"/>
    </row>
    <row r="739">
      <c r="A739" s="55"/>
      <c r="B739" s="55"/>
      <c r="C739" s="55"/>
      <c r="D739" s="55"/>
      <c r="E739" s="55"/>
      <c r="F739" s="55"/>
      <c r="G739" s="55"/>
      <c r="H739" s="55"/>
    </row>
    <row r="740">
      <c r="A740" s="55"/>
      <c r="B740" s="55"/>
      <c r="C740" s="55"/>
      <c r="D740" s="55"/>
      <c r="E740" s="55"/>
      <c r="F740" s="55"/>
      <c r="G740" s="55"/>
      <c r="H740" s="55"/>
    </row>
    <row r="741">
      <c r="A741" s="55"/>
      <c r="B741" s="55"/>
      <c r="C741" s="55"/>
      <c r="D741" s="55"/>
      <c r="E741" s="55"/>
      <c r="F741" s="55"/>
      <c r="G741" s="55"/>
      <c r="H741" s="55"/>
    </row>
    <row r="742">
      <c r="A742" s="55"/>
      <c r="B742" s="55"/>
      <c r="C742" s="55"/>
      <c r="D742" s="55"/>
      <c r="E742" s="55"/>
      <c r="F742" s="55"/>
      <c r="G742" s="55"/>
      <c r="H742" s="55"/>
    </row>
    <row r="743">
      <c r="A743" s="55"/>
      <c r="B743" s="55"/>
      <c r="C743" s="55"/>
      <c r="D743" s="55"/>
      <c r="E743" s="55"/>
      <c r="F743" s="55"/>
      <c r="G743" s="55"/>
      <c r="H743" s="55"/>
    </row>
    <row r="744">
      <c r="A744" s="55"/>
      <c r="B744" s="55"/>
      <c r="C744" s="55"/>
      <c r="D744" s="55"/>
      <c r="E744" s="55"/>
      <c r="F744" s="55"/>
      <c r="G744" s="55"/>
      <c r="H744" s="55"/>
    </row>
    <row r="745">
      <c r="A745" s="55"/>
      <c r="B745" s="55"/>
      <c r="C745" s="55"/>
      <c r="D745" s="55"/>
      <c r="E745" s="55"/>
      <c r="F745" s="55"/>
      <c r="G745" s="55"/>
      <c r="H745" s="55"/>
    </row>
    <row r="746">
      <c r="A746" s="55"/>
      <c r="B746" s="55"/>
      <c r="C746" s="55"/>
      <c r="D746" s="55"/>
      <c r="E746" s="55"/>
      <c r="F746" s="55"/>
      <c r="G746" s="55"/>
      <c r="H746" s="55"/>
    </row>
    <row r="747">
      <c r="A747" s="55"/>
      <c r="B747" s="55"/>
      <c r="C747" s="55"/>
      <c r="D747" s="55"/>
      <c r="E747" s="55"/>
      <c r="F747" s="55"/>
      <c r="G747" s="55"/>
      <c r="H747" s="55"/>
    </row>
    <row r="748">
      <c r="A748" s="55"/>
      <c r="B748" s="55"/>
      <c r="C748" s="55"/>
      <c r="D748" s="55"/>
      <c r="E748" s="55"/>
      <c r="F748" s="55"/>
      <c r="G748" s="55"/>
      <c r="H748" s="55"/>
    </row>
    <row r="749">
      <c r="A749" s="55"/>
      <c r="B749" s="55"/>
      <c r="C749" s="55"/>
      <c r="D749" s="55"/>
      <c r="E749" s="55"/>
      <c r="F749" s="55"/>
      <c r="G749" s="55"/>
      <c r="H749" s="55"/>
    </row>
    <row r="750">
      <c r="A750" s="55"/>
      <c r="B750" s="55"/>
      <c r="C750" s="55"/>
      <c r="D750" s="55"/>
      <c r="E750" s="55"/>
      <c r="F750" s="55"/>
      <c r="G750" s="55"/>
      <c r="H750" s="55"/>
    </row>
    <row r="751">
      <c r="A751" s="55"/>
      <c r="B751" s="55"/>
      <c r="C751" s="55"/>
      <c r="D751" s="55"/>
      <c r="E751" s="55"/>
      <c r="F751" s="55"/>
      <c r="G751" s="55"/>
      <c r="H751" s="55"/>
    </row>
    <row r="752">
      <c r="A752" s="55"/>
      <c r="B752" s="55"/>
      <c r="C752" s="55"/>
      <c r="D752" s="55"/>
      <c r="E752" s="55"/>
      <c r="F752" s="55"/>
      <c r="G752" s="55"/>
      <c r="H752" s="55"/>
    </row>
    <row r="753">
      <c r="A753" s="55"/>
      <c r="B753" s="55"/>
      <c r="C753" s="55"/>
      <c r="D753" s="55"/>
      <c r="E753" s="55"/>
      <c r="F753" s="55"/>
      <c r="G753" s="55"/>
      <c r="H753" s="55"/>
    </row>
    <row r="754">
      <c r="A754" s="55"/>
      <c r="B754" s="55"/>
      <c r="C754" s="55"/>
      <c r="D754" s="55"/>
      <c r="E754" s="55"/>
      <c r="F754" s="55"/>
      <c r="G754" s="55"/>
      <c r="H754" s="55"/>
    </row>
    <row r="755">
      <c r="A755" s="55"/>
      <c r="B755" s="55"/>
      <c r="C755" s="55"/>
      <c r="D755" s="55"/>
      <c r="E755" s="55"/>
      <c r="F755" s="55"/>
      <c r="G755" s="55"/>
      <c r="H755" s="55"/>
    </row>
    <row r="756">
      <c r="A756" s="55"/>
      <c r="B756" s="55"/>
      <c r="C756" s="55"/>
      <c r="D756" s="55"/>
      <c r="E756" s="55"/>
      <c r="F756" s="55"/>
      <c r="G756" s="55"/>
      <c r="H756" s="55"/>
    </row>
    <row r="757">
      <c r="A757" s="55"/>
      <c r="B757" s="55"/>
      <c r="C757" s="55"/>
      <c r="D757" s="55"/>
      <c r="E757" s="55"/>
      <c r="F757" s="55"/>
      <c r="G757" s="55"/>
      <c r="H757" s="55"/>
    </row>
    <row r="758">
      <c r="A758" s="55"/>
      <c r="B758" s="55"/>
      <c r="C758" s="55"/>
      <c r="D758" s="55"/>
      <c r="E758" s="55"/>
      <c r="F758" s="55"/>
      <c r="G758" s="55"/>
      <c r="H758" s="55"/>
    </row>
    <row r="759">
      <c r="A759" s="55"/>
      <c r="B759" s="55"/>
      <c r="C759" s="55"/>
      <c r="D759" s="55"/>
      <c r="E759" s="55"/>
      <c r="F759" s="55"/>
      <c r="G759" s="55"/>
      <c r="H759" s="55"/>
    </row>
    <row r="760">
      <c r="A760" s="55"/>
      <c r="B760" s="55"/>
      <c r="C760" s="55"/>
      <c r="D760" s="55"/>
      <c r="E760" s="55"/>
      <c r="F760" s="55"/>
      <c r="G760" s="55"/>
      <c r="H760" s="55"/>
    </row>
    <row r="761">
      <c r="A761" s="55"/>
      <c r="B761" s="55"/>
      <c r="C761" s="55"/>
      <c r="D761" s="55"/>
      <c r="E761" s="55"/>
      <c r="F761" s="55"/>
      <c r="G761" s="55"/>
      <c r="H761" s="55"/>
    </row>
    <row r="762">
      <c r="A762" s="55"/>
      <c r="B762" s="55"/>
      <c r="C762" s="55"/>
      <c r="D762" s="55"/>
      <c r="E762" s="55"/>
      <c r="F762" s="55"/>
      <c r="G762" s="55"/>
      <c r="H762" s="55"/>
    </row>
    <row r="763">
      <c r="A763" s="55"/>
      <c r="B763" s="55"/>
      <c r="C763" s="55"/>
      <c r="D763" s="55"/>
      <c r="E763" s="55"/>
      <c r="F763" s="55"/>
      <c r="G763" s="55"/>
      <c r="H763" s="55"/>
    </row>
    <row r="764">
      <c r="A764" s="55"/>
      <c r="B764" s="55"/>
      <c r="C764" s="55"/>
      <c r="D764" s="55"/>
      <c r="E764" s="55"/>
      <c r="F764" s="55"/>
      <c r="G764" s="55"/>
      <c r="H764" s="55"/>
    </row>
    <row r="765">
      <c r="A765" s="55"/>
      <c r="B765" s="55"/>
      <c r="C765" s="55"/>
      <c r="D765" s="55"/>
      <c r="E765" s="55"/>
      <c r="F765" s="55"/>
      <c r="G765" s="55"/>
      <c r="H765" s="55"/>
    </row>
    <row r="766">
      <c r="A766" s="55"/>
      <c r="B766" s="55"/>
      <c r="C766" s="55"/>
      <c r="D766" s="55"/>
      <c r="E766" s="55"/>
      <c r="F766" s="55"/>
      <c r="G766" s="55"/>
      <c r="H766" s="55"/>
    </row>
    <row r="767">
      <c r="A767" s="55"/>
      <c r="B767" s="55"/>
      <c r="C767" s="55"/>
      <c r="D767" s="55"/>
      <c r="E767" s="55"/>
      <c r="F767" s="55"/>
      <c r="G767" s="55"/>
      <c r="H767" s="55"/>
    </row>
    <row r="768">
      <c r="A768" s="55"/>
      <c r="B768" s="55"/>
      <c r="C768" s="55"/>
      <c r="D768" s="55"/>
      <c r="E768" s="55"/>
      <c r="F768" s="55"/>
      <c r="G768" s="55"/>
      <c r="H768" s="55"/>
    </row>
    <row r="769">
      <c r="A769" s="55"/>
      <c r="B769" s="55"/>
      <c r="C769" s="55"/>
      <c r="D769" s="55"/>
      <c r="E769" s="55"/>
      <c r="F769" s="55"/>
      <c r="G769" s="55"/>
      <c r="H769" s="55"/>
    </row>
    <row r="770">
      <c r="A770" s="55"/>
      <c r="B770" s="55"/>
      <c r="C770" s="55"/>
      <c r="D770" s="55"/>
      <c r="E770" s="55"/>
      <c r="F770" s="55"/>
      <c r="G770" s="55"/>
      <c r="H770" s="55"/>
    </row>
    <row r="771">
      <c r="A771" s="55"/>
      <c r="B771" s="55"/>
      <c r="C771" s="55"/>
      <c r="D771" s="55"/>
      <c r="E771" s="55"/>
      <c r="F771" s="55"/>
      <c r="G771" s="55"/>
      <c r="H771" s="55"/>
    </row>
    <row r="772">
      <c r="A772" s="55"/>
      <c r="B772" s="55"/>
      <c r="C772" s="55"/>
      <c r="D772" s="55"/>
      <c r="E772" s="55"/>
      <c r="F772" s="55"/>
      <c r="G772" s="55"/>
      <c r="H772" s="55"/>
    </row>
    <row r="773">
      <c r="A773" s="55"/>
      <c r="B773" s="55"/>
      <c r="C773" s="55"/>
      <c r="D773" s="55"/>
      <c r="E773" s="55"/>
      <c r="F773" s="55"/>
      <c r="G773" s="55"/>
      <c r="H773" s="55"/>
    </row>
    <row r="774">
      <c r="A774" s="55"/>
      <c r="B774" s="55"/>
      <c r="C774" s="55"/>
      <c r="D774" s="55"/>
      <c r="E774" s="55"/>
      <c r="F774" s="55"/>
      <c r="G774" s="55"/>
      <c r="H774" s="55"/>
    </row>
    <row r="775">
      <c r="A775" s="55"/>
      <c r="B775" s="55"/>
      <c r="C775" s="55"/>
      <c r="D775" s="55"/>
      <c r="E775" s="55"/>
      <c r="F775" s="55"/>
      <c r="G775" s="55"/>
      <c r="H775" s="55"/>
    </row>
    <row r="776">
      <c r="A776" s="55"/>
      <c r="B776" s="55"/>
      <c r="C776" s="55"/>
      <c r="D776" s="55"/>
      <c r="E776" s="55"/>
      <c r="F776" s="55"/>
      <c r="G776" s="55"/>
      <c r="H776" s="55"/>
    </row>
    <row r="777">
      <c r="A777" s="55"/>
      <c r="B777" s="55"/>
      <c r="C777" s="55"/>
      <c r="D777" s="55"/>
      <c r="E777" s="55"/>
      <c r="F777" s="55"/>
      <c r="G777" s="55"/>
      <c r="H777" s="55"/>
    </row>
    <row r="778">
      <c r="A778" s="55"/>
      <c r="B778" s="55"/>
      <c r="C778" s="55"/>
      <c r="D778" s="55"/>
      <c r="E778" s="55"/>
      <c r="F778" s="55"/>
      <c r="G778" s="55"/>
      <c r="H778" s="55"/>
    </row>
    <row r="779">
      <c r="A779" s="55"/>
      <c r="B779" s="55"/>
      <c r="C779" s="55"/>
      <c r="D779" s="55"/>
      <c r="E779" s="55"/>
      <c r="F779" s="55"/>
      <c r="G779" s="55"/>
      <c r="H779" s="55"/>
    </row>
    <row r="780">
      <c r="A780" s="55"/>
      <c r="B780" s="55"/>
      <c r="C780" s="55"/>
      <c r="D780" s="55"/>
      <c r="E780" s="55"/>
      <c r="F780" s="55"/>
      <c r="G780" s="55"/>
      <c r="H780" s="55"/>
    </row>
    <row r="781">
      <c r="A781" s="55"/>
      <c r="B781" s="55"/>
      <c r="C781" s="55"/>
      <c r="D781" s="55"/>
      <c r="E781" s="55"/>
      <c r="F781" s="55"/>
      <c r="G781" s="55"/>
      <c r="H781" s="55"/>
    </row>
    <row r="782">
      <c r="A782" s="55"/>
      <c r="B782" s="55"/>
      <c r="C782" s="55"/>
      <c r="D782" s="55"/>
      <c r="E782" s="55"/>
      <c r="F782" s="55"/>
      <c r="G782" s="55"/>
      <c r="H782" s="55"/>
    </row>
    <row r="783">
      <c r="A783" s="55"/>
      <c r="B783" s="55"/>
      <c r="C783" s="55"/>
      <c r="D783" s="55"/>
      <c r="E783" s="55"/>
      <c r="F783" s="55"/>
      <c r="G783" s="55"/>
      <c r="H783" s="55"/>
    </row>
    <row r="784">
      <c r="A784" s="55"/>
      <c r="B784" s="55"/>
      <c r="C784" s="55"/>
      <c r="D784" s="55"/>
      <c r="E784" s="55"/>
      <c r="F784" s="55"/>
      <c r="G784" s="55"/>
      <c r="H784" s="55"/>
    </row>
    <row r="785">
      <c r="A785" s="55"/>
      <c r="B785" s="55"/>
      <c r="C785" s="55"/>
      <c r="D785" s="55"/>
      <c r="E785" s="55"/>
      <c r="F785" s="55"/>
      <c r="G785" s="55"/>
      <c r="H785" s="55"/>
    </row>
    <row r="786">
      <c r="A786" s="55"/>
      <c r="B786" s="55"/>
      <c r="C786" s="55"/>
      <c r="D786" s="55"/>
      <c r="E786" s="55"/>
      <c r="F786" s="55"/>
      <c r="G786" s="55"/>
      <c r="H786" s="55"/>
    </row>
    <row r="787">
      <c r="A787" s="55"/>
      <c r="B787" s="55"/>
      <c r="C787" s="55"/>
      <c r="D787" s="55"/>
      <c r="E787" s="55"/>
      <c r="F787" s="55"/>
      <c r="G787" s="55"/>
      <c r="H787" s="55"/>
    </row>
    <row r="788">
      <c r="A788" s="55"/>
      <c r="B788" s="55"/>
      <c r="C788" s="55"/>
      <c r="D788" s="55"/>
      <c r="E788" s="55"/>
      <c r="F788" s="55"/>
      <c r="G788" s="55"/>
      <c r="H788" s="55"/>
    </row>
    <row r="789">
      <c r="A789" s="55"/>
      <c r="B789" s="55"/>
      <c r="C789" s="55"/>
      <c r="D789" s="55"/>
      <c r="E789" s="55"/>
      <c r="F789" s="55"/>
      <c r="G789" s="55"/>
      <c r="H789" s="55"/>
    </row>
    <row r="790">
      <c r="A790" s="55"/>
      <c r="B790" s="55"/>
      <c r="C790" s="55"/>
      <c r="D790" s="55"/>
      <c r="E790" s="55"/>
      <c r="F790" s="55"/>
      <c r="G790" s="55"/>
      <c r="H790" s="55"/>
    </row>
    <row r="791">
      <c r="A791" s="55"/>
      <c r="B791" s="55"/>
      <c r="C791" s="55"/>
      <c r="D791" s="55"/>
      <c r="E791" s="55"/>
      <c r="F791" s="55"/>
      <c r="G791" s="55"/>
      <c r="H791" s="55"/>
    </row>
    <row r="792">
      <c r="A792" s="55"/>
      <c r="B792" s="55"/>
      <c r="C792" s="55"/>
      <c r="D792" s="55"/>
      <c r="E792" s="55"/>
      <c r="F792" s="55"/>
      <c r="G792" s="55"/>
      <c r="H792" s="55"/>
    </row>
    <row r="793">
      <c r="A793" s="55"/>
      <c r="B793" s="55"/>
      <c r="C793" s="55"/>
      <c r="D793" s="55"/>
      <c r="E793" s="55"/>
      <c r="F793" s="55"/>
      <c r="G793" s="55"/>
      <c r="H793" s="55"/>
    </row>
    <row r="794">
      <c r="A794" s="55"/>
      <c r="B794" s="55"/>
      <c r="C794" s="55"/>
      <c r="D794" s="55"/>
      <c r="E794" s="55"/>
      <c r="F794" s="55"/>
      <c r="G794" s="55"/>
      <c r="H794" s="55"/>
    </row>
    <row r="795">
      <c r="A795" s="55"/>
      <c r="B795" s="55"/>
      <c r="C795" s="55"/>
      <c r="D795" s="55"/>
      <c r="E795" s="55"/>
      <c r="F795" s="55"/>
      <c r="G795" s="55"/>
      <c r="H795" s="55"/>
    </row>
    <row r="796">
      <c r="A796" s="55"/>
      <c r="B796" s="55"/>
      <c r="C796" s="55"/>
      <c r="D796" s="55"/>
      <c r="E796" s="55"/>
      <c r="F796" s="55"/>
      <c r="G796" s="55"/>
      <c r="H796" s="55"/>
    </row>
    <row r="797">
      <c r="A797" s="55"/>
      <c r="B797" s="55"/>
      <c r="C797" s="55"/>
      <c r="D797" s="55"/>
      <c r="E797" s="55"/>
      <c r="F797" s="55"/>
      <c r="G797" s="55"/>
      <c r="H797" s="55"/>
    </row>
    <row r="798">
      <c r="A798" s="55"/>
      <c r="B798" s="55"/>
      <c r="C798" s="55"/>
      <c r="D798" s="55"/>
      <c r="E798" s="55"/>
      <c r="F798" s="55"/>
      <c r="G798" s="55"/>
      <c r="H798" s="55"/>
    </row>
    <row r="799">
      <c r="A799" s="55"/>
      <c r="B799" s="55"/>
      <c r="C799" s="55"/>
      <c r="D799" s="55"/>
      <c r="E799" s="55"/>
      <c r="F799" s="55"/>
      <c r="G799" s="55"/>
      <c r="H799" s="55"/>
    </row>
    <row r="800">
      <c r="A800" s="55"/>
      <c r="B800" s="55"/>
      <c r="C800" s="55"/>
      <c r="D800" s="55"/>
      <c r="E800" s="55"/>
      <c r="F800" s="55"/>
      <c r="G800" s="55"/>
      <c r="H800" s="55"/>
    </row>
    <row r="801">
      <c r="A801" s="55"/>
      <c r="B801" s="55"/>
      <c r="C801" s="55"/>
      <c r="D801" s="55"/>
      <c r="E801" s="55"/>
      <c r="F801" s="55"/>
      <c r="G801" s="55"/>
      <c r="H801" s="55"/>
    </row>
    <row r="802">
      <c r="A802" s="55"/>
      <c r="B802" s="55"/>
      <c r="C802" s="55"/>
      <c r="D802" s="55"/>
      <c r="E802" s="55"/>
      <c r="F802" s="55"/>
      <c r="G802" s="55"/>
      <c r="H802" s="55"/>
    </row>
    <row r="803">
      <c r="A803" s="55"/>
      <c r="B803" s="55"/>
      <c r="C803" s="55"/>
      <c r="D803" s="55"/>
      <c r="E803" s="55"/>
      <c r="F803" s="55"/>
      <c r="G803" s="55"/>
      <c r="H803" s="55"/>
    </row>
    <row r="804">
      <c r="A804" s="55"/>
      <c r="B804" s="55"/>
      <c r="C804" s="55"/>
      <c r="D804" s="55"/>
      <c r="E804" s="55"/>
      <c r="F804" s="55"/>
      <c r="G804" s="55"/>
      <c r="H804" s="55"/>
    </row>
    <row r="805">
      <c r="A805" s="55"/>
      <c r="B805" s="55"/>
      <c r="C805" s="55"/>
      <c r="D805" s="55"/>
      <c r="E805" s="55"/>
      <c r="F805" s="55"/>
      <c r="G805" s="55"/>
      <c r="H805" s="55"/>
    </row>
    <row r="806">
      <c r="A806" s="55"/>
      <c r="B806" s="55"/>
      <c r="C806" s="55"/>
      <c r="D806" s="55"/>
      <c r="E806" s="55"/>
      <c r="F806" s="55"/>
      <c r="G806" s="55"/>
      <c r="H806" s="55"/>
    </row>
    <row r="807">
      <c r="A807" s="55"/>
      <c r="B807" s="55"/>
      <c r="C807" s="55"/>
      <c r="D807" s="55"/>
      <c r="E807" s="55"/>
      <c r="F807" s="55"/>
      <c r="G807" s="55"/>
      <c r="H807" s="55"/>
    </row>
    <row r="808">
      <c r="A808" s="55"/>
      <c r="B808" s="55"/>
      <c r="C808" s="55"/>
      <c r="D808" s="55"/>
      <c r="E808" s="55"/>
      <c r="F808" s="55"/>
      <c r="G808" s="55"/>
      <c r="H808" s="55"/>
    </row>
    <row r="809">
      <c r="A809" s="55"/>
      <c r="B809" s="55"/>
      <c r="C809" s="55"/>
      <c r="D809" s="55"/>
      <c r="E809" s="55"/>
      <c r="F809" s="55"/>
      <c r="G809" s="55"/>
      <c r="H809" s="55"/>
    </row>
    <row r="810">
      <c r="A810" s="55"/>
      <c r="B810" s="55"/>
      <c r="C810" s="55"/>
      <c r="D810" s="55"/>
      <c r="E810" s="55"/>
      <c r="F810" s="55"/>
      <c r="G810" s="55"/>
      <c r="H810" s="55"/>
    </row>
    <row r="811">
      <c r="A811" s="55"/>
      <c r="B811" s="55"/>
      <c r="C811" s="55"/>
      <c r="D811" s="55"/>
      <c r="E811" s="55"/>
      <c r="F811" s="55"/>
      <c r="G811" s="55"/>
      <c r="H811" s="55"/>
    </row>
    <row r="812">
      <c r="A812" s="55"/>
      <c r="B812" s="55"/>
      <c r="C812" s="55"/>
      <c r="D812" s="55"/>
      <c r="E812" s="55"/>
      <c r="F812" s="55"/>
      <c r="G812" s="55"/>
      <c r="H812" s="55"/>
    </row>
    <row r="813">
      <c r="A813" s="55"/>
      <c r="B813" s="55"/>
      <c r="C813" s="55"/>
      <c r="D813" s="55"/>
      <c r="E813" s="55"/>
      <c r="F813" s="55"/>
      <c r="G813" s="55"/>
      <c r="H813" s="55"/>
    </row>
    <row r="814">
      <c r="A814" s="55"/>
      <c r="B814" s="55"/>
      <c r="C814" s="55"/>
      <c r="D814" s="55"/>
      <c r="E814" s="55"/>
      <c r="F814" s="55"/>
      <c r="G814" s="55"/>
      <c r="H814" s="55"/>
    </row>
    <row r="815">
      <c r="A815" s="55"/>
      <c r="B815" s="55"/>
      <c r="C815" s="55"/>
      <c r="D815" s="55"/>
      <c r="E815" s="55"/>
      <c r="F815" s="55"/>
      <c r="G815" s="55"/>
      <c r="H815" s="55"/>
    </row>
    <row r="816">
      <c r="A816" s="55"/>
      <c r="B816" s="55"/>
      <c r="C816" s="55"/>
      <c r="D816" s="55"/>
      <c r="E816" s="55"/>
      <c r="F816" s="55"/>
      <c r="G816" s="55"/>
      <c r="H816" s="55"/>
    </row>
    <row r="817">
      <c r="A817" s="55"/>
      <c r="B817" s="55"/>
      <c r="C817" s="55"/>
      <c r="D817" s="55"/>
      <c r="E817" s="55"/>
      <c r="F817" s="55"/>
      <c r="G817" s="55"/>
      <c r="H817" s="55"/>
    </row>
    <row r="818">
      <c r="A818" s="55"/>
      <c r="B818" s="55"/>
      <c r="C818" s="55"/>
      <c r="D818" s="55"/>
      <c r="E818" s="55"/>
      <c r="F818" s="55"/>
      <c r="G818" s="55"/>
      <c r="H818" s="55"/>
    </row>
    <row r="819">
      <c r="A819" s="55"/>
      <c r="B819" s="55"/>
      <c r="C819" s="55"/>
      <c r="D819" s="55"/>
      <c r="E819" s="55"/>
      <c r="F819" s="55"/>
      <c r="G819" s="55"/>
      <c r="H819" s="55"/>
    </row>
    <row r="820">
      <c r="A820" s="55"/>
      <c r="B820" s="55"/>
      <c r="C820" s="55"/>
      <c r="D820" s="55"/>
      <c r="E820" s="55"/>
      <c r="F820" s="55"/>
      <c r="G820" s="55"/>
      <c r="H820" s="55"/>
    </row>
    <row r="821">
      <c r="A821" s="55"/>
      <c r="B821" s="55"/>
      <c r="C821" s="55"/>
      <c r="D821" s="55"/>
      <c r="E821" s="55"/>
      <c r="F821" s="55"/>
      <c r="G821" s="55"/>
      <c r="H821" s="55"/>
    </row>
    <row r="822">
      <c r="A822" s="55"/>
      <c r="B822" s="55"/>
      <c r="C822" s="55"/>
      <c r="D822" s="55"/>
      <c r="E822" s="55"/>
      <c r="F822" s="55"/>
      <c r="G822" s="55"/>
      <c r="H822" s="55"/>
    </row>
    <row r="823">
      <c r="A823" s="55"/>
      <c r="B823" s="55"/>
      <c r="C823" s="55"/>
      <c r="D823" s="55"/>
      <c r="E823" s="55"/>
      <c r="F823" s="55"/>
      <c r="G823" s="55"/>
      <c r="H823" s="55"/>
    </row>
    <row r="824">
      <c r="A824" s="55"/>
      <c r="B824" s="55"/>
      <c r="C824" s="55"/>
      <c r="D824" s="55"/>
      <c r="E824" s="55"/>
      <c r="F824" s="55"/>
      <c r="G824" s="55"/>
      <c r="H824" s="55"/>
    </row>
    <row r="825">
      <c r="A825" s="55"/>
      <c r="B825" s="55"/>
      <c r="C825" s="55"/>
      <c r="D825" s="55"/>
      <c r="E825" s="55"/>
      <c r="F825" s="55"/>
      <c r="G825" s="55"/>
      <c r="H825" s="55"/>
    </row>
    <row r="826">
      <c r="A826" s="55"/>
      <c r="B826" s="55"/>
      <c r="C826" s="55"/>
      <c r="D826" s="55"/>
      <c r="E826" s="55"/>
      <c r="F826" s="55"/>
      <c r="G826" s="55"/>
      <c r="H826" s="55"/>
    </row>
    <row r="827">
      <c r="A827" s="55"/>
      <c r="B827" s="55"/>
      <c r="C827" s="55"/>
      <c r="D827" s="55"/>
      <c r="E827" s="55"/>
      <c r="F827" s="55"/>
      <c r="G827" s="55"/>
      <c r="H827" s="55"/>
    </row>
    <row r="828">
      <c r="A828" s="55"/>
      <c r="B828" s="55"/>
      <c r="C828" s="55"/>
      <c r="D828" s="55"/>
      <c r="E828" s="55"/>
      <c r="F828" s="55"/>
      <c r="G828" s="55"/>
      <c r="H828" s="55"/>
    </row>
    <row r="829">
      <c r="A829" s="55"/>
      <c r="B829" s="55"/>
      <c r="C829" s="55"/>
      <c r="D829" s="55"/>
      <c r="E829" s="55"/>
      <c r="F829" s="55"/>
      <c r="G829" s="55"/>
      <c r="H829" s="55"/>
    </row>
    <row r="830">
      <c r="A830" s="55"/>
      <c r="B830" s="55"/>
      <c r="C830" s="55"/>
      <c r="D830" s="55"/>
      <c r="E830" s="55"/>
      <c r="F830" s="55"/>
      <c r="G830" s="55"/>
      <c r="H830" s="55"/>
    </row>
    <row r="831">
      <c r="A831" s="55"/>
      <c r="B831" s="55"/>
      <c r="C831" s="55"/>
      <c r="D831" s="55"/>
      <c r="E831" s="55"/>
      <c r="F831" s="55"/>
      <c r="G831" s="55"/>
      <c r="H831" s="55"/>
    </row>
    <row r="832">
      <c r="A832" s="55"/>
      <c r="B832" s="55"/>
      <c r="C832" s="55"/>
      <c r="D832" s="55"/>
      <c r="E832" s="55"/>
      <c r="F832" s="55"/>
      <c r="G832" s="55"/>
      <c r="H832" s="55"/>
    </row>
    <row r="833">
      <c r="A833" s="55"/>
      <c r="B833" s="55"/>
      <c r="C833" s="55"/>
      <c r="D833" s="55"/>
      <c r="E833" s="55"/>
      <c r="F833" s="55"/>
      <c r="G833" s="55"/>
      <c r="H833" s="55"/>
    </row>
    <row r="834">
      <c r="A834" s="55"/>
      <c r="B834" s="55"/>
      <c r="C834" s="55"/>
      <c r="D834" s="55"/>
      <c r="E834" s="55"/>
      <c r="F834" s="55"/>
      <c r="G834" s="55"/>
      <c r="H834" s="55"/>
    </row>
    <row r="835">
      <c r="A835" s="55"/>
      <c r="B835" s="55"/>
      <c r="C835" s="55"/>
      <c r="D835" s="55"/>
      <c r="E835" s="55"/>
      <c r="F835" s="55"/>
      <c r="G835" s="55"/>
      <c r="H835" s="55"/>
    </row>
    <row r="836">
      <c r="A836" s="55"/>
      <c r="B836" s="55"/>
      <c r="C836" s="55"/>
      <c r="D836" s="55"/>
      <c r="E836" s="55"/>
      <c r="F836" s="55"/>
      <c r="G836" s="55"/>
      <c r="H836" s="55"/>
    </row>
    <row r="837">
      <c r="A837" s="55"/>
      <c r="B837" s="55"/>
      <c r="C837" s="55"/>
      <c r="D837" s="55"/>
      <c r="E837" s="55"/>
      <c r="F837" s="55"/>
      <c r="G837" s="55"/>
      <c r="H837" s="55"/>
    </row>
    <row r="838">
      <c r="A838" s="55"/>
      <c r="B838" s="55"/>
      <c r="C838" s="55"/>
      <c r="D838" s="55"/>
      <c r="E838" s="55"/>
      <c r="F838" s="55"/>
      <c r="G838" s="55"/>
      <c r="H838" s="55"/>
    </row>
    <row r="839">
      <c r="A839" s="55"/>
      <c r="B839" s="55"/>
      <c r="C839" s="55"/>
      <c r="D839" s="55"/>
      <c r="E839" s="55"/>
      <c r="F839" s="55"/>
      <c r="G839" s="55"/>
      <c r="H839" s="55"/>
    </row>
    <row r="840">
      <c r="A840" s="55"/>
      <c r="B840" s="55"/>
      <c r="C840" s="55"/>
      <c r="D840" s="55"/>
      <c r="E840" s="55"/>
      <c r="F840" s="55"/>
      <c r="G840" s="55"/>
      <c r="H840" s="55"/>
    </row>
    <row r="841">
      <c r="A841" s="55"/>
      <c r="B841" s="55"/>
      <c r="C841" s="55"/>
      <c r="D841" s="55"/>
      <c r="E841" s="55"/>
      <c r="F841" s="55"/>
      <c r="G841" s="55"/>
      <c r="H841" s="55"/>
    </row>
    <row r="842">
      <c r="A842" s="55"/>
      <c r="B842" s="55"/>
      <c r="C842" s="55"/>
      <c r="D842" s="55"/>
      <c r="E842" s="55"/>
      <c r="F842" s="55"/>
      <c r="G842" s="55"/>
      <c r="H842" s="55"/>
    </row>
    <row r="843">
      <c r="A843" s="55"/>
      <c r="B843" s="55"/>
      <c r="C843" s="55"/>
      <c r="D843" s="55"/>
      <c r="E843" s="55"/>
      <c r="F843" s="55"/>
      <c r="G843" s="55"/>
      <c r="H843" s="55"/>
    </row>
    <row r="844">
      <c r="A844" s="55"/>
      <c r="B844" s="55"/>
      <c r="C844" s="55"/>
      <c r="D844" s="55"/>
      <c r="E844" s="55"/>
      <c r="F844" s="55"/>
      <c r="G844" s="55"/>
      <c r="H844" s="55"/>
    </row>
    <row r="845">
      <c r="A845" s="55"/>
      <c r="B845" s="55"/>
      <c r="C845" s="55"/>
      <c r="D845" s="55"/>
      <c r="E845" s="55"/>
      <c r="F845" s="55"/>
      <c r="G845" s="55"/>
      <c r="H845" s="55"/>
    </row>
    <row r="846">
      <c r="A846" s="55"/>
      <c r="B846" s="55"/>
      <c r="C846" s="55"/>
      <c r="D846" s="55"/>
      <c r="E846" s="55"/>
      <c r="F846" s="55"/>
      <c r="G846" s="55"/>
      <c r="H846" s="55"/>
    </row>
    <row r="847">
      <c r="A847" s="55"/>
      <c r="B847" s="55"/>
      <c r="C847" s="55"/>
      <c r="D847" s="55"/>
      <c r="E847" s="55"/>
      <c r="F847" s="55"/>
      <c r="G847" s="55"/>
      <c r="H847" s="55"/>
    </row>
    <row r="848">
      <c r="A848" s="55"/>
      <c r="B848" s="55"/>
      <c r="C848" s="55"/>
      <c r="D848" s="55"/>
      <c r="E848" s="55"/>
      <c r="F848" s="55"/>
      <c r="G848" s="55"/>
      <c r="H848" s="55"/>
    </row>
    <row r="849">
      <c r="A849" s="55"/>
      <c r="B849" s="55"/>
      <c r="C849" s="55"/>
      <c r="D849" s="55"/>
      <c r="E849" s="55"/>
      <c r="F849" s="55"/>
      <c r="G849" s="55"/>
      <c r="H849" s="55"/>
    </row>
    <row r="850">
      <c r="A850" s="55"/>
      <c r="B850" s="55"/>
      <c r="C850" s="55"/>
      <c r="D850" s="55"/>
      <c r="E850" s="55"/>
      <c r="F850" s="55"/>
      <c r="G850" s="55"/>
      <c r="H850" s="55"/>
    </row>
    <row r="851">
      <c r="A851" s="55"/>
      <c r="B851" s="55"/>
      <c r="C851" s="55"/>
      <c r="D851" s="55"/>
      <c r="E851" s="55"/>
      <c r="F851" s="55"/>
      <c r="G851" s="55"/>
      <c r="H851" s="55"/>
    </row>
    <row r="852">
      <c r="A852" s="55"/>
      <c r="B852" s="55"/>
      <c r="C852" s="55"/>
      <c r="D852" s="55"/>
      <c r="E852" s="55"/>
      <c r="F852" s="55"/>
      <c r="G852" s="55"/>
      <c r="H852" s="55"/>
    </row>
    <row r="853">
      <c r="A853" s="55"/>
      <c r="B853" s="55"/>
      <c r="C853" s="55"/>
      <c r="D853" s="55"/>
      <c r="E853" s="55"/>
      <c r="F853" s="55"/>
      <c r="G853" s="55"/>
      <c r="H853" s="55"/>
    </row>
    <row r="854">
      <c r="A854" s="55"/>
      <c r="B854" s="55"/>
      <c r="C854" s="55"/>
      <c r="D854" s="55"/>
      <c r="E854" s="55"/>
      <c r="F854" s="55"/>
      <c r="G854" s="55"/>
      <c r="H854" s="55"/>
    </row>
    <row r="855">
      <c r="A855" s="55"/>
      <c r="B855" s="55"/>
      <c r="C855" s="55"/>
      <c r="D855" s="55"/>
      <c r="E855" s="55"/>
      <c r="F855" s="55"/>
      <c r="G855" s="55"/>
      <c r="H855" s="55"/>
    </row>
    <row r="856">
      <c r="A856" s="55"/>
      <c r="B856" s="55"/>
      <c r="C856" s="55"/>
      <c r="D856" s="55"/>
      <c r="E856" s="55"/>
      <c r="F856" s="55"/>
      <c r="G856" s="55"/>
      <c r="H856" s="55"/>
    </row>
    <row r="857">
      <c r="A857" s="55"/>
      <c r="B857" s="55"/>
      <c r="C857" s="55"/>
      <c r="D857" s="55"/>
      <c r="E857" s="55"/>
      <c r="F857" s="55"/>
      <c r="G857" s="55"/>
      <c r="H857" s="55"/>
    </row>
    <row r="858">
      <c r="A858" s="55"/>
      <c r="B858" s="55"/>
      <c r="C858" s="55"/>
      <c r="D858" s="55"/>
      <c r="E858" s="55"/>
      <c r="F858" s="55"/>
      <c r="G858" s="55"/>
      <c r="H858" s="55"/>
    </row>
    <row r="859">
      <c r="A859" s="55"/>
      <c r="B859" s="55"/>
      <c r="C859" s="55"/>
      <c r="D859" s="55"/>
      <c r="E859" s="55"/>
      <c r="F859" s="55"/>
      <c r="G859" s="55"/>
      <c r="H859" s="55"/>
    </row>
    <row r="860">
      <c r="A860" s="55"/>
      <c r="B860" s="55"/>
      <c r="C860" s="55"/>
      <c r="D860" s="55"/>
      <c r="E860" s="55"/>
      <c r="F860" s="55"/>
      <c r="G860" s="55"/>
      <c r="H860" s="55"/>
    </row>
    <row r="861">
      <c r="A861" s="55"/>
      <c r="B861" s="55"/>
      <c r="C861" s="55"/>
      <c r="D861" s="55"/>
      <c r="E861" s="55"/>
      <c r="F861" s="55"/>
      <c r="G861" s="55"/>
      <c r="H861" s="55"/>
    </row>
    <row r="862">
      <c r="A862" s="55"/>
      <c r="B862" s="55"/>
      <c r="C862" s="55"/>
      <c r="D862" s="55"/>
      <c r="E862" s="55"/>
      <c r="F862" s="55"/>
      <c r="G862" s="55"/>
      <c r="H862" s="55"/>
    </row>
    <row r="863">
      <c r="A863" s="55"/>
      <c r="B863" s="55"/>
      <c r="C863" s="55"/>
      <c r="D863" s="55"/>
      <c r="E863" s="55"/>
      <c r="F863" s="55"/>
      <c r="G863" s="55"/>
      <c r="H863" s="55"/>
    </row>
    <row r="864">
      <c r="A864" s="55"/>
      <c r="B864" s="55"/>
      <c r="C864" s="55"/>
      <c r="D864" s="55"/>
      <c r="E864" s="55"/>
      <c r="F864" s="55"/>
      <c r="G864" s="55"/>
      <c r="H864" s="55"/>
    </row>
    <row r="865">
      <c r="A865" s="55"/>
      <c r="B865" s="55"/>
      <c r="C865" s="55"/>
      <c r="D865" s="55"/>
      <c r="E865" s="55"/>
      <c r="F865" s="55"/>
      <c r="G865" s="55"/>
      <c r="H865" s="55"/>
    </row>
    <row r="866">
      <c r="A866" s="55"/>
      <c r="B866" s="55"/>
      <c r="C866" s="55"/>
      <c r="D866" s="55"/>
      <c r="E866" s="55"/>
      <c r="F866" s="55"/>
      <c r="G866" s="55"/>
      <c r="H866" s="55"/>
    </row>
    <row r="867">
      <c r="A867" s="55"/>
      <c r="B867" s="55"/>
      <c r="C867" s="55"/>
      <c r="D867" s="55"/>
      <c r="E867" s="55"/>
      <c r="F867" s="55"/>
      <c r="G867" s="55"/>
      <c r="H867" s="55"/>
    </row>
    <row r="868">
      <c r="A868" s="55"/>
      <c r="B868" s="55"/>
      <c r="C868" s="55"/>
      <c r="D868" s="55"/>
      <c r="E868" s="55"/>
      <c r="F868" s="55"/>
      <c r="G868" s="55"/>
      <c r="H868" s="55"/>
    </row>
    <row r="869">
      <c r="A869" s="55"/>
      <c r="B869" s="55"/>
      <c r="C869" s="55"/>
      <c r="D869" s="55"/>
      <c r="E869" s="55"/>
      <c r="F869" s="55"/>
      <c r="G869" s="55"/>
      <c r="H869" s="55"/>
    </row>
    <row r="870">
      <c r="A870" s="55"/>
      <c r="B870" s="55"/>
      <c r="C870" s="55"/>
      <c r="D870" s="55"/>
      <c r="E870" s="55"/>
      <c r="F870" s="55"/>
      <c r="G870" s="55"/>
      <c r="H870" s="55"/>
    </row>
    <row r="871">
      <c r="A871" s="55"/>
      <c r="B871" s="55"/>
      <c r="C871" s="55"/>
      <c r="D871" s="55"/>
      <c r="E871" s="55"/>
      <c r="F871" s="55"/>
      <c r="G871" s="55"/>
      <c r="H871" s="55"/>
    </row>
    <row r="872">
      <c r="A872" s="55"/>
      <c r="B872" s="55"/>
      <c r="C872" s="55"/>
      <c r="D872" s="55"/>
      <c r="E872" s="55"/>
      <c r="F872" s="55"/>
      <c r="G872" s="55"/>
      <c r="H872" s="55"/>
    </row>
    <row r="873">
      <c r="A873" s="55"/>
      <c r="B873" s="55"/>
      <c r="C873" s="55"/>
      <c r="D873" s="55"/>
      <c r="E873" s="55"/>
      <c r="F873" s="55"/>
      <c r="G873" s="55"/>
      <c r="H873" s="55"/>
    </row>
    <row r="874">
      <c r="A874" s="55"/>
      <c r="B874" s="55"/>
      <c r="C874" s="55"/>
      <c r="D874" s="55"/>
      <c r="E874" s="55"/>
      <c r="F874" s="55"/>
      <c r="G874" s="55"/>
      <c r="H874" s="55"/>
    </row>
    <row r="875">
      <c r="A875" s="55"/>
      <c r="B875" s="55"/>
      <c r="C875" s="55"/>
      <c r="D875" s="55"/>
      <c r="E875" s="55"/>
      <c r="F875" s="55"/>
      <c r="G875" s="55"/>
      <c r="H875" s="55"/>
    </row>
    <row r="876">
      <c r="A876" s="55"/>
      <c r="B876" s="55"/>
      <c r="C876" s="55"/>
      <c r="D876" s="55"/>
      <c r="E876" s="55"/>
      <c r="F876" s="55"/>
      <c r="G876" s="55"/>
      <c r="H876" s="55"/>
    </row>
    <row r="877">
      <c r="A877" s="55"/>
      <c r="B877" s="55"/>
      <c r="C877" s="55"/>
      <c r="D877" s="55"/>
      <c r="E877" s="55"/>
      <c r="F877" s="55"/>
      <c r="G877" s="55"/>
      <c r="H877" s="55"/>
    </row>
    <row r="878">
      <c r="A878" s="55"/>
      <c r="B878" s="55"/>
      <c r="C878" s="55"/>
      <c r="D878" s="55"/>
      <c r="E878" s="55"/>
      <c r="F878" s="55"/>
      <c r="G878" s="55"/>
      <c r="H878" s="55"/>
    </row>
    <row r="879">
      <c r="A879" s="55"/>
      <c r="B879" s="55"/>
      <c r="C879" s="55"/>
      <c r="D879" s="55"/>
      <c r="E879" s="55"/>
      <c r="F879" s="55"/>
      <c r="G879" s="55"/>
      <c r="H879" s="55"/>
    </row>
    <row r="880">
      <c r="A880" s="55"/>
      <c r="B880" s="55"/>
      <c r="C880" s="55"/>
      <c r="D880" s="55"/>
      <c r="E880" s="55"/>
      <c r="F880" s="55"/>
      <c r="G880" s="55"/>
      <c r="H880" s="55"/>
    </row>
    <row r="881">
      <c r="A881" s="55"/>
      <c r="B881" s="55"/>
      <c r="C881" s="55"/>
      <c r="D881" s="55"/>
      <c r="E881" s="55"/>
      <c r="F881" s="55"/>
      <c r="G881" s="55"/>
      <c r="H881" s="55"/>
    </row>
    <row r="882">
      <c r="A882" s="55"/>
      <c r="B882" s="55"/>
      <c r="C882" s="55"/>
      <c r="D882" s="55"/>
      <c r="E882" s="55"/>
      <c r="F882" s="55"/>
      <c r="G882" s="55"/>
      <c r="H882" s="55"/>
    </row>
    <row r="883">
      <c r="A883" s="55"/>
      <c r="B883" s="55"/>
      <c r="C883" s="55"/>
      <c r="D883" s="55"/>
      <c r="E883" s="55"/>
      <c r="F883" s="55"/>
      <c r="G883" s="55"/>
      <c r="H883" s="55"/>
    </row>
    <row r="884">
      <c r="A884" s="55"/>
      <c r="B884" s="55"/>
      <c r="C884" s="55"/>
      <c r="D884" s="55"/>
      <c r="E884" s="55"/>
      <c r="F884" s="55"/>
      <c r="G884" s="55"/>
      <c r="H884" s="55"/>
    </row>
    <row r="885">
      <c r="A885" s="55"/>
      <c r="B885" s="55"/>
      <c r="C885" s="55"/>
      <c r="D885" s="55"/>
      <c r="E885" s="55"/>
      <c r="F885" s="55"/>
      <c r="G885" s="55"/>
      <c r="H885" s="55"/>
    </row>
    <row r="886">
      <c r="A886" s="55"/>
      <c r="B886" s="55"/>
      <c r="C886" s="55"/>
      <c r="D886" s="55"/>
      <c r="E886" s="55"/>
      <c r="F886" s="55"/>
      <c r="G886" s="55"/>
      <c r="H886" s="55"/>
    </row>
    <row r="887">
      <c r="A887" s="55"/>
      <c r="B887" s="55"/>
      <c r="C887" s="55"/>
      <c r="D887" s="55"/>
      <c r="E887" s="55"/>
      <c r="F887" s="55"/>
      <c r="G887" s="55"/>
      <c r="H887" s="55"/>
    </row>
    <row r="888">
      <c r="A888" s="55"/>
      <c r="B888" s="55"/>
      <c r="C888" s="55"/>
      <c r="D888" s="55"/>
      <c r="E888" s="55"/>
      <c r="F888" s="55"/>
      <c r="G888" s="55"/>
      <c r="H888" s="55"/>
    </row>
    <row r="889">
      <c r="A889" s="55"/>
      <c r="B889" s="55"/>
      <c r="C889" s="55"/>
      <c r="D889" s="55"/>
      <c r="E889" s="55"/>
      <c r="F889" s="55"/>
      <c r="G889" s="55"/>
      <c r="H889" s="55"/>
    </row>
    <row r="890">
      <c r="A890" s="55"/>
      <c r="B890" s="55"/>
      <c r="C890" s="55"/>
      <c r="D890" s="55"/>
      <c r="E890" s="55"/>
      <c r="F890" s="55"/>
      <c r="G890" s="55"/>
      <c r="H890" s="55"/>
    </row>
    <row r="891">
      <c r="A891" s="55"/>
      <c r="B891" s="55"/>
      <c r="C891" s="55"/>
      <c r="D891" s="55"/>
      <c r="E891" s="55"/>
      <c r="F891" s="55"/>
      <c r="G891" s="55"/>
      <c r="H891" s="55"/>
    </row>
    <row r="892">
      <c r="A892" s="55"/>
      <c r="B892" s="55"/>
      <c r="C892" s="55"/>
      <c r="D892" s="55"/>
      <c r="E892" s="55"/>
      <c r="F892" s="55"/>
      <c r="G892" s="55"/>
      <c r="H892" s="55"/>
    </row>
    <row r="893">
      <c r="A893" s="55"/>
      <c r="B893" s="55"/>
      <c r="C893" s="55"/>
      <c r="D893" s="55"/>
      <c r="E893" s="55"/>
      <c r="F893" s="55"/>
      <c r="G893" s="55"/>
      <c r="H893" s="55"/>
    </row>
    <row r="894">
      <c r="A894" s="55"/>
      <c r="B894" s="55"/>
      <c r="C894" s="55"/>
      <c r="D894" s="55"/>
      <c r="E894" s="55"/>
      <c r="F894" s="55"/>
      <c r="G894" s="55"/>
      <c r="H894" s="55"/>
    </row>
    <row r="895">
      <c r="A895" s="55"/>
      <c r="B895" s="55"/>
      <c r="C895" s="55"/>
      <c r="D895" s="55"/>
      <c r="E895" s="55"/>
      <c r="F895" s="55"/>
      <c r="G895" s="55"/>
      <c r="H895" s="55"/>
    </row>
    <row r="896">
      <c r="A896" s="55"/>
      <c r="B896" s="55"/>
      <c r="C896" s="55"/>
      <c r="D896" s="55"/>
      <c r="E896" s="55"/>
      <c r="F896" s="55"/>
      <c r="G896" s="55"/>
      <c r="H896" s="55"/>
    </row>
    <row r="897">
      <c r="A897" s="55"/>
      <c r="B897" s="55"/>
      <c r="C897" s="55"/>
      <c r="D897" s="55"/>
      <c r="E897" s="55"/>
      <c r="F897" s="55"/>
      <c r="G897" s="55"/>
      <c r="H897" s="55"/>
    </row>
    <row r="898">
      <c r="A898" s="55"/>
      <c r="B898" s="55"/>
      <c r="C898" s="55"/>
      <c r="D898" s="55"/>
      <c r="E898" s="55"/>
      <c r="F898" s="55"/>
      <c r="G898" s="55"/>
      <c r="H898" s="55"/>
    </row>
    <row r="899">
      <c r="A899" s="55"/>
      <c r="B899" s="55"/>
      <c r="C899" s="55"/>
      <c r="D899" s="55"/>
      <c r="E899" s="55"/>
      <c r="F899" s="55"/>
      <c r="G899" s="55"/>
      <c r="H899" s="55"/>
    </row>
    <row r="900">
      <c r="A900" s="55"/>
      <c r="B900" s="55"/>
      <c r="C900" s="55"/>
      <c r="D900" s="55"/>
      <c r="E900" s="55"/>
      <c r="F900" s="55"/>
      <c r="G900" s="55"/>
      <c r="H900" s="55"/>
    </row>
    <row r="901">
      <c r="A901" s="55"/>
      <c r="B901" s="55"/>
      <c r="C901" s="55"/>
      <c r="D901" s="55"/>
      <c r="E901" s="55"/>
      <c r="F901" s="55"/>
      <c r="G901" s="55"/>
      <c r="H901" s="55"/>
    </row>
    <row r="902">
      <c r="A902" s="55"/>
      <c r="B902" s="55"/>
      <c r="C902" s="55"/>
      <c r="D902" s="55"/>
      <c r="E902" s="55"/>
      <c r="F902" s="55"/>
      <c r="G902" s="55"/>
      <c r="H902" s="55"/>
    </row>
    <row r="903">
      <c r="A903" s="55"/>
      <c r="B903" s="55"/>
      <c r="C903" s="55"/>
      <c r="D903" s="55"/>
      <c r="E903" s="55"/>
      <c r="F903" s="55"/>
      <c r="G903" s="55"/>
      <c r="H903" s="55"/>
    </row>
    <row r="904">
      <c r="A904" s="55"/>
      <c r="B904" s="55"/>
      <c r="C904" s="55"/>
      <c r="D904" s="55"/>
      <c r="E904" s="55"/>
      <c r="F904" s="55"/>
      <c r="G904" s="55"/>
      <c r="H904" s="55"/>
    </row>
    <row r="905">
      <c r="A905" s="55"/>
      <c r="B905" s="55"/>
      <c r="C905" s="55"/>
      <c r="D905" s="55"/>
      <c r="E905" s="55"/>
      <c r="F905" s="55"/>
      <c r="G905" s="55"/>
      <c r="H905" s="55"/>
    </row>
    <row r="906">
      <c r="A906" s="55"/>
      <c r="B906" s="55"/>
      <c r="C906" s="55"/>
      <c r="D906" s="55"/>
      <c r="E906" s="55"/>
      <c r="F906" s="55"/>
      <c r="G906" s="55"/>
      <c r="H906" s="55"/>
    </row>
    <row r="907">
      <c r="A907" s="55"/>
      <c r="B907" s="55"/>
      <c r="C907" s="55"/>
      <c r="D907" s="55"/>
      <c r="E907" s="55"/>
      <c r="F907" s="55"/>
      <c r="G907" s="55"/>
      <c r="H907" s="55"/>
    </row>
    <row r="908">
      <c r="A908" s="55"/>
      <c r="B908" s="55"/>
      <c r="C908" s="55"/>
      <c r="D908" s="55"/>
      <c r="E908" s="55"/>
      <c r="F908" s="55"/>
      <c r="G908" s="55"/>
      <c r="H908" s="55"/>
    </row>
    <row r="909">
      <c r="A909" s="55"/>
      <c r="B909" s="55"/>
      <c r="C909" s="55"/>
      <c r="D909" s="55"/>
      <c r="E909" s="55"/>
      <c r="F909" s="55"/>
      <c r="G909" s="55"/>
      <c r="H909" s="55"/>
    </row>
    <row r="910">
      <c r="A910" s="55"/>
      <c r="B910" s="55"/>
      <c r="C910" s="55"/>
      <c r="D910" s="55"/>
      <c r="E910" s="55"/>
      <c r="F910" s="55"/>
      <c r="G910" s="55"/>
      <c r="H910" s="55"/>
    </row>
    <row r="911">
      <c r="A911" s="55"/>
      <c r="B911" s="55"/>
      <c r="C911" s="55"/>
      <c r="D911" s="55"/>
      <c r="E911" s="55"/>
      <c r="F911" s="55"/>
      <c r="G911" s="55"/>
      <c r="H911" s="55"/>
    </row>
    <row r="912">
      <c r="A912" s="55"/>
      <c r="B912" s="55"/>
      <c r="C912" s="55"/>
      <c r="D912" s="55"/>
      <c r="E912" s="55"/>
      <c r="F912" s="55"/>
      <c r="G912" s="55"/>
      <c r="H912" s="55"/>
    </row>
    <row r="913">
      <c r="A913" s="55"/>
      <c r="B913" s="55"/>
      <c r="C913" s="55"/>
      <c r="D913" s="55"/>
      <c r="E913" s="55"/>
      <c r="F913" s="55"/>
      <c r="G913" s="55"/>
      <c r="H913" s="55"/>
    </row>
    <row r="914">
      <c r="A914" s="55"/>
      <c r="B914" s="55"/>
      <c r="C914" s="55"/>
      <c r="D914" s="55"/>
      <c r="E914" s="55"/>
      <c r="F914" s="55"/>
      <c r="G914" s="55"/>
      <c r="H914" s="55"/>
    </row>
    <row r="915">
      <c r="A915" s="55"/>
      <c r="B915" s="55"/>
      <c r="C915" s="55"/>
      <c r="D915" s="55"/>
      <c r="E915" s="55"/>
      <c r="F915" s="55"/>
      <c r="G915" s="55"/>
      <c r="H915" s="55"/>
    </row>
    <row r="916">
      <c r="A916" s="55"/>
      <c r="B916" s="55"/>
      <c r="C916" s="55"/>
      <c r="D916" s="55"/>
      <c r="E916" s="55"/>
      <c r="F916" s="55"/>
      <c r="G916" s="55"/>
      <c r="H916" s="55"/>
    </row>
    <row r="917">
      <c r="A917" s="55"/>
      <c r="B917" s="55"/>
      <c r="C917" s="55"/>
      <c r="D917" s="55"/>
      <c r="E917" s="55"/>
      <c r="F917" s="55"/>
      <c r="G917" s="55"/>
      <c r="H917" s="55"/>
    </row>
    <row r="918">
      <c r="A918" s="55"/>
      <c r="B918" s="55"/>
      <c r="C918" s="55"/>
      <c r="D918" s="55"/>
      <c r="E918" s="55"/>
      <c r="F918" s="55"/>
      <c r="G918" s="55"/>
      <c r="H918" s="55"/>
    </row>
    <row r="919">
      <c r="A919" s="55"/>
      <c r="B919" s="55"/>
      <c r="C919" s="55"/>
      <c r="D919" s="55"/>
      <c r="E919" s="55"/>
      <c r="F919" s="55"/>
      <c r="G919" s="55"/>
      <c r="H919" s="55"/>
    </row>
    <row r="920">
      <c r="A920" s="55"/>
      <c r="B920" s="55"/>
      <c r="C920" s="55"/>
      <c r="D920" s="55"/>
      <c r="E920" s="55"/>
      <c r="F920" s="55"/>
      <c r="G920" s="55"/>
      <c r="H920" s="55"/>
    </row>
    <row r="921">
      <c r="A921" s="55"/>
      <c r="B921" s="55"/>
      <c r="C921" s="55"/>
      <c r="D921" s="55"/>
      <c r="E921" s="55"/>
      <c r="F921" s="55"/>
      <c r="G921" s="55"/>
      <c r="H921" s="55"/>
    </row>
    <row r="922">
      <c r="A922" s="55"/>
      <c r="B922" s="55"/>
      <c r="C922" s="55"/>
      <c r="D922" s="55"/>
      <c r="E922" s="55"/>
      <c r="F922" s="55"/>
      <c r="G922" s="55"/>
      <c r="H922" s="55"/>
    </row>
    <row r="923">
      <c r="A923" s="55"/>
      <c r="B923" s="55"/>
      <c r="C923" s="55"/>
      <c r="D923" s="55"/>
      <c r="E923" s="55"/>
      <c r="F923" s="55"/>
      <c r="G923" s="55"/>
      <c r="H923" s="55"/>
    </row>
    <row r="924">
      <c r="A924" s="55"/>
      <c r="B924" s="55"/>
      <c r="C924" s="55"/>
      <c r="D924" s="55"/>
      <c r="E924" s="55"/>
      <c r="F924" s="55"/>
      <c r="G924" s="55"/>
      <c r="H924" s="55"/>
    </row>
    <row r="925">
      <c r="A925" s="55"/>
      <c r="B925" s="55"/>
      <c r="C925" s="55"/>
      <c r="D925" s="55"/>
      <c r="E925" s="55"/>
      <c r="F925" s="55"/>
      <c r="G925" s="55"/>
      <c r="H925" s="55"/>
    </row>
    <row r="926">
      <c r="A926" s="55"/>
      <c r="B926" s="55"/>
      <c r="C926" s="55"/>
      <c r="D926" s="55"/>
      <c r="E926" s="55"/>
      <c r="F926" s="55"/>
      <c r="G926" s="55"/>
      <c r="H926" s="55"/>
    </row>
    <row r="927">
      <c r="A927" s="55"/>
      <c r="B927" s="55"/>
      <c r="C927" s="55"/>
      <c r="D927" s="55"/>
      <c r="E927" s="55"/>
      <c r="F927" s="55"/>
      <c r="G927" s="55"/>
      <c r="H927" s="55"/>
    </row>
    <row r="928">
      <c r="A928" s="55"/>
      <c r="B928" s="55"/>
      <c r="C928" s="55"/>
      <c r="D928" s="55"/>
      <c r="E928" s="55"/>
      <c r="F928" s="55"/>
      <c r="G928" s="55"/>
      <c r="H928" s="55"/>
    </row>
    <row r="929">
      <c r="A929" s="55"/>
      <c r="B929" s="55"/>
      <c r="C929" s="55"/>
      <c r="D929" s="55"/>
      <c r="E929" s="55"/>
      <c r="F929" s="55"/>
      <c r="G929" s="55"/>
      <c r="H929" s="55"/>
    </row>
    <row r="930">
      <c r="A930" s="55"/>
      <c r="B930" s="55"/>
      <c r="C930" s="55"/>
      <c r="D930" s="55"/>
      <c r="E930" s="55"/>
      <c r="F930" s="55"/>
      <c r="G930" s="55"/>
      <c r="H930" s="55"/>
    </row>
    <row r="931">
      <c r="A931" s="55"/>
      <c r="B931" s="55"/>
      <c r="C931" s="55"/>
      <c r="D931" s="55"/>
      <c r="E931" s="55"/>
      <c r="F931" s="55"/>
      <c r="G931" s="55"/>
      <c r="H931" s="55"/>
    </row>
    <row r="932">
      <c r="A932" s="55"/>
      <c r="B932" s="55"/>
      <c r="C932" s="55"/>
      <c r="D932" s="55"/>
      <c r="E932" s="55"/>
      <c r="F932" s="55"/>
      <c r="G932" s="55"/>
      <c r="H932" s="55"/>
    </row>
    <row r="933">
      <c r="A933" s="55"/>
      <c r="B933" s="55"/>
      <c r="C933" s="55"/>
      <c r="D933" s="55"/>
      <c r="E933" s="55"/>
      <c r="F933" s="55"/>
      <c r="G933" s="55"/>
      <c r="H933" s="55"/>
    </row>
    <row r="934">
      <c r="A934" s="55"/>
      <c r="B934" s="55"/>
      <c r="C934" s="55"/>
      <c r="D934" s="55"/>
      <c r="E934" s="55"/>
      <c r="F934" s="55"/>
      <c r="G934" s="55"/>
      <c r="H934" s="55"/>
    </row>
    <row r="935">
      <c r="A935" s="55"/>
      <c r="B935" s="55"/>
      <c r="C935" s="55"/>
      <c r="D935" s="55"/>
      <c r="E935" s="55"/>
      <c r="F935" s="55"/>
      <c r="G935" s="55"/>
      <c r="H935" s="55"/>
    </row>
    <row r="936">
      <c r="A936" s="55"/>
      <c r="B936" s="55"/>
      <c r="C936" s="55"/>
      <c r="D936" s="55"/>
      <c r="E936" s="55"/>
      <c r="F936" s="55"/>
      <c r="G936" s="55"/>
      <c r="H936" s="55"/>
    </row>
    <row r="937">
      <c r="A937" s="55"/>
      <c r="B937" s="55"/>
      <c r="C937" s="55"/>
      <c r="D937" s="55"/>
      <c r="E937" s="55"/>
      <c r="F937" s="55"/>
      <c r="G937" s="55"/>
      <c r="H937" s="55"/>
    </row>
    <row r="938">
      <c r="A938" s="55"/>
      <c r="B938" s="55"/>
      <c r="C938" s="55"/>
      <c r="D938" s="55"/>
      <c r="E938" s="55"/>
      <c r="F938" s="55"/>
      <c r="G938" s="55"/>
      <c r="H938" s="55"/>
    </row>
    <row r="939">
      <c r="A939" s="55"/>
      <c r="B939" s="55"/>
      <c r="C939" s="55"/>
      <c r="D939" s="55"/>
      <c r="E939" s="55"/>
      <c r="F939" s="55"/>
      <c r="G939" s="55"/>
      <c r="H939" s="55"/>
    </row>
    <row r="940">
      <c r="A940" s="55"/>
      <c r="B940" s="55"/>
      <c r="C940" s="55"/>
      <c r="D940" s="55"/>
      <c r="E940" s="55"/>
      <c r="F940" s="55"/>
      <c r="G940" s="55"/>
      <c r="H940" s="55"/>
    </row>
    <row r="941">
      <c r="A941" s="55"/>
      <c r="B941" s="55"/>
      <c r="C941" s="55"/>
      <c r="D941" s="55"/>
      <c r="E941" s="55"/>
      <c r="F941" s="55"/>
      <c r="G941" s="55"/>
      <c r="H941" s="55"/>
    </row>
    <row r="942">
      <c r="A942" s="55"/>
      <c r="B942" s="55"/>
      <c r="C942" s="55"/>
      <c r="D942" s="55"/>
      <c r="E942" s="55"/>
      <c r="F942" s="55"/>
      <c r="G942" s="55"/>
      <c r="H942" s="55"/>
    </row>
    <row r="943">
      <c r="A943" s="55"/>
      <c r="B943" s="55"/>
      <c r="C943" s="55"/>
      <c r="D943" s="55"/>
      <c r="E943" s="55"/>
      <c r="F943" s="55"/>
      <c r="G943" s="55"/>
      <c r="H943" s="55"/>
    </row>
    <row r="944">
      <c r="A944" s="55"/>
      <c r="B944" s="55"/>
      <c r="C944" s="55"/>
      <c r="D944" s="55"/>
      <c r="E944" s="55"/>
      <c r="F944" s="55"/>
      <c r="G944" s="55"/>
      <c r="H944" s="55"/>
    </row>
    <row r="945">
      <c r="A945" s="55"/>
      <c r="B945" s="55"/>
      <c r="C945" s="55"/>
      <c r="D945" s="55"/>
      <c r="E945" s="55"/>
      <c r="F945" s="55"/>
      <c r="G945" s="55"/>
      <c r="H945" s="55"/>
    </row>
    <row r="946">
      <c r="A946" s="55"/>
      <c r="B946" s="55"/>
      <c r="C946" s="55"/>
      <c r="D946" s="55"/>
      <c r="E946" s="55"/>
      <c r="F946" s="55"/>
      <c r="G946" s="55"/>
      <c r="H946" s="55"/>
    </row>
    <row r="947">
      <c r="A947" s="55"/>
      <c r="B947" s="55"/>
      <c r="C947" s="55"/>
      <c r="D947" s="55"/>
      <c r="E947" s="55"/>
      <c r="F947" s="55"/>
      <c r="G947" s="55"/>
      <c r="H947" s="55"/>
    </row>
    <row r="948">
      <c r="A948" s="55"/>
      <c r="B948" s="55"/>
      <c r="C948" s="55"/>
      <c r="D948" s="55"/>
      <c r="E948" s="55"/>
      <c r="F948" s="55"/>
      <c r="G948" s="55"/>
      <c r="H948" s="55"/>
    </row>
    <row r="949">
      <c r="A949" s="55"/>
      <c r="B949" s="55"/>
      <c r="C949" s="55"/>
      <c r="D949" s="55"/>
      <c r="E949" s="55"/>
      <c r="F949" s="55"/>
      <c r="G949" s="55"/>
      <c r="H949" s="55"/>
    </row>
    <row r="950">
      <c r="A950" s="55"/>
      <c r="B950" s="55"/>
      <c r="C950" s="55"/>
      <c r="D950" s="55"/>
      <c r="E950" s="55"/>
      <c r="F950" s="55"/>
      <c r="G950" s="55"/>
      <c r="H950" s="55"/>
    </row>
    <row r="951">
      <c r="A951" s="55"/>
      <c r="B951" s="55"/>
      <c r="C951" s="55"/>
      <c r="D951" s="55"/>
      <c r="E951" s="55"/>
      <c r="F951" s="55"/>
      <c r="G951" s="55"/>
      <c r="H951" s="55"/>
    </row>
    <row r="952">
      <c r="A952" s="55"/>
      <c r="B952" s="55"/>
      <c r="C952" s="55"/>
      <c r="D952" s="55"/>
      <c r="E952" s="55"/>
      <c r="F952" s="55"/>
      <c r="G952" s="55"/>
      <c r="H952" s="55"/>
    </row>
    <row r="953">
      <c r="A953" s="55"/>
      <c r="B953" s="55"/>
      <c r="C953" s="55"/>
      <c r="D953" s="55"/>
      <c r="E953" s="55"/>
      <c r="F953" s="55"/>
      <c r="G953" s="55"/>
      <c r="H953" s="55"/>
    </row>
    <row r="954">
      <c r="A954" s="55"/>
      <c r="B954" s="55"/>
      <c r="C954" s="55"/>
      <c r="D954" s="55"/>
      <c r="E954" s="55"/>
      <c r="F954" s="55"/>
      <c r="G954" s="55"/>
      <c r="H954" s="55"/>
    </row>
    <row r="955">
      <c r="A955" s="55"/>
      <c r="B955" s="55"/>
      <c r="C955" s="55"/>
      <c r="D955" s="55"/>
      <c r="E955" s="55"/>
      <c r="F955" s="55"/>
      <c r="G955" s="55"/>
      <c r="H955" s="55"/>
    </row>
    <row r="956">
      <c r="A956" s="55"/>
      <c r="B956" s="55"/>
      <c r="C956" s="55"/>
      <c r="D956" s="55"/>
      <c r="E956" s="55"/>
      <c r="F956" s="55"/>
      <c r="G956" s="55"/>
      <c r="H956" s="55"/>
    </row>
    <row r="957">
      <c r="A957" s="55"/>
      <c r="B957" s="55"/>
      <c r="C957" s="55"/>
      <c r="D957" s="55"/>
      <c r="E957" s="55"/>
      <c r="F957" s="55"/>
      <c r="G957" s="55"/>
      <c r="H957" s="55"/>
    </row>
    <row r="958">
      <c r="A958" s="55"/>
      <c r="B958" s="55"/>
      <c r="C958" s="55"/>
      <c r="D958" s="55"/>
      <c r="E958" s="55"/>
      <c r="F958" s="55"/>
      <c r="G958" s="55"/>
      <c r="H958" s="55"/>
    </row>
    <row r="959">
      <c r="A959" s="55"/>
      <c r="B959" s="55"/>
      <c r="C959" s="55"/>
      <c r="D959" s="55"/>
      <c r="E959" s="55"/>
      <c r="F959" s="55"/>
      <c r="G959" s="55"/>
      <c r="H959" s="55"/>
    </row>
    <row r="960">
      <c r="A960" s="55"/>
      <c r="B960" s="55"/>
      <c r="C960" s="55"/>
      <c r="D960" s="55"/>
      <c r="E960" s="55"/>
      <c r="F960" s="55"/>
      <c r="G960" s="55"/>
      <c r="H960" s="55"/>
    </row>
    <row r="961">
      <c r="A961" s="55"/>
      <c r="B961" s="55"/>
      <c r="C961" s="55"/>
      <c r="D961" s="55"/>
      <c r="E961" s="55"/>
      <c r="F961" s="55"/>
      <c r="G961" s="55"/>
      <c r="H961" s="55"/>
    </row>
    <row r="962">
      <c r="A962" s="55"/>
      <c r="B962" s="55"/>
      <c r="C962" s="55"/>
      <c r="D962" s="55"/>
      <c r="E962" s="55"/>
      <c r="F962" s="55"/>
      <c r="G962" s="55"/>
      <c r="H962" s="55"/>
    </row>
    <row r="963">
      <c r="A963" s="55"/>
      <c r="B963" s="55"/>
      <c r="C963" s="55"/>
      <c r="D963" s="55"/>
      <c r="E963" s="55"/>
      <c r="F963" s="55"/>
      <c r="G963" s="55"/>
      <c r="H963" s="55"/>
    </row>
    <row r="964">
      <c r="A964" s="55"/>
      <c r="B964" s="55"/>
      <c r="C964" s="55"/>
      <c r="D964" s="55"/>
      <c r="E964" s="55"/>
      <c r="F964" s="55"/>
      <c r="G964" s="55"/>
      <c r="H964" s="55"/>
    </row>
    <row r="965">
      <c r="A965" s="55"/>
      <c r="B965" s="55"/>
      <c r="C965" s="55"/>
      <c r="D965" s="55"/>
      <c r="E965" s="55"/>
      <c r="F965" s="55"/>
      <c r="G965" s="55"/>
      <c r="H965" s="55"/>
    </row>
    <row r="966">
      <c r="A966" s="55"/>
      <c r="B966" s="55"/>
      <c r="C966" s="55"/>
      <c r="D966" s="55"/>
      <c r="E966" s="55"/>
      <c r="F966" s="55"/>
      <c r="G966" s="55"/>
      <c r="H966" s="55"/>
    </row>
    <row r="967">
      <c r="A967" s="55"/>
      <c r="B967" s="55"/>
      <c r="C967" s="55"/>
      <c r="D967" s="55"/>
      <c r="E967" s="55"/>
      <c r="F967" s="55"/>
      <c r="G967" s="55"/>
      <c r="H967" s="55"/>
    </row>
    <row r="968">
      <c r="A968" s="55"/>
      <c r="B968" s="55"/>
      <c r="C968" s="55"/>
      <c r="D968" s="55"/>
      <c r="E968" s="55"/>
      <c r="F968" s="55"/>
      <c r="G968" s="55"/>
      <c r="H968" s="55"/>
    </row>
    <row r="969">
      <c r="A969" s="55"/>
      <c r="B969" s="55"/>
      <c r="C969" s="55"/>
      <c r="D969" s="55"/>
      <c r="E969" s="55"/>
      <c r="F969" s="55"/>
      <c r="G969" s="55"/>
      <c r="H969" s="55"/>
    </row>
    <row r="970">
      <c r="A970" s="55"/>
      <c r="B970" s="55"/>
      <c r="C970" s="55"/>
      <c r="D970" s="55"/>
      <c r="E970" s="55"/>
      <c r="F970" s="55"/>
      <c r="G970" s="55"/>
      <c r="H970" s="55"/>
    </row>
    <row r="971">
      <c r="A971" s="55"/>
      <c r="B971" s="55"/>
      <c r="C971" s="55"/>
      <c r="D971" s="55"/>
      <c r="E971" s="55"/>
      <c r="F971" s="55"/>
      <c r="G971" s="55"/>
      <c r="H971" s="55"/>
    </row>
    <row r="972">
      <c r="A972" s="55"/>
      <c r="B972" s="55"/>
      <c r="C972" s="55"/>
      <c r="D972" s="55"/>
      <c r="E972" s="55"/>
      <c r="F972" s="55"/>
      <c r="G972" s="55"/>
      <c r="H972" s="55"/>
    </row>
    <row r="973">
      <c r="A973" s="55"/>
      <c r="B973" s="55"/>
      <c r="C973" s="55"/>
      <c r="D973" s="55"/>
      <c r="E973" s="55"/>
      <c r="F973" s="55"/>
      <c r="G973" s="55"/>
      <c r="H973" s="55"/>
    </row>
    <row r="974">
      <c r="A974" s="55"/>
      <c r="B974" s="55"/>
      <c r="C974" s="55"/>
      <c r="D974" s="55"/>
      <c r="E974" s="55"/>
      <c r="F974" s="55"/>
      <c r="G974" s="55"/>
      <c r="H974" s="55"/>
    </row>
    <row r="975">
      <c r="A975" s="55"/>
      <c r="B975" s="55"/>
      <c r="C975" s="55"/>
      <c r="D975" s="55"/>
      <c r="E975" s="55"/>
      <c r="F975" s="55"/>
      <c r="G975" s="55"/>
      <c r="H975" s="55"/>
    </row>
    <row r="976">
      <c r="A976" s="55"/>
      <c r="B976" s="55"/>
      <c r="C976" s="55"/>
      <c r="D976" s="55"/>
      <c r="E976" s="55"/>
      <c r="F976" s="55"/>
      <c r="G976" s="55"/>
      <c r="H976" s="55"/>
    </row>
    <row r="977">
      <c r="A977" s="55"/>
      <c r="B977" s="55"/>
      <c r="C977" s="55"/>
      <c r="D977" s="55"/>
      <c r="E977" s="55"/>
      <c r="F977" s="55"/>
      <c r="G977" s="55"/>
      <c r="H977" s="55"/>
    </row>
    <row r="978">
      <c r="A978" s="55"/>
      <c r="B978" s="55"/>
      <c r="C978" s="55"/>
      <c r="D978" s="55"/>
      <c r="E978" s="55"/>
      <c r="F978" s="55"/>
      <c r="G978" s="55"/>
      <c r="H978" s="55"/>
    </row>
    <row r="979">
      <c r="A979" s="55"/>
      <c r="B979" s="55"/>
      <c r="C979" s="55"/>
      <c r="D979" s="55"/>
      <c r="E979" s="55"/>
      <c r="F979" s="55"/>
      <c r="G979" s="55"/>
      <c r="H979" s="55"/>
    </row>
    <row r="980">
      <c r="A980" s="55"/>
      <c r="B980" s="55"/>
      <c r="C980" s="55"/>
      <c r="D980" s="55"/>
      <c r="E980" s="55"/>
      <c r="F980" s="55"/>
      <c r="G980" s="55"/>
      <c r="H980" s="55"/>
    </row>
    <row r="981">
      <c r="A981" s="55"/>
      <c r="B981" s="55"/>
      <c r="C981" s="55"/>
      <c r="D981" s="55"/>
      <c r="E981" s="55"/>
      <c r="F981" s="55"/>
      <c r="G981" s="55"/>
      <c r="H981" s="55"/>
    </row>
    <row r="982">
      <c r="A982" s="55"/>
      <c r="B982" s="55"/>
      <c r="C982" s="55"/>
      <c r="D982" s="55"/>
      <c r="E982" s="55"/>
      <c r="F982" s="55"/>
      <c r="G982" s="55"/>
      <c r="H982" s="55"/>
    </row>
    <row r="983">
      <c r="A983" s="55"/>
      <c r="B983" s="55"/>
      <c r="C983" s="55"/>
      <c r="D983" s="55"/>
      <c r="E983" s="55"/>
      <c r="F983" s="55"/>
      <c r="G983" s="55"/>
      <c r="H983" s="55"/>
    </row>
    <row r="984">
      <c r="A984" s="55"/>
      <c r="B984" s="55"/>
      <c r="C984" s="55"/>
      <c r="D984" s="55"/>
      <c r="E984" s="55"/>
      <c r="F984" s="55"/>
      <c r="G984" s="55"/>
      <c r="H984" s="55"/>
    </row>
    <row r="985">
      <c r="A985" s="55"/>
      <c r="B985" s="55"/>
      <c r="C985" s="55"/>
      <c r="D985" s="55"/>
      <c r="E985" s="55"/>
      <c r="F985" s="55"/>
      <c r="G985" s="55"/>
      <c r="H985" s="55"/>
    </row>
    <row r="986">
      <c r="A986" s="55"/>
      <c r="B986" s="55"/>
      <c r="C986" s="55"/>
      <c r="D986" s="55"/>
      <c r="E986" s="55"/>
      <c r="F986" s="55"/>
      <c r="G986" s="55"/>
      <c r="H986" s="55"/>
    </row>
    <row r="987">
      <c r="A987" s="55"/>
      <c r="B987" s="55"/>
      <c r="C987" s="55"/>
      <c r="D987" s="55"/>
      <c r="E987" s="55"/>
      <c r="F987" s="55"/>
      <c r="G987" s="55"/>
      <c r="H987" s="55"/>
    </row>
    <row r="988">
      <c r="A988" s="55"/>
      <c r="B988" s="55"/>
      <c r="C988" s="55"/>
      <c r="D988" s="55"/>
      <c r="E988" s="55"/>
      <c r="F988" s="55"/>
      <c r="G988" s="55"/>
      <c r="H988" s="55"/>
    </row>
    <row r="989">
      <c r="A989" s="55"/>
      <c r="B989" s="55"/>
      <c r="C989" s="55"/>
      <c r="D989" s="55"/>
      <c r="E989" s="55"/>
      <c r="F989" s="55"/>
      <c r="G989" s="55"/>
      <c r="H989" s="55"/>
    </row>
    <row r="990">
      <c r="A990" s="55"/>
      <c r="B990" s="55"/>
      <c r="C990" s="55"/>
      <c r="D990" s="55"/>
      <c r="E990" s="55"/>
      <c r="F990" s="55"/>
      <c r="G990" s="55"/>
      <c r="H990" s="55"/>
    </row>
    <row r="991">
      <c r="A991" s="55"/>
      <c r="B991" s="55"/>
      <c r="C991" s="55"/>
      <c r="D991" s="55"/>
      <c r="E991" s="55"/>
      <c r="F991" s="55"/>
      <c r="G991" s="55"/>
      <c r="H991" s="55"/>
    </row>
    <row r="992">
      <c r="A992" s="55"/>
      <c r="B992" s="55"/>
      <c r="C992" s="55"/>
      <c r="D992" s="55"/>
      <c r="E992" s="55"/>
      <c r="F992" s="55"/>
      <c r="G992" s="55"/>
      <c r="H992" s="55"/>
    </row>
    <row r="993">
      <c r="A993" s="55"/>
      <c r="B993" s="55"/>
      <c r="C993" s="55"/>
      <c r="D993" s="55"/>
      <c r="E993" s="55"/>
      <c r="F993" s="55"/>
      <c r="G993" s="55"/>
      <c r="H993" s="55"/>
    </row>
    <row r="994">
      <c r="A994" s="55"/>
      <c r="B994" s="55"/>
      <c r="C994" s="55"/>
      <c r="D994" s="55"/>
      <c r="E994" s="55"/>
      <c r="F994" s="55"/>
      <c r="G994" s="55"/>
      <c r="H994" s="55"/>
    </row>
    <row r="995">
      <c r="A995" s="55"/>
      <c r="B995" s="55"/>
      <c r="C995" s="55"/>
      <c r="D995" s="55"/>
      <c r="E995" s="55"/>
      <c r="F995" s="55"/>
      <c r="G995" s="55"/>
      <c r="H995" s="55"/>
    </row>
    <row r="996">
      <c r="A996" s="55"/>
      <c r="B996" s="55"/>
      <c r="C996" s="55"/>
      <c r="D996" s="55"/>
      <c r="E996" s="55"/>
      <c r="F996" s="55"/>
      <c r="G996" s="55"/>
      <c r="H996" s="55"/>
    </row>
    <row r="997">
      <c r="A997" s="55"/>
      <c r="B997" s="55"/>
      <c r="C997" s="55"/>
      <c r="D997" s="55"/>
      <c r="E997" s="55"/>
      <c r="F997" s="55"/>
      <c r="G997" s="55"/>
      <c r="H997" s="55"/>
    </row>
    <row r="998">
      <c r="A998" s="55"/>
      <c r="B998" s="55"/>
      <c r="C998" s="55"/>
      <c r="D998" s="55"/>
      <c r="E998" s="55"/>
      <c r="F998" s="55"/>
      <c r="G998" s="55"/>
      <c r="H998" s="55"/>
    </row>
    <row r="999">
      <c r="A999" s="55"/>
      <c r="B999" s="55"/>
      <c r="C999" s="55"/>
      <c r="D999" s="55"/>
      <c r="E999" s="55"/>
      <c r="F999" s="55"/>
      <c r="G999" s="55"/>
      <c r="H999" s="55"/>
    </row>
    <row r="1000">
      <c r="A1000" s="55"/>
      <c r="B1000" s="55"/>
      <c r="C1000" s="55"/>
      <c r="D1000" s="55"/>
      <c r="E1000" s="55"/>
      <c r="F1000" s="55"/>
      <c r="G1000" s="55"/>
      <c r="H1000" s="55"/>
    </row>
    <row r="1001">
      <c r="A1001" s="55"/>
      <c r="B1001" s="55"/>
      <c r="C1001" s="55"/>
      <c r="D1001" s="55"/>
      <c r="E1001" s="55"/>
      <c r="F1001" s="55"/>
      <c r="G1001" s="55"/>
      <c r="H1001" s="55"/>
    </row>
    <row r="1002">
      <c r="A1002" s="55"/>
      <c r="B1002" s="55"/>
      <c r="C1002" s="55"/>
      <c r="D1002" s="55"/>
      <c r="E1002" s="55"/>
      <c r="F1002" s="55"/>
      <c r="G1002" s="55"/>
      <c r="H1002" s="55"/>
    </row>
    <row r="1003">
      <c r="A1003" s="55"/>
      <c r="B1003" s="55"/>
      <c r="C1003" s="55"/>
      <c r="D1003" s="55"/>
      <c r="E1003" s="55"/>
      <c r="F1003" s="55"/>
      <c r="G1003" s="55"/>
      <c r="H1003" s="55"/>
    </row>
    <row r="1004">
      <c r="A1004" s="55"/>
      <c r="B1004" s="55"/>
      <c r="C1004" s="55"/>
      <c r="D1004" s="55"/>
      <c r="E1004" s="55"/>
      <c r="F1004" s="55"/>
      <c r="G1004" s="55"/>
      <c r="H1004" s="55"/>
    </row>
    <row r="1005">
      <c r="A1005" s="55"/>
      <c r="B1005" s="55"/>
      <c r="C1005" s="55"/>
      <c r="D1005" s="55"/>
      <c r="E1005" s="55"/>
      <c r="F1005" s="55"/>
      <c r="G1005" s="55"/>
      <c r="H1005" s="55"/>
    </row>
    <row r="1006">
      <c r="A1006" s="55"/>
      <c r="B1006" s="55"/>
      <c r="C1006" s="55"/>
      <c r="D1006" s="55"/>
      <c r="E1006" s="55"/>
      <c r="F1006" s="55"/>
      <c r="G1006" s="55"/>
      <c r="H1006" s="55"/>
    </row>
    <row r="1007">
      <c r="A1007" s="55"/>
      <c r="B1007" s="55"/>
      <c r="C1007" s="55"/>
      <c r="D1007" s="55"/>
      <c r="E1007" s="55"/>
      <c r="F1007" s="55"/>
      <c r="G1007" s="55"/>
      <c r="H1007" s="55"/>
    </row>
    <row r="1008">
      <c r="A1008" s="55"/>
      <c r="B1008" s="55"/>
      <c r="C1008" s="55"/>
      <c r="D1008" s="55"/>
      <c r="E1008" s="55"/>
      <c r="F1008" s="55"/>
      <c r="G1008" s="55"/>
      <c r="H1008" s="55"/>
    </row>
    <row r="1009">
      <c r="A1009" s="55"/>
      <c r="B1009" s="55"/>
      <c r="C1009" s="55"/>
      <c r="D1009" s="55"/>
      <c r="E1009" s="55"/>
      <c r="F1009" s="55"/>
      <c r="G1009" s="55"/>
      <c r="H1009" s="55"/>
    </row>
    <row r="1010">
      <c r="A1010" s="55"/>
      <c r="B1010" s="55"/>
      <c r="C1010" s="55"/>
      <c r="D1010" s="55"/>
      <c r="E1010" s="55"/>
      <c r="F1010" s="55"/>
      <c r="G1010" s="55"/>
      <c r="H1010" s="55"/>
    </row>
    <row r="1011">
      <c r="A1011" s="55"/>
      <c r="B1011" s="55"/>
      <c r="C1011" s="55"/>
      <c r="D1011" s="55"/>
      <c r="E1011" s="55"/>
      <c r="F1011" s="55"/>
      <c r="G1011" s="55"/>
      <c r="H1011" s="55"/>
    </row>
    <row r="1012">
      <c r="A1012" s="55"/>
      <c r="B1012" s="55"/>
      <c r="C1012" s="55"/>
      <c r="D1012" s="55"/>
      <c r="E1012" s="55"/>
      <c r="F1012" s="55"/>
      <c r="G1012" s="55"/>
      <c r="H1012" s="55"/>
    </row>
    <row r="1013">
      <c r="A1013" s="55"/>
      <c r="B1013" s="55"/>
      <c r="C1013" s="55"/>
      <c r="D1013" s="55"/>
      <c r="E1013" s="55"/>
      <c r="F1013" s="55"/>
      <c r="G1013" s="55"/>
      <c r="H1013" s="55"/>
    </row>
    <row r="1014">
      <c r="A1014" s="55"/>
      <c r="B1014" s="55"/>
      <c r="C1014" s="55"/>
      <c r="D1014" s="55"/>
      <c r="E1014" s="55"/>
      <c r="F1014" s="55"/>
      <c r="G1014" s="55"/>
      <c r="H1014" s="55"/>
    </row>
    <row r="1015">
      <c r="A1015" s="55"/>
      <c r="B1015" s="55"/>
      <c r="C1015" s="55"/>
      <c r="D1015" s="55"/>
      <c r="E1015" s="55"/>
      <c r="F1015" s="55"/>
      <c r="G1015" s="55"/>
      <c r="H1015" s="55"/>
    </row>
    <row r="1016">
      <c r="A1016" s="55"/>
      <c r="B1016" s="55"/>
      <c r="C1016" s="55"/>
      <c r="D1016" s="55"/>
      <c r="E1016" s="55"/>
      <c r="F1016" s="55"/>
      <c r="G1016" s="55"/>
      <c r="H1016" s="55"/>
    </row>
    <row r="1017">
      <c r="A1017" s="55"/>
      <c r="B1017" s="55"/>
      <c r="C1017" s="55"/>
      <c r="D1017" s="55"/>
      <c r="E1017" s="55"/>
      <c r="F1017" s="55"/>
      <c r="G1017" s="55"/>
      <c r="H1017" s="55"/>
    </row>
    <row r="1018">
      <c r="A1018" s="55"/>
      <c r="B1018" s="55"/>
      <c r="C1018" s="55"/>
      <c r="D1018" s="55"/>
      <c r="E1018" s="55"/>
      <c r="F1018" s="55"/>
      <c r="G1018" s="55"/>
      <c r="H1018" s="55"/>
    </row>
    <row r="1019">
      <c r="A1019" s="55"/>
      <c r="B1019" s="55"/>
      <c r="C1019" s="55"/>
      <c r="D1019" s="55"/>
      <c r="E1019" s="55"/>
      <c r="F1019" s="55"/>
      <c r="G1019" s="55"/>
      <c r="H1019" s="55"/>
    </row>
    <row r="1020">
      <c r="A1020" s="55"/>
      <c r="B1020" s="55"/>
      <c r="C1020" s="55"/>
      <c r="D1020" s="55"/>
      <c r="E1020" s="55"/>
      <c r="F1020" s="55"/>
      <c r="G1020" s="55"/>
      <c r="H1020" s="55"/>
    </row>
    <row r="1021">
      <c r="A1021" s="55"/>
      <c r="B1021" s="55"/>
      <c r="C1021" s="55"/>
      <c r="D1021" s="55"/>
      <c r="E1021" s="55"/>
      <c r="F1021" s="55"/>
      <c r="G1021" s="55"/>
      <c r="H1021" s="55"/>
    </row>
    <row r="1022">
      <c r="A1022" s="55"/>
      <c r="B1022" s="55"/>
      <c r="C1022" s="55"/>
      <c r="D1022" s="55"/>
      <c r="E1022" s="55"/>
      <c r="F1022" s="55"/>
      <c r="G1022" s="55"/>
      <c r="H1022" s="55"/>
    </row>
    <row r="1023">
      <c r="A1023" s="55"/>
      <c r="B1023" s="55"/>
      <c r="C1023" s="55"/>
      <c r="D1023" s="55"/>
      <c r="E1023" s="55"/>
      <c r="F1023" s="55"/>
      <c r="G1023" s="55"/>
      <c r="H1023" s="55"/>
    </row>
    <row r="1024">
      <c r="A1024" s="55"/>
      <c r="B1024" s="55"/>
      <c r="C1024" s="55"/>
      <c r="D1024" s="55"/>
      <c r="E1024" s="55"/>
      <c r="F1024" s="55"/>
      <c r="G1024" s="55"/>
      <c r="H1024" s="55"/>
    </row>
    <row r="1025">
      <c r="A1025" s="55"/>
      <c r="B1025" s="55"/>
      <c r="C1025" s="55"/>
      <c r="D1025" s="55"/>
      <c r="E1025" s="55"/>
      <c r="F1025" s="55"/>
      <c r="G1025" s="55"/>
      <c r="H1025" s="55"/>
    </row>
    <row r="1026">
      <c r="A1026" s="55"/>
      <c r="B1026" s="55"/>
      <c r="C1026" s="55"/>
      <c r="D1026" s="55"/>
      <c r="E1026" s="55"/>
      <c r="F1026" s="55"/>
      <c r="G1026" s="55"/>
      <c r="H1026" s="55"/>
    </row>
    <row r="1027">
      <c r="A1027" s="55"/>
      <c r="B1027" s="55"/>
      <c r="C1027" s="55"/>
      <c r="D1027" s="55"/>
      <c r="E1027" s="55"/>
      <c r="F1027" s="55"/>
      <c r="G1027" s="55"/>
      <c r="H1027" s="55"/>
    </row>
    <row r="1028">
      <c r="A1028" s="55"/>
      <c r="B1028" s="55"/>
      <c r="C1028" s="55"/>
      <c r="D1028" s="55"/>
      <c r="E1028" s="55"/>
      <c r="F1028" s="55"/>
      <c r="G1028" s="55"/>
      <c r="H1028" s="55"/>
    </row>
    <row r="1029">
      <c r="A1029" s="55"/>
      <c r="B1029" s="55"/>
      <c r="C1029" s="55"/>
      <c r="D1029" s="55"/>
      <c r="E1029" s="55"/>
      <c r="F1029" s="55"/>
      <c r="G1029" s="55"/>
      <c r="H1029" s="55"/>
    </row>
    <row r="1030">
      <c r="A1030" s="55"/>
      <c r="B1030" s="55"/>
      <c r="C1030" s="55"/>
      <c r="D1030" s="55"/>
      <c r="E1030" s="55"/>
      <c r="F1030" s="55"/>
      <c r="G1030" s="55"/>
      <c r="H1030" s="55"/>
    </row>
    <row r="1031">
      <c r="A1031" s="55"/>
      <c r="B1031" s="55"/>
      <c r="C1031" s="55"/>
      <c r="D1031" s="55"/>
      <c r="E1031" s="55"/>
      <c r="F1031" s="55"/>
      <c r="G1031" s="55"/>
      <c r="H1031" s="55"/>
    </row>
    <row r="1032">
      <c r="A1032" s="55"/>
      <c r="B1032" s="55"/>
      <c r="C1032" s="55"/>
      <c r="D1032" s="55"/>
      <c r="E1032" s="55"/>
      <c r="F1032" s="55"/>
      <c r="G1032" s="55"/>
      <c r="H1032" s="55"/>
    </row>
    <row r="1033">
      <c r="A1033" s="55"/>
      <c r="B1033" s="55"/>
      <c r="C1033" s="55"/>
      <c r="D1033" s="55"/>
      <c r="E1033" s="55"/>
      <c r="F1033" s="55"/>
      <c r="G1033" s="55"/>
      <c r="H1033" s="55"/>
    </row>
    <row r="1034">
      <c r="A1034" s="55"/>
      <c r="B1034" s="55"/>
      <c r="C1034" s="55"/>
      <c r="D1034" s="55"/>
      <c r="E1034" s="55"/>
      <c r="F1034" s="55"/>
      <c r="G1034" s="55"/>
      <c r="H1034" s="55"/>
    </row>
    <row r="1035">
      <c r="A1035" s="55"/>
      <c r="B1035" s="55"/>
      <c r="C1035" s="55"/>
      <c r="D1035" s="55"/>
      <c r="E1035" s="55"/>
      <c r="F1035" s="55"/>
      <c r="G1035" s="55"/>
      <c r="H1035" s="55"/>
    </row>
    <row r="1036">
      <c r="A1036" s="55"/>
      <c r="B1036" s="55"/>
      <c r="C1036" s="55"/>
      <c r="D1036" s="55"/>
      <c r="E1036" s="55"/>
      <c r="F1036" s="55"/>
      <c r="G1036" s="55"/>
      <c r="H1036" s="55"/>
    </row>
    <row r="1037">
      <c r="A1037" s="55"/>
      <c r="B1037" s="55"/>
      <c r="C1037" s="55"/>
      <c r="D1037" s="55"/>
      <c r="E1037" s="55"/>
      <c r="F1037" s="55"/>
      <c r="G1037" s="55"/>
      <c r="H1037" s="55"/>
    </row>
    <row r="1038">
      <c r="A1038" s="55"/>
      <c r="B1038" s="55"/>
      <c r="C1038" s="55"/>
      <c r="D1038" s="55"/>
      <c r="E1038" s="55"/>
      <c r="F1038" s="55"/>
      <c r="G1038" s="55"/>
      <c r="H1038" s="55"/>
    </row>
    <row r="1039">
      <c r="A1039" s="55"/>
      <c r="B1039" s="55"/>
      <c r="C1039" s="55"/>
      <c r="D1039" s="55"/>
      <c r="E1039" s="55"/>
      <c r="F1039" s="55"/>
      <c r="G1039" s="55"/>
      <c r="H1039" s="55"/>
    </row>
    <row r="1040">
      <c r="A1040" s="55"/>
      <c r="B1040" s="55"/>
      <c r="C1040" s="55"/>
      <c r="D1040" s="55"/>
      <c r="E1040" s="55"/>
      <c r="F1040" s="55"/>
      <c r="G1040" s="55"/>
      <c r="H1040" s="55"/>
    </row>
    <row r="1041">
      <c r="A1041" s="55"/>
      <c r="B1041" s="55"/>
      <c r="C1041" s="55"/>
      <c r="D1041" s="55"/>
      <c r="E1041" s="55"/>
      <c r="F1041" s="55"/>
      <c r="G1041" s="55"/>
      <c r="H1041" s="55"/>
    </row>
    <row r="1042">
      <c r="A1042" s="55"/>
      <c r="B1042" s="55"/>
      <c r="C1042" s="55"/>
      <c r="D1042" s="55"/>
      <c r="E1042" s="55"/>
      <c r="F1042" s="55"/>
      <c r="G1042" s="55"/>
      <c r="H1042" s="55"/>
    </row>
    <row r="1043">
      <c r="A1043" s="55"/>
      <c r="B1043" s="55"/>
      <c r="C1043" s="55"/>
      <c r="D1043" s="55"/>
      <c r="E1043" s="55"/>
      <c r="F1043" s="55"/>
      <c r="G1043" s="55"/>
      <c r="H1043" s="55"/>
    </row>
    <row r="1044">
      <c r="A1044" s="55"/>
      <c r="B1044" s="55"/>
      <c r="C1044" s="55"/>
      <c r="D1044" s="55"/>
      <c r="E1044" s="55"/>
      <c r="F1044" s="55"/>
      <c r="G1044" s="55"/>
      <c r="H1044" s="55"/>
    </row>
    <row r="1045">
      <c r="A1045" s="55"/>
      <c r="B1045" s="55"/>
      <c r="C1045" s="55"/>
      <c r="D1045" s="55"/>
      <c r="E1045" s="55"/>
      <c r="F1045" s="55"/>
      <c r="G1045" s="55"/>
      <c r="H1045" s="55"/>
    </row>
    <row r="1046">
      <c r="A1046" s="55"/>
      <c r="B1046" s="55"/>
      <c r="C1046" s="55"/>
      <c r="D1046" s="55"/>
      <c r="E1046" s="55"/>
      <c r="F1046" s="55"/>
      <c r="G1046" s="55"/>
      <c r="H1046" s="55"/>
    </row>
    <row r="1047">
      <c r="A1047" s="55"/>
      <c r="B1047" s="55"/>
      <c r="C1047" s="55"/>
      <c r="D1047" s="55"/>
      <c r="E1047" s="55"/>
      <c r="F1047" s="55"/>
      <c r="G1047" s="55"/>
      <c r="H1047" s="55"/>
    </row>
    <row r="1048">
      <c r="A1048" s="55"/>
      <c r="B1048" s="55"/>
      <c r="C1048" s="55"/>
      <c r="D1048" s="55"/>
      <c r="E1048" s="55"/>
      <c r="F1048" s="55"/>
      <c r="G1048" s="55"/>
      <c r="H1048" s="55"/>
    </row>
    <row r="1049">
      <c r="A1049" s="55"/>
      <c r="B1049" s="55"/>
      <c r="C1049" s="55"/>
      <c r="D1049" s="55"/>
      <c r="E1049" s="55"/>
      <c r="F1049" s="55"/>
      <c r="G1049" s="55"/>
      <c r="H1049" s="55"/>
    </row>
    <row r="1050">
      <c r="A1050" s="55"/>
      <c r="B1050" s="55"/>
      <c r="C1050" s="55"/>
      <c r="D1050" s="55"/>
      <c r="E1050" s="55"/>
      <c r="F1050" s="55"/>
      <c r="G1050" s="55"/>
      <c r="H1050" s="55"/>
    </row>
    <row r="1051">
      <c r="A1051" s="55"/>
      <c r="B1051" s="55"/>
      <c r="C1051" s="55"/>
      <c r="D1051" s="55"/>
      <c r="E1051" s="55"/>
      <c r="F1051" s="55"/>
      <c r="G1051" s="55"/>
      <c r="H1051" s="55"/>
    </row>
    <row r="1052">
      <c r="A1052" s="55"/>
      <c r="B1052" s="55"/>
      <c r="C1052" s="55"/>
      <c r="D1052" s="55"/>
      <c r="E1052" s="55"/>
      <c r="F1052" s="55"/>
      <c r="G1052" s="55"/>
      <c r="H1052" s="55"/>
    </row>
    <row r="1053">
      <c r="A1053" s="55"/>
      <c r="B1053" s="55"/>
      <c r="C1053" s="55"/>
      <c r="D1053" s="55"/>
      <c r="E1053" s="55"/>
      <c r="F1053" s="55"/>
      <c r="G1053" s="55"/>
      <c r="H1053" s="55"/>
    </row>
    <row r="1054">
      <c r="A1054" s="55"/>
      <c r="B1054" s="55"/>
      <c r="C1054" s="55"/>
      <c r="D1054" s="55"/>
      <c r="E1054" s="55"/>
      <c r="F1054" s="55"/>
      <c r="G1054" s="55"/>
      <c r="H1054" s="55"/>
    </row>
    <row r="1055">
      <c r="A1055" s="55"/>
      <c r="B1055" s="55"/>
      <c r="C1055" s="55"/>
      <c r="D1055" s="55"/>
      <c r="E1055" s="55"/>
      <c r="F1055" s="55"/>
      <c r="G1055" s="55"/>
      <c r="H1055" s="55"/>
    </row>
    <row r="1056">
      <c r="A1056" s="55"/>
      <c r="B1056" s="55"/>
      <c r="C1056" s="55"/>
      <c r="D1056" s="55"/>
      <c r="E1056" s="55"/>
      <c r="F1056" s="55"/>
      <c r="G1056" s="55"/>
      <c r="H1056" s="55"/>
    </row>
    <row r="1057">
      <c r="A1057" s="55"/>
      <c r="B1057" s="55"/>
      <c r="C1057" s="55"/>
      <c r="D1057" s="55"/>
      <c r="E1057" s="55"/>
      <c r="F1057" s="55"/>
      <c r="G1057" s="55"/>
      <c r="H1057" s="55"/>
    </row>
    <row r="1058">
      <c r="A1058" s="55"/>
      <c r="B1058" s="55"/>
      <c r="C1058" s="55"/>
      <c r="D1058" s="55"/>
      <c r="E1058" s="55"/>
      <c r="F1058" s="55"/>
      <c r="G1058" s="55"/>
      <c r="H1058" s="55"/>
    </row>
    <row r="1059">
      <c r="A1059" s="55"/>
      <c r="B1059" s="55"/>
      <c r="C1059" s="55"/>
      <c r="D1059" s="55"/>
      <c r="E1059" s="55"/>
      <c r="F1059" s="55"/>
      <c r="G1059" s="55"/>
      <c r="H1059" s="55"/>
    </row>
    <row r="1060">
      <c r="A1060" s="55"/>
      <c r="B1060" s="55"/>
      <c r="C1060" s="55"/>
      <c r="D1060" s="55"/>
      <c r="E1060" s="55"/>
      <c r="F1060" s="55"/>
      <c r="G1060" s="55"/>
      <c r="H1060" s="55"/>
    </row>
    <row r="1061">
      <c r="A1061" s="55"/>
      <c r="B1061" s="55"/>
      <c r="C1061" s="55"/>
      <c r="D1061" s="55"/>
      <c r="E1061" s="55"/>
      <c r="F1061" s="55"/>
      <c r="G1061" s="55"/>
      <c r="H1061" s="55"/>
    </row>
    <row r="1062">
      <c r="A1062" s="55"/>
      <c r="B1062" s="55"/>
      <c r="C1062" s="55"/>
      <c r="D1062" s="55"/>
      <c r="E1062" s="55"/>
      <c r="F1062" s="55"/>
      <c r="G1062" s="55"/>
      <c r="H1062" s="55"/>
    </row>
    <row r="1063">
      <c r="A1063" s="55"/>
      <c r="B1063" s="55"/>
      <c r="C1063" s="55"/>
      <c r="D1063" s="55"/>
      <c r="E1063" s="55"/>
      <c r="F1063" s="55"/>
      <c r="G1063" s="55"/>
      <c r="H1063" s="55"/>
    </row>
    <row r="1064">
      <c r="A1064" s="55"/>
      <c r="B1064" s="55"/>
      <c r="C1064" s="55"/>
      <c r="D1064" s="55"/>
      <c r="E1064" s="55"/>
      <c r="F1064" s="55"/>
      <c r="G1064" s="55"/>
      <c r="H1064" s="55"/>
    </row>
    <row r="1065">
      <c r="A1065" s="55"/>
      <c r="B1065" s="55"/>
      <c r="C1065" s="55"/>
      <c r="D1065" s="55"/>
      <c r="E1065" s="55"/>
      <c r="F1065" s="55"/>
      <c r="G1065" s="55"/>
      <c r="H1065" s="55"/>
    </row>
    <row r="1066">
      <c r="A1066" s="55"/>
      <c r="B1066" s="55"/>
      <c r="C1066" s="55"/>
      <c r="D1066" s="55"/>
      <c r="E1066" s="55"/>
      <c r="F1066" s="55"/>
      <c r="G1066" s="55"/>
      <c r="H1066" s="55"/>
    </row>
    <row r="1067">
      <c r="A1067" s="55"/>
      <c r="B1067" s="55"/>
      <c r="C1067" s="55"/>
      <c r="D1067" s="55"/>
      <c r="E1067" s="55"/>
      <c r="F1067" s="55"/>
      <c r="G1067" s="55"/>
      <c r="H1067" s="55"/>
    </row>
    <row r="1068">
      <c r="A1068" s="55"/>
      <c r="B1068" s="55"/>
      <c r="C1068" s="55"/>
      <c r="D1068" s="55"/>
      <c r="E1068" s="55"/>
      <c r="F1068" s="55"/>
      <c r="G1068" s="55"/>
      <c r="H1068" s="55"/>
    </row>
    <row r="1069">
      <c r="A1069" s="55"/>
      <c r="B1069" s="55"/>
      <c r="C1069" s="55"/>
      <c r="D1069" s="55"/>
      <c r="E1069" s="55"/>
      <c r="F1069" s="55"/>
      <c r="G1069" s="55"/>
      <c r="H1069" s="55"/>
    </row>
    <row r="1070">
      <c r="A1070" s="55"/>
      <c r="B1070" s="55"/>
      <c r="C1070" s="55"/>
      <c r="D1070" s="55"/>
      <c r="E1070" s="55"/>
      <c r="F1070" s="55"/>
      <c r="G1070" s="55"/>
      <c r="H1070" s="55"/>
    </row>
    <row r="1071">
      <c r="A1071" s="55"/>
      <c r="B1071" s="55"/>
      <c r="C1071" s="55"/>
      <c r="D1071" s="55"/>
      <c r="E1071" s="55"/>
      <c r="F1071" s="55"/>
      <c r="G1071" s="55"/>
      <c r="H1071" s="55"/>
    </row>
    <row r="1072">
      <c r="A1072" s="55"/>
      <c r="B1072" s="55"/>
      <c r="C1072" s="55"/>
      <c r="D1072" s="55"/>
      <c r="E1072" s="55"/>
      <c r="F1072" s="55"/>
      <c r="G1072" s="55"/>
      <c r="H1072" s="55"/>
    </row>
    <row r="1073">
      <c r="A1073" s="55"/>
      <c r="B1073" s="55"/>
      <c r="C1073" s="55"/>
      <c r="D1073" s="55"/>
      <c r="E1073" s="55"/>
      <c r="F1073" s="55"/>
      <c r="G1073" s="55"/>
      <c r="H1073" s="55"/>
    </row>
    <row r="1074">
      <c r="A1074" s="55"/>
      <c r="B1074" s="55"/>
      <c r="C1074" s="55"/>
      <c r="D1074" s="55"/>
      <c r="E1074" s="55"/>
      <c r="F1074" s="55"/>
      <c r="G1074" s="55"/>
      <c r="H1074" s="55"/>
    </row>
    <row r="1075">
      <c r="A1075" s="55"/>
      <c r="B1075" s="55"/>
      <c r="C1075" s="55"/>
      <c r="D1075" s="55"/>
      <c r="E1075" s="55"/>
      <c r="F1075" s="55"/>
      <c r="G1075" s="55"/>
      <c r="H1075" s="55"/>
    </row>
    <row r="1076">
      <c r="A1076" s="55"/>
      <c r="B1076" s="55"/>
      <c r="C1076" s="55"/>
      <c r="D1076" s="55"/>
      <c r="E1076" s="55"/>
      <c r="F1076" s="55"/>
      <c r="G1076" s="55"/>
      <c r="H1076" s="55"/>
    </row>
    <row r="1077">
      <c r="A1077" s="55"/>
      <c r="B1077" s="55"/>
      <c r="C1077" s="55"/>
      <c r="D1077" s="55"/>
      <c r="E1077" s="55"/>
      <c r="F1077" s="55"/>
      <c r="G1077" s="55"/>
      <c r="H1077" s="55"/>
    </row>
    <row r="1078">
      <c r="A1078" s="55"/>
      <c r="B1078" s="55"/>
      <c r="C1078" s="55"/>
      <c r="D1078" s="55"/>
      <c r="E1078" s="55"/>
      <c r="F1078" s="55"/>
      <c r="G1078" s="55"/>
      <c r="H1078" s="55"/>
    </row>
    <row r="1079">
      <c r="A1079" s="55"/>
      <c r="B1079" s="55"/>
      <c r="C1079" s="55"/>
      <c r="D1079" s="55"/>
      <c r="E1079" s="55"/>
      <c r="F1079" s="55"/>
      <c r="G1079" s="55"/>
      <c r="H1079" s="55"/>
    </row>
    <row r="1080">
      <c r="A1080" s="55"/>
      <c r="B1080" s="55"/>
      <c r="C1080" s="55"/>
      <c r="D1080" s="55"/>
      <c r="E1080" s="55"/>
      <c r="F1080" s="55"/>
      <c r="G1080" s="55"/>
      <c r="H1080" s="55"/>
    </row>
    <row r="1081">
      <c r="A1081" s="55"/>
      <c r="B1081" s="55"/>
      <c r="C1081" s="55"/>
      <c r="D1081" s="55"/>
      <c r="E1081" s="55"/>
      <c r="F1081" s="55"/>
      <c r="G1081" s="55"/>
      <c r="H1081" s="55"/>
    </row>
    <row r="1082">
      <c r="A1082" s="55"/>
      <c r="B1082" s="55"/>
      <c r="C1082" s="55"/>
      <c r="D1082" s="55"/>
      <c r="E1082" s="55"/>
      <c r="F1082" s="55"/>
      <c r="G1082" s="55"/>
      <c r="H1082" s="55"/>
    </row>
    <row r="1083">
      <c r="A1083" s="55"/>
      <c r="B1083" s="55"/>
      <c r="C1083" s="55"/>
      <c r="D1083" s="55"/>
      <c r="E1083" s="55"/>
      <c r="F1083" s="55"/>
      <c r="G1083" s="55"/>
      <c r="H1083" s="55"/>
    </row>
    <row r="1084">
      <c r="A1084" s="55"/>
      <c r="B1084" s="55"/>
      <c r="C1084" s="55"/>
      <c r="D1084" s="55"/>
      <c r="E1084" s="55"/>
      <c r="F1084" s="55"/>
      <c r="G1084" s="55"/>
      <c r="H1084" s="55"/>
    </row>
    <row r="1085">
      <c r="A1085" s="55"/>
      <c r="B1085" s="55"/>
      <c r="C1085" s="55"/>
      <c r="D1085" s="55"/>
      <c r="E1085" s="55"/>
      <c r="F1085" s="55"/>
      <c r="G1085" s="55"/>
      <c r="H1085" s="55"/>
    </row>
    <row r="1086">
      <c r="A1086" s="55"/>
      <c r="B1086" s="55"/>
      <c r="C1086" s="55"/>
      <c r="D1086" s="55"/>
      <c r="E1086" s="55"/>
      <c r="F1086" s="55"/>
      <c r="G1086" s="55"/>
      <c r="H1086" s="55"/>
    </row>
    <row r="1087">
      <c r="A1087" s="55"/>
      <c r="B1087" s="55"/>
      <c r="C1087" s="55"/>
      <c r="D1087" s="55"/>
      <c r="E1087" s="55"/>
      <c r="F1087" s="55"/>
      <c r="G1087" s="55"/>
      <c r="H1087" s="55"/>
    </row>
    <row r="1088">
      <c r="A1088" s="55"/>
      <c r="B1088" s="55"/>
      <c r="C1088" s="55"/>
      <c r="D1088" s="55"/>
      <c r="E1088" s="55"/>
      <c r="F1088" s="55"/>
      <c r="G1088" s="55"/>
      <c r="H1088" s="55"/>
    </row>
    <row r="1089">
      <c r="A1089" s="55"/>
      <c r="B1089" s="55"/>
      <c r="C1089" s="55"/>
      <c r="D1089" s="55"/>
      <c r="E1089" s="55"/>
      <c r="F1089" s="55"/>
      <c r="G1089" s="55"/>
      <c r="H1089" s="55"/>
    </row>
    <row r="1090">
      <c r="A1090" s="55"/>
      <c r="B1090" s="55"/>
      <c r="C1090" s="55"/>
      <c r="D1090" s="55"/>
      <c r="E1090" s="55"/>
      <c r="F1090" s="55"/>
      <c r="G1090" s="55"/>
      <c r="H1090" s="55"/>
    </row>
    <row r="1091">
      <c r="A1091" s="55"/>
      <c r="B1091" s="55"/>
      <c r="C1091" s="55"/>
      <c r="D1091" s="55"/>
      <c r="E1091" s="55"/>
      <c r="F1091" s="55"/>
      <c r="G1091" s="55"/>
      <c r="H1091" s="55"/>
    </row>
    <row r="1092">
      <c r="A1092" s="55"/>
      <c r="B1092" s="55"/>
      <c r="C1092" s="55"/>
      <c r="D1092" s="55"/>
      <c r="E1092" s="55"/>
      <c r="F1092" s="55"/>
      <c r="G1092" s="55"/>
      <c r="H1092" s="55"/>
    </row>
    <row r="1093">
      <c r="A1093" s="55"/>
      <c r="B1093" s="55"/>
      <c r="C1093" s="55"/>
      <c r="D1093" s="55"/>
      <c r="E1093" s="55"/>
      <c r="F1093" s="55"/>
      <c r="G1093" s="55"/>
      <c r="H1093" s="55"/>
    </row>
    <row r="1094">
      <c r="A1094" s="55"/>
      <c r="B1094" s="55"/>
      <c r="C1094" s="55"/>
      <c r="D1094" s="55"/>
      <c r="E1094" s="55"/>
      <c r="F1094" s="55"/>
      <c r="G1094" s="55"/>
      <c r="H1094" s="55"/>
    </row>
    <row r="1095">
      <c r="A1095" s="55"/>
      <c r="B1095" s="55"/>
      <c r="C1095" s="55"/>
      <c r="D1095" s="55"/>
      <c r="E1095" s="55"/>
      <c r="F1095" s="55"/>
      <c r="G1095" s="55"/>
      <c r="H1095" s="55"/>
    </row>
    <row r="1096">
      <c r="A1096" s="55"/>
      <c r="B1096" s="55"/>
      <c r="C1096" s="55"/>
      <c r="D1096" s="55"/>
      <c r="E1096" s="55"/>
      <c r="F1096" s="55"/>
      <c r="G1096" s="55"/>
      <c r="H1096" s="55"/>
    </row>
    <row r="1097">
      <c r="A1097" s="55"/>
      <c r="B1097" s="55"/>
      <c r="C1097" s="55"/>
      <c r="D1097" s="55"/>
      <c r="E1097" s="55"/>
      <c r="F1097" s="55"/>
      <c r="G1097" s="55"/>
      <c r="H1097" s="55"/>
    </row>
    <row r="1098">
      <c r="A1098" s="55"/>
      <c r="B1098" s="55"/>
      <c r="C1098" s="55"/>
      <c r="D1098" s="55"/>
      <c r="E1098" s="55"/>
      <c r="F1098" s="55"/>
      <c r="G1098" s="55"/>
      <c r="H1098" s="55"/>
    </row>
    <row r="1099">
      <c r="A1099" s="55"/>
      <c r="B1099" s="55"/>
      <c r="C1099" s="55"/>
      <c r="D1099" s="55"/>
      <c r="E1099" s="55"/>
      <c r="F1099" s="55"/>
      <c r="G1099" s="55"/>
      <c r="H1099" s="55"/>
    </row>
    <row r="1100">
      <c r="A1100" s="55"/>
      <c r="B1100" s="55"/>
      <c r="C1100" s="55"/>
      <c r="D1100" s="55"/>
      <c r="E1100" s="55"/>
      <c r="F1100" s="55"/>
      <c r="G1100" s="55"/>
      <c r="H1100" s="55"/>
    </row>
    <row r="1101">
      <c r="A1101" s="55"/>
      <c r="B1101" s="55"/>
      <c r="C1101" s="55"/>
      <c r="D1101" s="55"/>
      <c r="E1101" s="55"/>
      <c r="F1101" s="55"/>
      <c r="G1101" s="55"/>
      <c r="H1101" s="55"/>
    </row>
    <row r="1102">
      <c r="A1102" s="55"/>
      <c r="B1102" s="55"/>
      <c r="C1102" s="55"/>
      <c r="D1102" s="55"/>
      <c r="E1102" s="55"/>
      <c r="F1102" s="55"/>
      <c r="G1102" s="55"/>
      <c r="H1102" s="55"/>
    </row>
    <row r="1103">
      <c r="A1103" s="55"/>
      <c r="B1103" s="55"/>
      <c r="C1103" s="55"/>
      <c r="D1103" s="55"/>
      <c r="E1103" s="55"/>
      <c r="F1103" s="55"/>
      <c r="G1103" s="55"/>
      <c r="H1103" s="55"/>
    </row>
    <row r="1104">
      <c r="A1104" s="55"/>
      <c r="B1104" s="55"/>
      <c r="C1104" s="55"/>
      <c r="D1104" s="55"/>
      <c r="E1104" s="55"/>
      <c r="F1104" s="55"/>
      <c r="G1104" s="55"/>
      <c r="H1104" s="55"/>
    </row>
    <row r="1105">
      <c r="A1105" s="55"/>
      <c r="B1105" s="55"/>
      <c r="C1105" s="55"/>
      <c r="D1105" s="55"/>
      <c r="E1105" s="55"/>
      <c r="F1105" s="55"/>
      <c r="G1105" s="55"/>
      <c r="H1105" s="55"/>
    </row>
    <row r="1106">
      <c r="A1106" s="55"/>
      <c r="B1106" s="55"/>
      <c r="C1106" s="55"/>
      <c r="D1106" s="55"/>
      <c r="E1106" s="55"/>
      <c r="F1106" s="55"/>
      <c r="G1106" s="55"/>
      <c r="H1106" s="55"/>
    </row>
    <row r="1107">
      <c r="A1107" s="55"/>
      <c r="B1107" s="55"/>
      <c r="C1107" s="55"/>
      <c r="D1107" s="55"/>
      <c r="E1107" s="55"/>
      <c r="F1107" s="55"/>
      <c r="G1107" s="55"/>
      <c r="H1107" s="55"/>
    </row>
    <row r="1108">
      <c r="A1108" s="55"/>
      <c r="B1108" s="55"/>
      <c r="C1108" s="55"/>
      <c r="D1108" s="55"/>
      <c r="E1108" s="55"/>
      <c r="F1108" s="55"/>
      <c r="G1108" s="55"/>
      <c r="H1108" s="55"/>
    </row>
    <row r="1109">
      <c r="A1109" s="55"/>
      <c r="B1109" s="55"/>
      <c r="C1109" s="55"/>
      <c r="D1109" s="55"/>
      <c r="E1109" s="55"/>
      <c r="F1109" s="55"/>
      <c r="G1109" s="55"/>
      <c r="H1109" s="55"/>
    </row>
    <row r="1110">
      <c r="A1110" s="55"/>
      <c r="B1110" s="55"/>
      <c r="C1110" s="55"/>
      <c r="D1110" s="55"/>
      <c r="E1110" s="55"/>
      <c r="F1110" s="55"/>
      <c r="G1110" s="55"/>
      <c r="H1110" s="55"/>
    </row>
    <row r="1111">
      <c r="A1111" s="55"/>
      <c r="B1111" s="55"/>
      <c r="C1111" s="55"/>
      <c r="D1111" s="55"/>
      <c r="E1111" s="55"/>
      <c r="F1111" s="55"/>
      <c r="G1111" s="55"/>
      <c r="H1111" s="55"/>
    </row>
    <row r="1112">
      <c r="A1112" s="55"/>
      <c r="B1112" s="55"/>
      <c r="C1112" s="55"/>
      <c r="D1112" s="55"/>
      <c r="E1112" s="55"/>
      <c r="F1112" s="55"/>
      <c r="G1112" s="55"/>
      <c r="H1112" s="55"/>
    </row>
    <row r="1113">
      <c r="A1113" s="55"/>
      <c r="B1113" s="55"/>
      <c r="C1113" s="55"/>
      <c r="D1113" s="55"/>
      <c r="E1113" s="55"/>
      <c r="F1113" s="55"/>
      <c r="G1113" s="55"/>
      <c r="H1113" s="55"/>
    </row>
    <row r="1114">
      <c r="A1114" s="55"/>
      <c r="B1114" s="55"/>
      <c r="C1114" s="55"/>
      <c r="D1114" s="55"/>
      <c r="E1114" s="55"/>
      <c r="F1114" s="55"/>
      <c r="G1114" s="55"/>
      <c r="H1114" s="55"/>
    </row>
    <row r="1115">
      <c r="A1115" s="55"/>
      <c r="B1115" s="55"/>
      <c r="C1115" s="55"/>
      <c r="D1115" s="55"/>
      <c r="E1115" s="55"/>
      <c r="F1115" s="55"/>
      <c r="G1115" s="55"/>
      <c r="H1115" s="55"/>
    </row>
    <row r="1116">
      <c r="A1116" s="55"/>
      <c r="B1116" s="55"/>
      <c r="C1116" s="55"/>
      <c r="D1116" s="55"/>
      <c r="E1116" s="55"/>
      <c r="F1116" s="55"/>
      <c r="G1116" s="55"/>
      <c r="H1116" s="55"/>
    </row>
    <row r="1117">
      <c r="A1117" s="55"/>
      <c r="B1117" s="55"/>
      <c r="C1117" s="55"/>
      <c r="D1117" s="55"/>
      <c r="E1117" s="55"/>
      <c r="F1117" s="55"/>
      <c r="G1117" s="55"/>
      <c r="H1117" s="55"/>
    </row>
    <row r="1118">
      <c r="A1118" s="55"/>
      <c r="B1118" s="55"/>
      <c r="C1118" s="55"/>
      <c r="D1118" s="55"/>
      <c r="E1118" s="55"/>
      <c r="F1118" s="55"/>
      <c r="G1118" s="55"/>
      <c r="H1118" s="55"/>
    </row>
    <row r="1119">
      <c r="A1119" s="55"/>
      <c r="B1119" s="55"/>
      <c r="C1119" s="55"/>
      <c r="D1119" s="55"/>
      <c r="E1119" s="55"/>
      <c r="F1119" s="55"/>
      <c r="G1119" s="55"/>
      <c r="H1119" s="55"/>
    </row>
    <row r="1120">
      <c r="A1120" s="55"/>
      <c r="B1120" s="55"/>
      <c r="C1120" s="55"/>
      <c r="D1120" s="55"/>
      <c r="E1120" s="55"/>
      <c r="F1120" s="55"/>
      <c r="G1120" s="55"/>
      <c r="H1120" s="55"/>
    </row>
    <row r="1121">
      <c r="A1121" s="55"/>
      <c r="B1121" s="55"/>
      <c r="C1121" s="55"/>
      <c r="D1121" s="55"/>
      <c r="E1121" s="55"/>
      <c r="F1121" s="55"/>
      <c r="G1121" s="55"/>
      <c r="H1121" s="55"/>
    </row>
    <row r="1122">
      <c r="A1122" s="55"/>
      <c r="B1122" s="55"/>
      <c r="C1122" s="55"/>
      <c r="D1122" s="55"/>
      <c r="E1122" s="55"/>
      <c r="F1122" s="55"/>
      <c r="G1122" s="55"/>
      <c r="H1122" s="55"/>
    </row>
    <row r="1123">
      <c r="A1123" s="55"/>
      <c r="B1123" s="55"/>
      <c r="C1123" s="55"/>
      <c r="D1123" s="55"/>
      <c r="E1123" s="55"/>
      <c r="F1123" s="55"/>
      <c r="G1123" s="55"/>
      <c r="H1123" s="55"/>
    </row>
    <row r="1124">
      <c r="A1124" s="55"/>
      <c r="B1124" s="55"/>
      <c r="C1124" s="55"/>
      <c r="D1124" s="55"/>
      <c r="E1124" s="55"/>
      <c r="F1124" s="55"/>
      <c r="G1124" s="55"/>
      <c r="H1124" s="55"/>
    </row>
    <row r="1125">
      <c r="A1125" s="55"/>
      <c r="B1125" s="55"/>
      <c r="C1125" s="55"/>
      <c r="D1125" s="55"/>
      <c r="E1125" s="55"/>
      <c r="F1125" s="55"/>
      <c r="G1125" s="55"/>
      <c r="H1125" s="55"/>
    </row>
    <row r="1126">
      <c r="A1126" s="55"/>
      <c r="B1126" s="55"/>
      <c r="C1126" s="55"/>
      <c r="D1126" s="55"/>
      <c r="E1126" s="55"/>
      <c r="F1126" s="55"/>
      <c r="G1126" s="55"/>
      <c r="H1126" s="55"/>
    </row>
    <row r="1127">
      <c r="A1127" s="55"/>
      <c r="B1127" s="55"/>
      <c r="C1127" s="55"/>
      <c r="D1127" s="55"/>
      <c r="E1127" s="55"/>
      <c r="F1127" s="55"/>
      <c r="G1127" s="55"/>
      <c r="H1127" s="55"/>
    </row>
    <row r="1128">
      <c r="A1128" s="55"/>
      <c r="B1128" s="55"/>
      <c r="C1128" s="55"/>
      <c r="D1128" s="55"/>
      <c r="E1128" s="55"/>
      <c r="F1128" s="55"/>
      <c r="G1128" s="55"/>
      <c r="H1128" s="55"/>
    </row>
    <row r="1129">
      <c r="A1129" s="55"/>
      <c r="B1129" s="55"/>
      <c r="C1129" s="55"/>
      <c r="D1129" s="55"/>
      <c r="E1129" s="55"/>
      <c r="F1129" s="55"/>
      <c r="G1129" s="55"/>
      <c r="H1129" s="55"/>
    </row>
    <row r="1130">
      <c r="A1130" s="55"/>
      <c r="B1130" s="55"/>
      <c r="C1130" s="55"/>
      <c r="D1130" s="55"/>
      <c r="E1130" s="55"/>
      <c r="F1130" s="55"/>
      <c r="G1130" s="55"/>
      <c r="H1130" s="55"/>
    </row>
    <row r="1131">
      <c r="A1131" s="55"/>
      <c r="B1131" s="55"/>
      <c r="C1131" s="55"/>
      <c r="D1131" s="55"/>
      <c r="E1131" s="55"/>
      <c r="F1131" s="55"/>
      <c r="G1131" s="55"/>
      <c r="H1131" s="55"/>
    </row>
    <row r="1132">
      <c r="A1132" s="55"/>
      <c r="B1132" s="55"/>
      <c r="C1132" s="55"/>
      <c r="D1132" s="55"/>
      <c r="E1132" s="55"/>
      <c r="F1132" s="55"/>
      <c r="G1132" s="55"/>
      <c r="H1132" s="55"/>
    </row>
    <row r="1133">
      <c r="A1133" s="55"/>
      <c r="B1133" s="55"/>
      <c r="C1133" s="55"/>
      <c r="D1133" s="55"/>
      <c r="E1133" s="55"/>
      <c r="F1133" s="55"/>
      <c r="G1133" s="55"/>
      <c r="H1133" s="55"/>
    </row>
    <row r="1134">
      <c r="A1134" s="55"/>
      <c r="B1134" s="55"/>
      <c r="C1134" s="55"/>
      <c r="D1134" s="55"/>
      <c r="E1134" s="55"/>
      <c r="F1134" s="55"/>
      <c r="G1134" s="55"/>
      <c r="H1134" s="55"/>
    </row>
    <row r="1135">
      <c r="A1135" s="55"/>
      <c r="B1135" s="55"/>
      <c r="C1135" s="55"/>
      <c r="D1135" s="55"/>
      <c r="E1135" s="55"/>
      <c r="F1135" s="55"/>
      <c r="G1135" s="55"/>
      <c r="H1135" s="55"/>
    </row>
    <row r="1136">
      <c r="A1136" s="55"/>
      <c r="B1136" s="55"/>
      <c r="C1136" s="55"/>
      <c r="D1136" s="55"/>
      <c r="E1136" s="55"/>
      <c r="F1136" s="55"/>
      <c r="G1136" s="55"/>
      <c r="H1136" s="55"/>
    </row>
    <row r="1137">
      <c r="A1137" s="55"/>
      <c r="B1137" s="55"/>
      <c r="C1137" s="55"/>
      <c r="D1137" s="55"/>
      <c r="E1137" s="55"/>
      <c r="F1137" s="55"/>
      <c r="G1137" s="55"/>
      <c r="H1137" s="55"/>
    </row>
    <row r="1138">
      <c r="A1138" s="55"/>
      <c r="B1138" s="55"/>
      <c r="C1138" s="55"/>
      <c r="D1138" s="55"/>
      <c r="E1138" s="55"/>
      <c r="F1138" s="55"/>
      <c r="G1138" s="55"/>
      <c r="H1138" s="55"/>
    </row>
    <row r="1139">
      <c r="A1139" s="55"/>
      <c r="B1139" s="55"/>
      <c r="C1139" s="55"/>
      <c r="D1139" s="55"/>
      <c r="E1139" s="55"/>
      <c r="F1139" s="55"/>
      <c r="G1139" s="55"/>
      <c r="H1139" s="55"/>
    </row>
    <row r="1140">
      <c r="A1140" s="55"/>
      <c r="B1140" s="55"/>
      <c r="C1140" s="55"/>
      <c r="D1140" s="55"/>
      <c r="E1140" s="55"/>
      <c r="F1140" s="55"/>
      <c r="G1140" s="55"/>
      <c r="H1140" s="55"/>
    </row>
    <row r="1141">
      <c r="A1141" s="55"/>
      <c r="B1141" s="55"/>
      <c r="C1141" s="55"/>
      <c r="D1141" s="55"/>
      <c r="E1141" s="55"/>
      <c r="F1141" s="55"/>
      <c r="G1141" s="55"/>
      <c r="H1141" s="55"/>
    </row>
    <row r="1142">
      <c r="A1142" s="55"/>
      <c r="B1142" s="55"/>
      <c r="C1142" s="55"/>
      <c r="D1142" s="55"/>
      <c r="E1142" s="55"/>
      <c r="F1142" s="55"/>
      <c r="G1142" s="55"/>
      <c r="H1142" s="55"/>
    </row>
    <row r="1143">
      <c r="A1143" s="55"/>
      <c r="B1143" s="55"/>
      <c r="C1143" s="55"/>
      <c r="D1143" s="55"/>
      <c r="E1143" s="55"/>
      <c r="F1143" s="55"/>
      <c r="G1143" s="55"/>
      <c r="H1143" s="55"/>
    </row>
    <row r="1144">
      <c r="A1144" s="55"/>
      <c r="B1144" s="55"/>
      <c r="C1144" s="55"/>
      <c r="D1144" s="55"/>
      <c r="E1144" s="55"/>
      <c r="F1144" s="55"/>
      <c r="G1144" s="55"/>
      <c r="H1144" s="55"/>
    </row>
    <row r="1145">
      <c r="A1145" s="55"/>
      <c r="B1145" s="55"/>
      <c r="C1145" s="55"/>
      <c r="D1145" s="55"/>
      <c r="E1145" s="55"/>
      <c r="F1145" s="55"/>
      <c r="G1145" s="55"/>
      <c r="H1145" s="55"/>
    </row>
    <row r="1146">
      <c r="A1146" s="55"/>
      <c r="B1146" s="55"/>
      <c r="C1146" s="55"/>
      <c r="D1146" s="55"/>
      <c r="E1146" s="55"/>
      <c r="F1146" s="55"/>
      <c r="G1146" s="55"/>
      <c r="H1146" s="55"/>
    </row>
    <row r="1147">
      <c r="A1147" s="55"/>
      <c r="B1147" s="55"/>
      <c r="C1147" s="55"/>
      <c r="D1147" s="55"/>
      <c r="E1147" s="55"/>
      <c r="F1147" s="55"/>
      <c r="G1147" s="55"/>
      <c r="H1147" s="55"/>
    </row>
    <row r="1148">
      <c r="A1148" s="55"/>
      <c r="B1148" s="55"/>
      <c r="C1148" s="55"/>
      <c r="D1148" s="55"/>
      <c r="E1148" s="55"/>
      <c r="F1148" s="55"/>
      <c r="G1148" s="55"/>
      <c r="H1148" s="55"/>
    </row>
    <row r="1149">
      <c r="A1149" s="55"/>
      <c r="B1149" s="55"/>
      <c r="C1149" s="55"/>
      <c r="D1149" s="55"/>
      <c r="E1149" s="55"/>
      <c r="F1149" s="55"/>
      <c r="G1149" s="55"/>
      <c r="H1149" s="55"/>
    </row>
    <row r="1150">
      <c r="A1150" s="55"/>
      <c r="B1150" s="55"/>
      <c r="C1150" s="55"/>
      <c r="D1150" s="55"/>
      <c r="E1150" s="55"/>
      <c r="F1150" s="55"/>
      <c r="G1150" s="55"/>
      <c r="H1150" s="55"/>
    </row>
    <row r="1151">
      <c r="A1151" s="55"/>
      <c r="B1151" s="55"/>
      <c r="C1151" s="55"/>
      <c r="D1151" s="55"/>
      <c r="E1151" s="55"/>
      <c r="F1151" s="55"/>
      <c r="G1151" s="55"/>
      <c r="H1151" s="55"/>
    </row>
    <row r="1152">
      <c r="A1152" s="55"/>
      <c r="B1152" s="55"/>
      <c r="C1152" s="55"/>
      <c r="D1152" s="55"/>
      <c r="E1152" s="55"/>
      <c r="F1152" s="55"/>
      <c r="G1152" s="55"/>
      <c r="H1152" s="55"/>
    </row>
    <row r="1153">
      <c r="A1153" s="55"/>
      <c r="B1153" s="55"/>
      <c r="C1153" s="55"/>
      <c r="D1153" s="55"/>
      <c r="E1153" s="55"/>
      <c r="F1153" s="55"/>
      <c r="G1153" s="55"/>
      <c r="H1153" s="55"/>
    </row>
    <row r="1154">
      <c r="A1154" s="55"/>
      <c r="B1154" s="55"/>
      <c r="C1154" s="55"/>
      <c r="D1154" s="55"/>
      <c r="E1154" s="55"/>
      <c r="F1154" s="55"/>
      <c r="G1154" s="55"/>
      <c r="H1154" s="55"/>
    </row>
    <row r="1155">
      <c r="A1155" s="55"/>
      <c r="B1155" s="55"/>
      <c r="C1155" s="55"/>
      <c r="D1155" s="55"/>
      <c r="E1155" s="55"/>
      <c r="F1155" s="55"/>
      <c r="G1155" s="55"/>
      <c r="H1155" s="55"/>
    </row>
    <row r="1156">
      <c r="A1156" s="55"/>
      <c r="B1156" s="55"/>
      <c r="C1156" s="55"/>
      <c r="D1156" s="55"/>
      <c r="E1156" s="55"/>
      <c r="F1156" s="55"/>
      <c r="G1156" s="55"/>
      <c r="H1156" s="55"/>
    </row>
    <row r="1157">
      <c r="A1157" s="55"/>
      <c r="B1157" s="55"/>
      <c r="C1157" s="55"/>
      <c r="D1157" s="55"/>
      <c r="E1157" s="55"/>
      <c r="F1157" s="55"/>
      <c r="G1157" s="55"/>
      <c r="H1157" s="55"/>
    </row>
    <row r="1158">
      <c r="A1158" s="55"/>
      <c r="B1158" s="55"/>
      <c r="C1158" s="55"/>
      <c r="D1158" s="55"/>
      <c r="E1158" s="55"/>
      <c r="F1158" s="55"/>
      <c r="G1158" s="55"/>
      <c r="H1158" s="55"/>
    </row>
    <row r="1159">
      <c r="A1159" s="55"/>
      <c r="B1159" s="55"/>
      <c r="C1159" s="55"/>
      <c r="D1159" s="55"/>
      <c r="E1159" s="55"/>
      <c r="F1159" s="55"/>
      <c r="G1159" s="55"/>
      <c r="H1159" s="55"/>
    </row>
    <row r="1160">
      <c r="A1160" s="55"/>
      <c r="B1160" s="55"/>
      <c r="C1160" s="55"/>
      <c r="D1160" s="55"/>
      <c r="E1160" s="55"/>
      <c r="F1160" s="55"/>
      <c r="G1160" s="55"/>
      <c r="H1160" s="55"/>
    </row>
    <row r="1161">
      <c r="A1161" s="55"/>
      <c r="B1161" s="55"/>
      <c r="C1161" s="55"/>
      <c r="D1161" s="55"/>
      <c r="E1161" s="55"/>
      <c r="F1161" s="55"/>
      <c r="G1161" s="55"/>
      <c r="H1161" s="55"/>
    </row>
    <row r="1162">
      <c r="A1162" s="55"/>
      <c r="B1162" s="55"/>
      <c r="C1162" s="55"/>
      <c r="D1162" s="55"/>
      <c r="E1162" s="55"/>
      <c r="F1162" s="55"/>
      <c r="G1162" s="55"/>
      <c r="H1162" s="55"/>
    </row>
    <row r="1163">
      <c r="A1163" s="55"/>
      <c r="B1163" s="55"/>
      <c r="C1163" s="55"/>
      <c r="D1163" s="55"/>
      <c r="E1163" s="55"/>
      <c r="F1163" s="55"/>
      <c r="G1163" s="55"/>
      <c r="H1163" s="55"/>
    </row>
    <row r="1164">
      <c r="A1164" s="55"/>
      <c r="B1164" s="55"/>
      <c r="C1164" s="55"/>
      <c r="D1164" s="55"/>
      <c r="E1164" s="55"/>
      <c r="F1164" s="55"/>
      <c r="G1164" s="55"/>
      <c r="H1164" s="55"/>
    </row>
    <row r="1165">
      <c r="A1165" s="55"/>
      <c r="B1165" s="55"/>
      <c r="C1165" s="55"/>
      <c r="D1165" s="55"/>
      <c r="E1165" s="55"/>
      <c r="F1165" s="55"/>
      <c r="G1165" s="55"/>
      <c r="H1165" s="55"/>
    </row>
    <row r="1166">
      <c r="A1166" s="55"/>
      <c r="B1166" s="55"/>
      <c r="C1166" s="55"/>
      <c r="D1166" s="55"/>
      <c r="E1166" s="55"/>
      <c r="F1166" s="55"/>
      <c r="G1166" s="55"/>
      <c r="H1166" s="55"/>
    </row>
    <row r="1167">
      <c r="A1167" s="55"/>
      <c r="B1167" s="55"/>
      <c r="C1167" s="55"/>
      <c r="D1167" s="55"/>
      <c r="E1167" s="55"/>
      <c r="F1167" s="55"/>
      <c r="G1167" s="55"/>
      <c r="H1167" s="55"/>
    </row>
    <row r="1168">
      <c r="A1168" s="55"/>
      <c r="B1168" s="55"/>
      <c r="C1168" s="55"/>
      <c r="D1168" s="55"/>
      <c r="E1168" s="55"/>
      <c r="F1168" s="55"/>
      <c r="G1168" s="55"/>
      <c r="H1168" s="55"/>
    </row>
    <row r="1169">
      <c r="A1169" s="55"/>
      <c r="B1169" s="55"/>
      <c r="C1169" s="55"/>
      <c r="D1169" s="55"/>
      <c r="E1169" s="55"/>
      <c r="F1169" s="55"/>
      <c r="G1169" s="55"/>
      <c r="H1169" s="55"/>
    </row>
    <row r="1170">
      <c r="A1170" s="55"/>
      <c r="B1170" s="55"/>
      <c r="C1170" s="55"/>
      <c r="D1170" s="55"/>
      <c r="E1170" s="55"/>
      <c r="F1170" s="55"/>
      <c r="G1170" s="55"/>
      <c r="H1170" s="55"/>
    </row>
    <row r="1171">
      <c r="A1171" s="55"/>
      <c r="B1171" s="55"/>
      <c r="C1171" s="55"/>
      <c r="D1171" s="55"/>
      <c r="E1171" s="55"/>
      <c r="F1171" s="55"/>
      <c r="G1171" s="55"/>
      <c r="H1171" s="55"/>
    </row>
    <row r="1172">
      <c r="A1172" s="55"/>
      <c r="B1172" s="55"/>
      <c r="C1172" s="55"/>
      <c r="D1172" s="55"/>
      <c r="E1172" s="55"/>
      <c r="F1172" s="55"/>
      <c r="G1172" s="55"/>
      <c r="H1172" s="55"/>
    </row>
    <row r="1173">
      <c r="A1173" s="55"/>
      <c r="B1173" s="55"/>
      <c r="C1173" s="55"/>
      <c r="D1173" s="55"/>
      <c r="E1173" s="55"/>
      <c r="F1173" s="55"/>
      <c r="G1173" s="55"/>
      <c r="H1173" s="55"/>
    </row>
    <row r="1174">
      <c r="A1174" s="55"/>
      <c r="B1174" s="55"/>
      <c r="C1174" s="55"/>
      <c r="D1174" s="55"/>
      <c r="E1174" s="55"/>
      <c r="F1174" s="55"/>
      <c r="G1174" s="55"/>
      <c r="H1174" s="55"/>
    </row>
    <row r="1175">
      <c r="A1175" s="55"/>
      <c r="B1175" s="55"/>
      <c r="C1175" s="55"/>
      <c r="D1175" s="55"/>
      <c r="E1175" s="55"/>
      <c r="F1175" s="55"/>
      <c r="G1175" s="55"/>
      <c r="H1175" s="55"/>
    </row>
    <row r="1176">
      <c r="A1176" s="55"/>
      <c r="B1176" s="55"/>
      <c r="C1176" s="55"/>
      <c r="D1176" s="55"/>
      <c r="E1176" s="55"/>
      <c r="F1176" s="55"/>
      <c r="G1176" s="55"/>
      <c r="H1176" s="55"/>
    </row>
    <row r="1177">
      <c r="A1177" s="55"/>
      <c r="B1177" s="55"/>
      <c r="C1177" s="55"/>
      <c r="D1177" s="55"/>
      <c r="E1177" s="55"/>
      <c r="F1177" s="55"/>
      <c r="G1177" s="55"/>
      <c r="H1177" s="55"/>
    </row>
    <row r="1178">
      <c r="A1178" s="55"/>
      <c r="B1178" s="55"/>
      <c r="C1178" s="55"/>
      <c r="D1178" s="55"/>
      <c r="E1178" s="55"/>
      <c r="F1178" s="55"/>
      <c r="G1178" s="55"/>
      <c r="H1178" s="55"/>
    </row>
    <row r="1179">
      <c r="A1179" s="55"/>
      <c r="B1179" s="55"/>
      <c r="C1179" s="55"/>
      <c r="D1179" s="55"/>
      <c r="E1179" s="55"/>
      <c r="F1179" s="55"/>
      <c r="G1179" s="55"/>
      <c r="H1179" s="55"/>
    </row>
    <row r="1180">
      <c r="A1180" s="55"/>
      <c r="B1180" s="55"/>
      <c r="C1180" s="55"/>
      <c r="D1180" s="55"/>
      <c r="E1180" s="55"/>
      <c r="F1180" s="55"/>
      <c r="G1180" s="55"/>
      <c r="H1180" s="55"/>
    </row>
    <row r="1181">
      <c r="A1181" s="55"/>
      <c r="B1181" s="55"/>
      <c r="C1181" s="55"/>
      <c r="D1181" s="55"/>
      <c r="E1181" s="55"/>
      <c r="F1181" s="55"/>
      <c r="G1181" s="55"/>
      <c r="H1181" s="55"/>
    </row>
    <row r="1182">
      <c r="A1182" s="55"/>
      <c r="B1182" s="55"/>
      <c r="C1182" s="55"/>
      <c r="D1182" s="55"/>
      <c r="E1182" s="55"/>
      <c r="F1182" s="55"/>
      <c r="G1182" s="55"/>
      <c r="H1182" s="55"/>
    </row>
    <row r="1183">
      <c r="A1183" s="55"/>
      <c r="B1183" s="55"/>
      <c r="C1183" s="55"/>
      <c r="D1183" s="55"/>
      <c r="E1183" s="55"/>
      <c r="F1183" s="55"/>
      <c r="G1183" s="55"/>
      <c r="H1183" s="55"/>
    </row>
    <row r="1184">
      <c r="A1184" s="55"/>
      <c r="B1184" s="55"/>
      <c r="C1184" s="55"/>
      <c r="D1184" s="55"/>
      <c r="E1184" s="55"/>
      <c r="F1184" s="55"/>
      <c r="G1184" s="55"/>
      <c r="H1184" s="55"/>
    </row>
    <row r="1185">
      <c r="A1185" s="55"/>
      <c r="B1185" s="55"/>
      <c r="C1185" s="55"/>
      <c r="D1185" s="55"/>
      <c r="E1185" s="55"/>
      <c r="F1185" s="55"/>
      <c r="G1185" s="55"/>
      <c r="H1185" s="55"/>
    </row>
    <row r="1186">
      <c r="A1186" s="55"/>
      <c r="B1186" s="55"/>
      <c r="C1186" s="55"/>
      <c r="D1186" s="55"/>
      <c r="E1186" s="55"/>
      <c r="F1186" s="55"/>
      <c r="G1186" s="55"/>
      <c r="H1186" s="55"/>
    </row>
    <row r="1187">
      <c r="A1187" s="55"/>
      <c r="B1187" s="55"/>
      <c r="C1187" s="55"/>
      <c r="D1187" s="55"/>
      <c r="E1187" s="55"/>
      <c r="F1187" s="55"/>
      <c r="G1187" s="55"/>
      <c r="H1187" s="55"/>
    </row>
    <row r="1188">
      <c r="A1188" s="55"/>
      <c r="B1188" s="55"/>
      <c r="C1188" s="55"/>
      <c r="D1188" s="55"/>
      <c r="E1188" s="55"/>
      <c r="F1188" s="55"/>
      <c r="G1188" s="55"/>
      <c r="H1188" s="55"/>
    </row>
    <row r="1189">
      <c r="A1189" s="55"/>
      <c r="B1189" s="55"/>
      <c r="C1189" s="55"/>
      <c r="D1189" s="55"/>
      <c r="E1189" s="55"/>
      <c r="F1189" s="55"/>
      <c r="G1189" s="55"/>
      <c r="H1189" s="55"/>
    </row>
    <row r="1190">
      <c r="A1190" s="55"/>
      <c r="B1190" s="55"/>
      <c r="C1190" s="55"/>
      <c r="D1190" s="55"/>
      <c r="E1190" s="55"/>
      <c r="F1190" s="55"/>
      <c r="G1190" s="55"/>
      <c r="H1190" s="55"/>
    </row>
    <row r="1191">
      <c r="A1191" s="55"/>
      <c r="B1191" s="55"/>
      <c r="C1191" s="55"/>
      <c r="D1191" s="55"/>
      <c r="E1191" s="55"/>
      <c r="F1191" s="55"/>
      <c r="G1191" s="55"/>
      <c r="H1191" s="55"/>
    </row>
    <row r="1192">
      <c r="A1192" s="55"/>
      <c r="B1192" s="55"/>
      <c r="C1192" s="55"/>
      <c r="D1192" s="55"/>
      <c r="E1192" s="55"/>
      <c r="F1192" s="55"/>
      <c r="G1192" s="55"/>
      <c r="H1192" s="55"/>
    </row>
    <row r="1193">
      <c r="A1193" s="55"/>
      <c r="B1193" s="55"/>
      <c r="C1193" s="55"/>
      <c r="D1193" s="55"/>
      <c r="E1193" s="55"/>
      <c r="F1193" s="55"/>
      <c r="G1193" s="55"/>
      <c r="H1193" s="55"/>
    </row>
    <row r="1194">
      <c r="A1194" s="55"/>
      <c r="B1194" s="55"/>
      <c r="C1194" s="55"/>
      <c r="D1194" s="55"/>
      <c r="E1194" s="55"/>
      <c r="F1194" s="55"/>
      <c r="G1194" s="55"/>
      <c r="H1194" s="55"/>
    </row>
    <row r="1195">
      <c r="A1195" s="55"/>
      <c r="B1195" s="55"/>
      <c r="C1195" s="55"/>
      <c r="D1195" s="55"/>
      <c r="E1195" s="55"/>
      <c r="F1195" s="55"/>
      <c r="G1195" s="55"/>
      <c r="H1195" s="55"/>
    </row>
    <row r="1196">
      <c r="A1196" s="55"/>
      <c r="B1196" s="55"/>
      <c r="C1196" s="55"/>
      <c r="D1196" s="55"/>
      <c r="E1196" s="55"/>
      <c r="F1196" s="55"/>
      <c r="G1196" s="55"/>
      <c r="H1196" s="55"/>
    </row>
    <row r="1197">
      <c r="A1197" s="55"/>
      <c r="B1197" s="55"/>
      <c r="C1197" s="55"/>
      <c r="D1197" s="55"/>
      <c r="E1197" s="55"/>
      <c r="F1197" s="55"/>
      <c r="G1197" s="55"/>
      <c r="H1197" s="55"/>
    </row>
    <row r="1198">
      <c r="A1198" s="55"/>
      <c r="B1198" s="55"/>
      <c r="C1198" s="55"/>
      <c r="D1198" s="55"/>
      <c r="E1198" s="55"/>
      <c r="F1198" s="55"/>
      <c r="G1198" s="55"/>
      <c r="H1198" s="55"/>
    </row>
    <row r="1199">
      <c r="A1199" s="55"/>
      <c r="B1199" s="55"/>
      <c r="C1199" s="55"/>
      <c r="D1199" s="55"/>
      <c r="E1199" s="55"/>
      <c r="F1199" s="55"/>
      <c r="G1199" s="55"/>
      <c r="H1199" s="55"/>
    </row>
    <row r="1200">
      <c r="A1200" s="55"/>
      <c r="B1200" s="55"/>
      <c r="C1200" s="55"/>
      <c r="D1200" s="55"/>
      <c r="E1200" s="55"/>
      <c r="F1200" s="55"/>
      <c r="G1200" s="55"/>
      <c r="H1200" s="55"/>
    </row>
    <row r="1201">
      <c r="A1201" s="55"/>
      <c r="B1201" s="55"/>
      <c r="C1201" s="55"/>
      <c r="D1201" s="55"/>
      <c r="E1201" s="55"/>
      <c r="F1201" s="55"/>
      <c r="G1201" s="55"/>
      <c r="H1201" s="55"/>
    </row>
    <row r="1202">
      <c r="A1202" s="55"/>
      <c r="B1202" s="55"/>
      <c r="C1202" s="55"/>
      <c r="D1202" s="55"/>
      <c r="E1202" s="55"/>
      <c r="F1202" s="55"/>
      <c r="G1202" s="55"/>
      <c r="H1202" s="55"/>
    </row>
    <row r="1203">
      <c r="A1203" s="55"/>
      <c r="B1203" s="55"/>
      <c r="C1203" s="55"/>
      <c r="D1203" s="55"/>
      <c r="E1203" s="55"/>
      <c r="F1203" s="55"/>
      <c r="G1203" s="55"/>
      <c r="H1203" s="55"/>
    </row>
    <row r="1204">
      <c r="A1204" s="55"/>
      <c r="B1204" s="55"/>
      <c r="C1204" s="55"/>
      <c r="D1204" s="55"/>
      <c r="E1204" s="55"/>
      <c r="F1204" s="55"/>
      <c r="G1204" s="55"/>
      <c r="H1204" s="55"/>
    </row>
    <row r="1205">
      <c r="A1205" s="55"/>
      <c r="B1205" s="55"/>
      <c r="C1205" s="55"/>
      <c r="D1205" s="55"/>
      <c r="E1205" s="55"/>
      <c r="F1205" s="55"/>
      <c r="G1205" s="55"/>
      <c r="H1205" s="55"/>
    </row>
    <row r="1206">
      <c r="A1206" s="55"/>
      <c r="B1206" s="55"/>
      <c r="C1206" s="55"/>
      <c r="D1206" s="55"/>
      <c r="E1206" s="55"/>
      <c r="F1206" s="55"/>
      <c r="G1206" s="55"/>
      <c r="H1206" s="55"/>
    </row>
    <row r="1207">
      <c r="A1207" s="55"/>
      <c r="B1207" s="55"/>
      <c r="C1207" s="55"/>
      <c r="D1207" s="55"/>
      <c r="E1207" s="55"/>
      <c r="F1207" s="55"/>
      <c r="G1207" s="55"/>
      <c r="H1207" s="55"/>
    </row>
    <row r="1208">
      <c r="A1208" s="55"/>
      <c r="B1208" s="55"/>
      <c r="C1208" s="55"/>
      <c r="D1208" s="55"/>
      <c r="E1208" s="55"/>
      <c r="F1208" s="55"/>
      <c r="G1208" s="55"/>
      <c r="H1208" s="55"/>
    </row>
    <row r="1209">
      <c r="A1209" s="55"/>
      <c r="B1209" s="55"/>
      <c r="C1209" s="55"/>
      <c r="D1209" s="55"/>
      <c r="E1209" s="55"/>
      <c r="F1209" s="55"/>
      <c r="G1209" s="55"/>
      <c r="H1209" s="55"/>
    </row>
    <row r="1210">
      <c r="A1210" s="55"/>
      <c r="B1210" s="55"/>
      <c r="C1210" s="55"/>
      <c r="D1210" s="55"/>
      <c r="E1210" s="55"/>
      <c r="F1210" s="55"/>
      <c r="G1210" s="55"/>
      <c r="H1210" s="55"/>
    </row>
    <row r="1211">
      <c r="A1211" s="55"/>
      <c r="B1211" s="55"/>
      <c r="C1211" s="55"/>
      <c r="D1211" s="55"/>
      <c r="E1211" s="55"/>
      <c r="F1211" s="55"/>
      <c r="G1211" s="55"/>
      <c r="H1211" s="55"/>
    </row>
    <row r="1212">
      <c r="A1212" s="55"/>
      <c r="B1212" s="55"/>
      <c r="C1212" s="55"/>
      <c r="D1212" s="55"/>
      <c r="E1212" s="55"/>
      <c r="F1212" s="55"/>
      <c r="G1212" s="55"/>
      <c r="H1212" s="55"/>
    </row>
    <row r="1213">
      <c r="A1213" s="55"/>
      <c r="B1213" s="55"/>
      <c r="C1213" s="55"/>
      <c r="D1213" s="55"/>
      <c r="E1213" s="55"/>
      <c r="F1213" s="55"/>
      <c r="G1213" s="55"/>
      <c r="H1213" s="55"/>
    </row>
    <row r="1214">
      <c r="A1214" s="55"/>
      <c r="B1214" s="55"/>
      <c r="C1214" s="55"/>
      <c r="D1214" s="55"/>
      <c r="E1214" s="55"/>
      <c r="F1214" s="55"/>
      <c r="G1214" s="55"/>
      <c r="H1214" s="55"/>
    </row>
    <row r="1215">
      <c r="A1215" s="55"/>
      <c r="B1215" s="55"/>
      <c r="C1215" s="55"/>
      <c r="D1215" s="55"/>
      <c r="E1215" s="55"/>
      <c r="F1215" s="55"/>
      <c r="G1215" s="55"/>
      <c r="H1215" s="55"/>
    </row>
    <row r="1216">
      <c r="A1216" s="55"/>
      <c r="B1216" s="55"/>
      <c r="C1216" s="55"/>
      <c r="D1216" s="55"/>
      <c r="E1216" s="55"/>
      <c r="F1216" s="55"/>
      <c r="G1216" s="55"/>
      <c r="H1216" s="55"/>
    </row>
    <row r="1217">
      <c r="A1217" s="55"/>
      <c r="B1217" s="55"/>
      <c r="C1217" s="55"/>
      <c r="D1217" s="55"/>
      <c r="E1217" s="55"/>
      <c r="F1217" s="55"/>
      <c r="G1217" s="55"/>
      <c r="H1217" s="55"/>
    </row>
    <row r="1218">
      <c r="A1218" s="55"/>
      <c r="B1218" s="55"/>
      <c r="C1218" s="55"/>
      <c r="D1218" s="55"/>
      <c r="E1218" s="55"/>
      <c r="F1218" s="55"/>
      <c r="G1218" s="55"/>
      <c r="H1218" s="55"/>
    </row>
    <row r="1219">
      <c r="A1219" s="55"/>
      <c r="B1219" s="55"/>
      <c r="C1219" s="55"/>
      <c r="D1219" s="55"/>
      <c r="E1219" s="55"/>
      <c r="F1219" s="55"/>
      <c r="G1219" s="55"/>
      <c r="H1219" s="55"/>
    </row>
    <row r="1220">
      <c r="A1220" s="55"/>
      <c r="B1220" s="55"/>
      <c r="C1220" s="55"/>
      <c r="D1220" s="55"/>
      <c r="E1220" s="55"/>
      <c r="F1220" s="55"/>
      <c r="G1220" s="55"/>
      <c r="H1220" s="55"/>
    </row>
    <row r="1221">
      <c r="A1221" s="55"/>
      <c r="B1221" s="55"/>
      <c r="C1221" s="55"/>
      <c r="D1221" s="55"/>
      <c r="E1221" s="55"/>
      <c r="F1221" s="55"/>
      <c r="G1221" s="55"/>
      <c r="H1221" s="55"/>
    </row>
    <row r="1222">
      <c r="A1222" s="55"/>
      <c r="B1222" s="55"/>
      <c r="C1222" s="55"/>
      <c r="D1222" s="55"/>
      <c r="E1222" s="55"/>
      <c r="F1222" s="55"/>
      <c r="G1222" s="55"/>
      <c r="H1222" s="55"/>
    </row>
    <row r="1223">
      <c r="A1223" s="55"/>
      <c r="B1223" s="55"/>
      <c r="C1223" s="55"/>
      <c r="D1223" s="55"/>
      <c r="E1223" s="55"/>
      <c r="F1223" s="55"/>
      <c r="G1223" s="55"/>
      <c r="H1223" s="55"/>
    </row>
    <row r="1224">
      <c r="A1224" s="55"/>
      <c r="B1224" s="55"/>
      <c r="C1224" s="55"/>
      <c r="D1224" s="55"/>
      <c r="E1224" s="55"/>
      <c r="F1224" s="55"/>
      <c r="G1224" s="55"/>
      <c r="H1224" s="55"/>
    </row>
    <row r="1225">
      <c r="A1225" s="55"/>
      <c r="B1225" s="55"/>
      <c r="C1225" s="55"/>
      <c r="D1225" s="55"/>
      <c r="E1225" s="55"/>
      <c r="F1225" s="55"/>
      <c r="G1225" s="55"/>
      <c r="H1225" s="55"/>
    </row>
    <row r="1226">
      <c r="A1226" s="55"/>
      <c r="B1226" s="55"/>
      <c r="C1226" s="55"/>
      <c r="D1226" s="55"/>
      <c r="E1226" s="55"/>
      <c r="F1226" s="55"/>
      <c r="G1226" s="55"/>
      <c r="H1226" s="55"/>
    </row>
    <row r="1227">
      <c r="A1227" s="55"/>
      <c r="B1227" s="55"/>
      <c r="C1227" s="55"/>
      <c r="D1227" s="55"/>
      <c r="E1227" s="55"/>
      <c r="F1227" s="55"/>
      <c r="G1227" s="55"/>
      <c r="H1227" s="55"/>
    </row>
    <row r="1228">
      <c r="A1228" s="55"/>
      <c r="B1228" s="55"/>
      <c r="C1228" s="55"/>
      <c r="D1228" s="55"/>
      <c r="E1228" s="55"/>
      <c r="F1228" s="55"/>
      <c r="G1228" s="55"/>
      <c r="H1228" s="55"/>
    </row>
    <row r="1229">
      <c r="A1229" s="55"/>
      <c r="B1229" s="55"/>
      <c r="C1229" s="55"/>
      <c r="D1229" s="55"/>
      <c r="E1229" s="55"/>
      <c r="F1229" s="55"/>
      <c r="G1229" s="55"/>
      <c r="H1229" s="55"/>
    </row>
    <row r="1230">
      <c r="A1230" s="55"/>
      <c r="B1230" s="55"/>
      <c r="C1230" s="55"/>
      <c r="D1230" s="55"/>
      <c r="E1230" s="55"/>
      <c r="F1230" s="55"/>
      <c r="G1230" s="55"/>
      <c r="H1230" s="55"/>
    </row>
    <row r="1231">
      <c r="A1231" s="55"/>
      <c r="B1231" s="55"/>
      <c r="C1231" s="55"/>
      <c r="D1231" s="55"/>
      <c r="E1231" s="55"/>
      <c r="F1231" s="55"/>
      <c r="G1231" s="55"/>
      <c r="H1231" s="55"/>
    </row>
    <row r="1232">
      <c r="A1232" s="55"/>
      <c r="B1232" s="55"/>
      <c r="C1232" s="55"/>
      <c r="D1232" s="55"/>
      <c r="E1232" s="55"/>
      <c r="F1232" s="55"/>
      <c r="G1232" s="55"/>
      <c r="H1232" s="55"/>
    </row>
    <row r="1233">
      <c r="A1233" s="55"/>
      <c r="B1233" s="55"/>
      <c r="C1233" s="55"/>
      <c r="D1233" s="55"/>
      <c r="E1233" s="55"/>
      <c r="F1233" s="55"/>
      <c r="G1233" s="55"/>
      <c r="H1233" s="55"/>
    </row>
    <row r="1234">
      <c r="A1234" s="55"/>
      <c r="B1234" s="55"/>
      <c r="C1234" s="55"/>
      <c r="D1234" s="55"/>
      <c r="E1234" s="55"/>
      <c r="F1234" s="55"/>
      <c r="G1234" s="55"/>
      <c r="H1234" s="55"/>
    </row>
    <row r="1235">
      <c r="A1235" s="55"/>
      <c r="B1235" s="55"/>
      <c r="C1235" s="55"/>
      <c r="D1235" s="55"/>
      <c r="E1235" s="55"/>
      <c r="F1235" s="55"/>
      <c r="G1235" s="55"/>
      <c r="H1235" s="55"/>
    </row>
    <row r="1236">
      <c r="A1236" s="55"/>
      <c r="B1236" s="55"/>
      <c r="C1236" s="55"/>
      <c r="D1236" s="55"/>
      <c r="E1236" s="55"/>
      <c r="F1236" s="55"/>
      <c r="G1236" s="55"/>
      <c r="H1236" s="55"/>
    </row>
    <row r="1237">
      <c r="A1237" s="55"/>
      <c r="B1237" s="55"/>
      <c r="C1237" s="55"/>
      <c r="D1237" s="55"/>
      <c r="E1237" s="55"/>
      <c r="F1237" s="55"/>
      <c r="G1237" s="55"/>
      <c r="H1237" s="55"/>
    </row>
    <row r="1238">
      <c r="A1238" s="55"/>
      <c r="B1238" s="55"/>
      <c r="C1238" s="55"/>
      <c r="D1238" s="55"/>
      <c r="E1238" s="55"/>
      <c r="F1238" s="55"/>
      <c r="G1238" s="55"/>
      <c r="H1238" s="55"/>
    </row>
    <row r="1239">
      <c r="A1239" s="55"/>
      <c r="B1239" s="55"/>
      <c r="C1239" s="55"/>
      <c r="D1239" s="55"/>
      <c r="E1239" s="55"/>
      <c r="F1239" s="55"/>
      <c r="G1239" s="55"/>
      <c r="H1239" s="55"/>
    </row>
    <row r="1240">
      <c r="A1240" s="55"/>
      <c r="B1240" s="55"/>
      <c r="C1240" s="55"/>
      <c r="D1240" s="55"/>
      <c r="E1240" s="55"/>
      <c r="F1240" s="55"/>
      <c r="G1240" s="55"/>
      <c r="H1240" s="55"/>
    </row>
    <row r="1241">
      <c r="A1241" s="55"/>
      <c r="B1241" s="55"/>
      <c r="C1241" s="55"/>
      <c r="D1241" s="55"/>
      <c r="E1241" s="55"/>
      <c r="F1241" s="55"/>
      <c r="G1241" s="55"/>
      <c r="H1241" s="55"/>
    </row>
    <row r="1242">
      <c r="A1242" s="55"/>
      <c r="B1242" s="55"/>
      <c r="C1242" s="55"/>
      <c r="D1242" s="55"/>
      <c r="E1242" s="55"/>
      <c r="F1242" s="55"/>
      <c r="G1242" s="55"/>
      <c r="H1242" s="55"/>
    </row>
    <row r="1243">
      <c r="A1243" s="55"/>
      <c r="B1243" s="55"/>
      <c r="C1243" s="55"/>
      <c r="D1243" s="55"/>
      <c r="E1243" s="55"/>
      <c r="F1243" s="55"/>
      <c r="G1243" s="55"/>
      <c r="H1243" s="55"/>
    </row>
    <row r="1244">
      <c r="A1244" s="55"/>
      <c r="B1244" s="55"/>
      <c r="C1244" s="55"/>
      <c r="D1244" s="55"/>
      <c r="E1244" s="55"/>
      <c r="F1244" s="55"/>
      <c r="G1244" s="55"/>
      <c r="H1244" s="55"/>
    </row>
    <row r="1245">
      <c r="A1245" s="55"/>
      <c r="B1245" s="55"/>
      <c r="C1245" s="55"/>
      <c r="D1245" s="55"/>
      <c r="E1245" s="55"/>
      <c r="F1245" s="55"/>
      <c r="G1245" s="55"/>
      <c r="H1245" s="55"/>
    </row>
    <row r="1246">
      <c r="A1246" s="55"/>
      <c r="B1246" s="55"/>
      <c r="C1246" s="55"/>
      <c r="D1246" s="55"/>
      <c r="E1246" s="55"/>
      <c r="F1246" s="55"/>
      <c r="G1246" s="55"/>
      <c r="H1246" s="55"/>
    </row>
    <row r="1247">
      <c r="A1247" s="55"/>
      <c r="B1247" s="55"/>
      <c r="C1247" s="55"/>
      <c r="D1247" s="55"/>
      <c r="E1247" s="55"/>
      <c r="F1247" s="55"/>
      <c r="G1247" s="55"/>
      <c r="H1247" s="55"/>
    </row>
    <row r="1248">
      <c r="A1248" s="55"/>
      <c r="B1248" s="55"/>
      <c r="C1248" s="55"/>
      <c r="D1248" s="55"/>
      <c r="E1248" s="55"/>
      <c r="F1248" s="55"/>
      <c r="G1248" s="55"/>
      <c r="H1248" s="55"/>
    </row>
    <row r="1249">
      <c r="A1249" s="55"/>
      <c r="B1249" s="55"/>
      <c r="C1249" s="55"/>
      <c r="D1249" s="55"/>
      <c r="E1249" s="55"/>
      <c r="F1249" s="55"/>
      <c r="G1249" s="55"/>
      <c r="H1249" s="55"/>
    </row>
    <row r="1250">
      <c r="A1250" s="55"/>
      <c r="B1250" s="55"/>
      <c r="C1250" s="55"/>
      <c r="D1250" s="55"/>
      <c r="E1250" s="55"/>
      <c r="F1250" s="55"/>
      <c r="G1250" s="55"/>
      <c r="H1250" s="55"/>
    </row>
    <row r="1251">
      <c r="A1251" s="55"/>
      <c r="B1251" s="55"/>
      <c r="C1251" s="55"/>
      <c r="D1251" s="55"/>
      <c r="E1251" s="55"/>
      <c r="F1251" s="55"/>
      <c r="G1251" s="55"/>
      <c r="H1251" s="55"/>
    </row>
    <row r="1252">
      <c r="A1252" s="55"/>
      <c r="B1252" s="55"/>
      <c r="C1252" s="55"/>
      <c r="D1252" s="55"/>
      <c r="E1252" s="55"/>
      <c r="F1252" s="55"/>
      <c r="G1252" s="55"/>
      <c r="H1252" s="55"/>
    </row>
    <row r="1253">
      <c r="A1253" s="55"/>
      <c r="B1253" s="55"/>
      <c r="C1253" s="55"/>
      <c r="D1253" s="55"/>
      <c r="E1253" s="55"/>
      <c r="F1253" s="55"/>
      <c r="G1253" s="55"/>
      <c r="H1253" s="55"/>
    </row>
    <row r="1254">
      <c r="A1254" s="55"/>
      <c r="B1254" s="55"/>
      <c r="C1254" s="55"/>
      <c r="D1254" s="55"/>
      <c r="E1254" s="55"/>
      <c r="F1254" s="55"/>
      <c r="G1254" s="55"/>
      <c r="H1254" s="55"/>
    </row>
    <row r="1255">
      <c r="A1255" s="55"/>
      <c r="B1255" s="55"/>
      <c r="C1255" s="55"/>
      <c r="D1255" s="55"/>
      <c r="E1255" s="55"/>
      <c r="F1255" s="55"/>
      <c r="G1255" s="55"/>
      <c r="H1255" s="55"/>
    </row>
    <row r="1256">
      <c r="A1256" s="55"/>
      <c r="B1256" s="55"/>
      <c r="C1256" s="55"/>
      <c r="D1256" s="55"/>
      <c r="E1256" s="55"/>
      <c r="F1256" s="55"/>
      <c r="G1256" s="55"/>
      <c r="H1256" s="55"/>
    </row>
    <row r="1257">
      <c r="A1257" s="55"/>
      <c r="B1257" s="55"/>
      <c r="C1257" s="55"/>
      <c r="D1257" s="55"/>
      <c r="E1257" s="55"/>
      <c r="F1257" s="55"/>
      <c r="G1257" s="55"/>
      <c r="H1257" s="55"/>
    </row>
    <row r="1258">
      <c r="A1258" s="55"/>
      <c r="B1258" s="55"/>
      <c r="C1258" s="55"/>
      <c r="D1258" s="55"/>
      <c r="E1258" s="55"/>
      <c r="F1258" s="55"/>
      <c r="G1258" s="55"/>
      <c r="H1258" s="55"/>
    </row>
    <row r="1259">
      <c r="A1259" s="55"/>
      <c r="B1259" s="55"/>
      <c r="C1259" s="55"/>
      <c r="D1259" s="55"/>
      <c r="E1259" s="55"/>
      <c r="F1259" s="55"/>
      <c r="G1259" s="55"/>
      <c r="H1259" s="55"/>
    </row>
    <row r="1260">
      <c r="A1260" s="55"/>
      <c r="B1260" s="55"/>
      <c r="C1260" s="55"/>
      <c r="D1260" s="55"/>
      <c r="E1260" s="55"/>
      <c r="F1260" s="55"/>
      <c r="G1260" s="55"/>
      <c r="H1260" s="55"/>
    </row>
    <row r="1261">
      <c r="A1261" s="55"/>
      <c r="B1261" s="55"/>
      <c r="C1261" s="55"/>
      <c r="D1261" s="55"/>
      <c r="E1261" s="55"/>
      <c r="F1261" s="55"/>
      <c r="G1261" s="55"/>
      <c r="H1261" s="55"/>
    </row>
    <row r="1262">
      <c r="A1262" s="55"/>
      <c r="B1262" s="55"/>
      <c r="C1262" s="55"/>
      <c r="D1262" s="55"/>
      <c r="E1262" s="55"/>
      <c r="F1262" s="55"/>
      <c r="G1262" s="55"/>
      <c r="H1262" s="55"/>
    </row>
    <row r="1263">
      <c r="A1263" s="55"/>
      <c r="B1263" s="55"/>
      <c r="C1263" s="55"/>
      <c r="D1263" s="55"/>
      <c r="E1263" s="55"/>
      <c r="F1263" s="55"/>
      <c r="G1263" s="55"/>
      <c r="H1263" s="55"/>
    </row>
    <row r="1264">
      <c r="A1264" s="55"/>
      <c r="B1264" s="55"/>
      <c r="C1264" s="55"/>
      <c r="D1264" s="55"/>
      <c r="E1264" s="55"/>
      <c r="F1264" s="55"/>
      <c r="G1264" s="55"/>
      <c r="H1264" s="55"/>
    </row>
    <row r="1265">
      <c r="A1265" s="55"/>
      <c r="B1265" s="55"/>
      <c r="C1265" s="55"/>
      <c r="D1265" s="55"/>
      <c r="E1265" s="55"/>
      <c r="F1265" s="55"/>
      <c r="G1265" s="55"/>
      <c r="H1265" s="55"/>
    </row>
    <row r="1266">
      <c r="A1266" s="55"/>
      <c r="B1266" s="55"/>
      <c r="C1266" s="55"/>
      <c r="D1266" s="55"/>
      <c r="E1266" s="55"/>
      <c r="F1266" s="55"/>
      <c r="G1266" s="55"/>
      <c r="H1266" s="55"/>
    </row>
    <row r="1267">
      <c r="A1267" s="55"/>
      <c r="B1267" s="55"/>
      <c r="C1267" s="55"/>
      <c r="D1267" s="55"/>
      <c r="E1267" s="55"/>
      <c r="F1267" s="55"/>
      <c r="G1267" s="55"/>
      <c r="H1267" s="55"/>
    </row>
    <row r="1268">
      <c r="A1268" s="55"/>
      <c r="B1268" s="55"/>
      <c r="C1268" s="55"/>
      <c r="D1268" s="55"/>
      <c r="E1268" s="55"/>
      <c r="F1268" s="55"/>
      <c r="G1268" s="55"/>
      <c r="H1268" s="55"/>
    </row>
    <row r="1269">
      <c r="A1269" s="55"/>
      <c r="B1269" s="55"/>
      <c r="C1269" s="55"/>
      <c r="D1269" s="55"/>
      <c r="E1269" s="55"/>
      <c r="F1269" s="55"/>
      <c r="G1269" s="55"/>
      <c r="H1269" s="55"/>
    </row>
    <row r="1270">
      <c r="A1270" s="55"/>
      <c r="B1270" s="55"/>
      <c r="C1270" s="55"/>
      <c r="D1270" s="55"/>
      <c r="E1270" s="55"/>
      <c r="F1270" s="55"/>
      <c r="G1270" s="55"/>
      <c r="H1270" s="55"/>
    </row>
    <row r="1271">
      <c r="A1271" s="55"/>
      <c r="B1271" s="55"/>
      <c r="C1271" s="55"/>
      <c r="D1271" s="55"/>
      <c r="E1271" s="55"/>
      <c r="F1271" s="55"/>
      <c r="G1271" s="55"/>
      <c r="H1271" s="55"/>
    </row>
    <row r="1272">
      <c r="A1272" s="55"/>
      <c r="B1272" s="55"/>
      <c r="C1272" s="55"/>
      <c r="D1272" s="55"/>
      <c r="E1272" s="55"/>
      <c r="F1272" s="55"/>
      <c r="G1272" s="55"/>
      <c r="H1272" s="55"/>
    </row>
    <row r="1273">
      <c r="A1273" s="55"/>
      <c r="B1273" s="55"/>
      <c r="C1273" s="55"/>
      <c r="D1273" s="55"/>
      <c r="E1273" s="55"/>
      <c r="F1273" s="55"/>
      <c r="G1273" s="55"/>
      <c r="H1273" s="55"/>
    </row>
    <row r="1274">
      <c r="A1274" s="55"/>
      <c r="B1274" s="55"/>
      <c r="C1274" s="55"/>
      <c r="D1274" s="55"/>
      <c r="E1274" s="55"/>
      <c r="F1274" s="55"/>
      <c r="G1274" s="55"/>
      <c r="H1274" s="55"/>
    </row>
    <row r="1275">
      <c r="A1275" s="55"/>
      <c r="B1275" s="55"/>
      <c r="C1275" s="55"/>
      <c r="D1275" s="55"/>
      <c r="E1275" s="55"/>
      <c r="F1275" s="55"/>
      <c r="G1275" s="55"/>
      <c r="H1275" s="55"/>
    </row>
    <row r="1276">
      <c r="A1276" s="55"/>
      <c r="B1276" s="55"/>
      <c r="C1276" s="55"/>
      <c r="D1276" s="55"/>
      <c r="E1276" s="55"/>
      <c r="F1276" s="55"/>
      <c r="G1276" s="55"/>
      <c r="H1276" s="55"/>
    </row>
    <row r="1277">
      <c r="A1277" s="55"/>
      <c r="B1277" s="55"/>
      <c r="C1277" s="55"/>
      <c r="D1277" s="55"/>
      <c r="E1277" s="55"/>
      <c r="F1277" s="55"/>
      <c r="G1277" s="55"/>
      <c r="H1277" s="55"/>
    </row>
    <row r="1278">
      <c r="A1278" s="55"/>
      <c r="B1278" s="55"/>
      <c r="C1278" s="55"/>
      <c r="D1278" s="55"/>
      <c r="E1278" s="55"/>
      <c r="F1278" s="55"/>
      <c r="G1278" s="55"/>
      <c r="H1278" s="55"/>
    </row>
    <row r="1279">
      <c r="A1279" s="55"/>
      <c r="B1279" s="55"/>
      <c r="C1279" s="55"/>
      <c r="D1279" s="55"/>
      <c r="E1279" s="55"/>
      <c r="F1279" s="55"/>
      <c r="G1279" s="55"/>
      <c r="H1279" s="55"/>
    </row>
    <row r="1280">
      <c r="A1280" s="55"/>
      <c r="B1280" s="55"/>
      <c r="C1280" s="55"/>
      <c r="D1280" s="55"/>
      <c r="E1280" s="55"/>
      <c r="F1280" s="55"/>
      <c r="G1280" s="55"/>
      <c r="H1280" s="55"/>
    </row>
    <row r="1281">
      <c r="A1281" s="55"/>
      <c r="B1281" s="55"/>
      <c r="C1281" s="55"/>
      <c r="D1281" s="55"/>
      <c r="E1281" s="55"/>
      <c r="F1281" s="55"/>
      <c r="G1281" s="55"/>
      <c r="H1281" s="55"/>
    </row>
    <row r="1282">
      <c r="A1282" s="55"/>
      <c r="B1282" s="55"/>
      <c r="C1282" s="55"/>
      <c r="D1282" s="55"/>
      <c r="E1282" s="55"/>
      <c r="F1282" s="55"/>
      <c r="G1282" s="55"/>
      <c r="H1282" s="55"/>
    </row>
    <row r="1283">
      <c r="A1283" s="55"/>
      <c r="B1283" s="55"/>
      <c r="C1283" s="55"/>
      <c r="D1283" s="55"/>
      <c r="E1283" s="55"/>
      <c r="F1283" s="55"/>
      <c r="G1283" s="55"/>
      <c r="H1283" s="55"/>
    </row>
    <row r="1284">
      <c r="A1284" s="55"/>
      <c r="B1284" s="55"/>
      <c r="C1284" s="55"/>
      <c r="D1284" s="55"/>
      <c r="E1284" s="55"/>
      <c r="F1284" s="55"/>
      <c r="G1284" s="55"/>
      <c r="H1284" s="55"/>
    </row>
    <row r="1285">
      <c r="A1285" s="55"/>
      <c r="B1285" s="55"/>
      <c r="C1285" s="55"/>
      <c r="D1285" s="55"/>
      <c r="E1285" s="55"/>
      <c r="F1285" s="55"/>
      <c r="G1285" s="55"/>
      <c r="H1285" s="55"/>
    </row>
    <row r="1286">
      <c r="A1286" s="55"/>
      <c r="B1286" s="55"/>
      <c r="C1286" s="55"/>
      <c r="D1286" s="55"/>
      <c r="E1286" s="55"/>
      <c r="F1286" s="55"/>
      <c r="G1286" s="55"/>
      <c r="H1286" s="55"/>
    </row>
    <row r="1287">
      <c r="A1287" s="55"/>
      <c r="B1287" s="55"/>
      <c r="C1287" s="55"/>
      <c r="D1287" s="55"/>
      <c r="E1287" s="55"/>
      <c r="F1287" s="55"/>
      <c r="G1287" s="55"/>
      <c r="H1287" s="55"/>
    </row>
    <row r="1288">
      <c r="A1288" s="55"/>
      <c r="B1288" s="55"/>
      <c r="C1288" s="55"/>
      <c r="D1288" s="55"/>
      <c r="E1288" s="55"/>
      <c r="F1288" s="55"/>
      <c r="G1288" s="55"/>
      <c r="H1288" s="55"/>
    </row>
    <row r="1289">
      <c r="A1289" s="55"/>
      <c r="B1289" s="55"/>
      <c r="C1289" s="55"/>
      <c r="D1289" s="55"/>
      <c r="E1289" s="55"/>
      <c r="F1289" s="55"/>
      <c r="G1289" s="55"/>
      <c r="H1289" s="55"/>
    </row>
    <row r="1290">
      <c r="A1290" s="55"/>
      <c r="B1290" s="55"/>
      <c r="C1290" s="55"/>
      <c r="D1290" s="55"/>
      <c r="E1290" s="55"/>
      <c r="F1290" s="55"/>
      <c r="G1290" s="55"/>
      <c r="H1290" s="55"/>
    </row>
    <row r="1291">
      <c r="A1291" s="55"/>
      <c r="B1291" s="55"/>
      <c r="C1291" s="55"/>
      <c r="D1291" s="55"/>
      <c r="E1291" s="55"/>
      <c r="F1291" s="55"/>
      <c r="G1291" s="55"/>
      <c r="H1291" s="55"/>
    </row>
    <row r="1292">
      <c r="A1292" s="55"/>
      <c r="B1292" s="55"/>
      <c r="C1292" s="55"/>
      <c r="D1292" s="55"/>
      <c r="E1292" s="55"/>
      <c r="F1292" s="55"/>
      <c r="G1292" s="55"/>
      <c r="H1292" s="55"/>
    </row>
    <row r="1293">
      <c r="A1293" s="55"/>
      <c r="B1293" s="55"/>
      <c r="C1293" s="55"/>
      <c r="D1293" s="55"/>
      <c r="E1293" s="55"/>
      <c r="F1293" s="55"/>
      <c r="G1293" s="55"/>
      <c r="H1293" s="55"/>
    </row>
    <row r="1294">
      <c r="A1294" s="55"/>
      <c r="B1294" s="55"/>
      <c r="C1294" s="55"/>
      <c r="D1294" s="55"/>
      <c r="E1294" s="55"/>
      <c r="F1294" s="55"/>
      <c r="G1294" s="55"/>
      <c r="H1294" s="55"/>
    </row>
    <row r="1295">
      <c r="A1295" s="55"/>
      <c r="B1295" s="55"/>
      <c r="C1295" s="55"/>
      <c r="D1295" s="55"/>
      <c r="E1295" s="55"/>
      <c r="F1295" s="55"/>
      <c r="G1295" s="55"/>
      <c r="H1295" s="55"/>
    </row>
    <row r="1296">
      <c r="A1296" s="55"/>
      <c r="B1296" s="55"/>
      <c r="C1296" s="55"/>
      <c r="D1296" s="55"/>
      <c r="E1296" s="55"/>
      <c r="F1296" s="55"/>
      <c r="G1296" s="55"/>
      <c r="H1296" s="55"/>
    </row>
    <row r="1297">
      <c r="A1297" s="55"/>
      <c r="B1297" s="55"/>
      <c r="C1297" s="55"/>
      <c r="D1297" s="55"/>
      <c r="E1297" s="55"/>
      <c r="F1297" s="55"/>
      <c r="G1297" s="55"/>
      <c r="H1297" s="55"/>
    </row>
    <row r="1298">
      <c r="A1298" s="55"/>
      <c r="B1298" s="55"/>
      <c r="C1298" s="55"/>
      <c r="D1298" s="55"/>
      <c r="E1298" s="55"/>
      <c r="F1298" s="55"/>
      <c r="G1298" s="55"/>
      <c r="H1298" s="55"/>
    </row>
    <row r="1299">
      <c r="A1299" s="55"/>
      <c r="B1299" s="55"/>
      <c r="C1299" s="55"/>
      <c r="D1299" s="55"/>
      <c r="E1299" s="55"/>
      <c r="F1299" s="55"/>
      <c r="G1299" s="55"/>
      <c r="H1299" s="55"/>
    </row>
    <row r="1300">
      <c r="A1300" s="55"/>
      <c r="B1300" s="55"/>
      <c r="C1300" s="55"/>
      <c r="D1300" s="55"/>
      <c r="E1300" s="55"/>
      <c r="F1300" s="55"/>
      <c r="G1300" s="55"/>
      <c r="H1300" s="55"/>
    </row>
    <row r="1301">
      <c r="A1301" s="55"/>
      <c r="B1301" s="55"/>
      <c r="C1301" s="55"/>
      <c r="D1301" s="55"/>
      <c r="E1301" s="55"/>
      <c r="F1301" s="55"/>
      <c r="G1301" s="55"/>
      <c r="H1301" s="55"/>
    </row>
    <row r="1302">
      <c r="A1302" s="55"/>
      <c r="B1302" s="55"/>
      <c r="C1302" s="55"/>
      <c r="D1302" s="55"/>
      <c r="E1302" s="55"/>
      <c r="F1302" s="55"/>
      <c r="G1302" s="55"/>
      <c r="H1302" s="55"/>
    </row>
    <row r="1303">
      <c r="A1303" s="55"/>
      <c r="B1303" s="55"/>
      <c r="C1303" s="55"/>
      <c r="D1303" s="55"/>
      <c r="E1303" s="55"/>
      <c r="F1303" s="55"/>
      <c r="G1303" s="55"/>
      <c r="H1303" s="55"/>
    </row>
    <row r="1304">
      <c r="A1304" s="55"/>
      <c r="B1304" s="55"/>
      <c r="C1304" s="55"/>
      <c r="D1304" s="55"/>
      <c r="E1304" s="55"/>
      <c r="F1304" s="55"/>
      <c r="G1304" s="55"/>
      <c r="H1304" s="55"/>
    </row>
    <row r="1305">
      <c r="A1305" s="55"/>
      <c r="B1305" s="55"/>
      <c r="C1305" s="55"/>
      <c r="D1305" s="55"/>
      <c r="E1305" s="55"/>
      <c r="F1305" s="55"/>
      <c r="G1305" s="55"/>
      <c r="H1305" s="55"/>
    </row>
    <row r="1306">
      <c r="A1306" s="55"/>
      <c r="B1306" s="55"/>
      <c r="C1306" s="55"/>
      <c r="D1306" s="55"/>
      <c r="E1306" s="55"/>
      <c r="F1306" s="55"/>
      <c r="G1306" s="55"/>
      <c r="H1306" s="55"/>
    </row>
    <row r="1307">
      <c r="A1307" s="55"/>
      <c r="B1307" s="55"/>
      <c r="C1307" s="55"/>
      <c r="D1307" s="55"/>
      <c r="E1307" s="55"/>
      <c r="F1307" s="55"/>
      <c r="G1307" s="55"/>
      <c r="H1307" s="55"/>
    </row>
    <row r="1308">
      <c r="A1308" s="55"/>
      <c r="B1308" s="55"/>
      <c r="C1308" s="55"/>
      <c r="D1308" s="55"/>
      <c r="E1308" s="55"/>
      <c r="F1308" s="55"/>
      <c r="G1308" s="55"/>
      <c r="H1308" s="55"/>
    </row>
    <row r="1309">
      <c r="A1309" s="55"/>
      <c r="B1309" s="55"/>
      <c r="C1309" s="55"/>
      <c r="D1309" s="55"/>
      <c r="E1309" s="55"/>
      <c r="F1309" s="55"/>
      <c r="G1309" s="55"/>
      <c r="H1309" s="55"/>
    </row>
    <row r="1310">
      <c r="A1310" s="55"/>
      <c r="B1310" s="55"/>
      <c r="C1310" s="55"/>
      <c r="D1310" s="55"/>
      <c r="E1310" s="55"/>
      <c r="F1310" s="55"/>
      <c r="G1310" s="55"/>
      <c r="H1310" s="55"/>
    </row>
    <row r="1311">
      <c r="A1311" s="55"/>
      <c r="B1311" s="55"/>
      <c r="C1311" s="55"/>
      <c r="D1311" s="55"/>
      <c r="E1311" s="55"/>
      <c r="F1311" s="55"/>
      <c r="G1311" s="55"/>
      <c r="H1311" s="55"/>
    </row>
    <row r="1312">
      <c r="A1312" s="55"/>
      <c r="B1312" s="55"/>
      <c r="C1312" s="55"/>
      <c r="D1312" s="55"/>
      <c r="E1312" s="55"/>
      <c r="F1312" s="55"/>
      <c r="G1312" s="55"/>
      <c r="H1312" s="55"/>
    </row>
    <row r="1313">
      <c r="A1313" s="55"/>
      <c r="B1313" s="55"/>
      <c r="C1313" s="55"/>
      <c r="D1313" s="55"/>
      <c r="E1313" s="55"/>
      <c r="F1313" s="55"/>
      <c r="G1313" s="55"/>
      <c r="H1313" s="55"/>
    </row>
    <row r="1314">
      <c r="A1314" s="55"/>
      <c r="B1314" s="55"/>
      <c r="C1314" s="55"/>
      <c r="D1314" s="55"/>
      <c r="E1314" s="55"/>
      <c r="F1314" s="55"/>
      <c r="G1314" s="55"/>
      <c r="H1314" s="55"/>
    </row>
    <row r="1315">
      <c r="A1315" s="55"/>
      <c r="B1315" s="55"/>
      <c r="C1315" s="55"/>
      <c r="D1315" s="55"/>
      <c r="E1315" s="55"/>
      <c r="F1315" s="55"/>
      <c r="G1315" s="55"/>
      <c r="H1315" s="55"/>
    </row>
    <row r="1316">
      <c r="A1316" s="55"/>
      <c r="B1316" s="55"/>
      <c r="C1316" s="55"/>
      <c r="D1316" s="55"/>
      <c r="E1316" s="55"/>
      <c r="F1316" s="55"/>
      <c r="G1316" s="55"/>
      <c r="H1316" s="55"/>
    </row>
    <row r="1317">
      <c r="A1317" s="55"/>
      <c r="B1317" s="55"/>
      <c r="C1317" s="55"/>
      <c r="D1317" s="55"/>
      <c r="E1317" s="55"/>
      <c r="F1317" s="55"/>
      <c r="G1317" s="55"/>
      <c r="H1317" s="55"/>
    </row>
    <row r="1318">
      <c r="A1318" s="55"/>
      <c r="B1318" s="55"/>
      <c r="C1318" s="55"/>
      <c r="D1318" s="55"/>
      <c r="E1318" s="55"/>
      <c r="F1318" s="55"/>
      <c r="G1318" s="55"/>
      <c r="H1318" s="55"/>
    </row>
    <row r="1319">
      <c r="A1319" s="55"/>
      <c r="B1319" s="55"/>
      <c r="C1319" s="55"/>
      <c r="D1319" s="55"/>
      <c r="E1319" s="55"/>
      <c r="F1319" s="55"/>
      <c r="G1319" s="55"/>
      <c r="H1319" s="55"/>
    </row>
    <row r="1320">
      <c r="A1320" s="55"/>
      <c r="B1320" s="55"/>
      <c r="C1320" s="55"/>
      <c r="D1320" s="55"/>
      <c r="E1320" s="55"/>
      <c r="F1320" s="55"/>
      <c r="G1320" s="55"/>
      <c r="H1320" s="55"/>
    </row>
    <row r="1321">
      <c r="A1321" s="55"/>
      <c r="B1321" s="55"/>
      <c r="C1321" s="55"/>
      <c r="D1321" s="55"/>
      <c r="E1321" s="55"/>
      <c r="F1321" s="55"/>
      <c r="G1321" s="55"/>
      <c r="H1321" s="55"/>
    </row>
    <row r="1322">
      <c r="A1322" s="55"/>
      <c r="B1322" s="55"/>
      <c r="C1322" s="55"/>
      <c r="D1322" s="55"/>
      <c r="E1322" s="55"/>
      <c r="F1322" s="55"/>
      <c r="G1322" s="55"/>
      <c r="H1322" s="55"/>
    </row>
    <row r="1323">
      <c r="A1323" s="55"/>
      <c r="B1323" s="55"/>
      <c r="C1323" s="55"/>
      <c r="D1323" s="55"/>
      <c r="E1323" s="55"/>
      <c r="F1323" s="55"/>
      <c r="G1323" s="55"/>
      <c r="H1323" s="55"/>
    </row>
    <row r="1324">
      <c r="A1324" s="55"/>
      <c r="B1324" s="55"/>
      <c r="C1324" s="55"/>
      <c r="D1324" s="55"/>
      <c r="E1324" s="55"/>
      <c r="F1324" s="55"/>
      <c r="G1324" s="55"/>
      <c r="H1324" s="55"/>
    </row>
    <row r="1325">
      <c r="A1325" s="55"/>
      <c r="B1325" s="55"/>
      <c r="C1325" s="55"/>
      <c r="D1325" s="55"/>
      <c r="E1325" s="55"/>
      <c r="F1325" s="55"/>
      <c r="G1325" s="55"/>
      <c r="H1325" s="55"/>
    </row>
    <row r="1326">
      <c r="A1326" s="55"/>
      <c r="B1326" s="55"/>
      <c r="C1326" s="55"/>
      <c r="D1326" s="55"/>
      <c r="E1326" s="55"/>
      <c r="F1326" s="55"/>
      <c r="G1326" s="55"/>
      <c r="H1326" s="55"/>
    </row>
    <row r="1327">
      <c r="A1327" s="55"/>
      <c r="B1327" s="55"/>
      <c r="C1327" s="55"/>
      <c r="D1327" s="55"/>
      <c r="E1327" s="55"/>
      <c r="F1327" s="55"/>
      <c r="G1327" s="55"/>
      <c r="H1327" s="55"/>
    </row>
    <row r="1328">
      <c r="A1328" s="55"/>
      <c r="B1328" s="55"/>
      <c r="C1328" s="55"/>
      <c r="D1328" s="55"/>
      <c r="E1328" s="55"/>
      <c r="F1328" s="55"/>
      <c r="G1328" s="55"/>
      <c r="H1328" s="55"/>
    </row>
    <row r="1329">
      <c r="A1329" s="55"/>
      <c r="B1329" s="55"/>
      <c r="C1329" s="55"/>
      <c r="D1329" s="55"/>
      <c r="E1329" s="55"/>
      <c r="F1329" s="55"/>
      <c r="G1329" s="55"/>
      <c r="H1329" s="55"/>
    </row>
    <row r="1330">
      <c r="A1330" s="55"/>
      <c r="B1330" s="55"/>
      <c r="C1330" s="55"/>
      <c r="D1330" s="55"/>
      <c r="E1330" s="55"/>
      <c r="F1330" s="55"/>
      <c r="G1330" s="55"/>
      <c r="H1330" s="55"/>
    </row>
    <row r="1331">
      <c r="A1331" s="55"/>
      <c r="B1331" s="55"/>
      <c r="C1331" s="55"/>
      <c r="D1331" s="55"/>
      <c r="E1331" s="55"/>
      <c r="F1331" s="55"/>
      <c r="G1331" s="55"/>
      <c r="H1331" s="55"/>
    </row>
    <row r="1332">
      <c r="A1332" s="55"/>
      <c r="B1332" s="55"/>
      <c r="C1332" s="55"/>
      <c r="D1332" s="55"/>
      <c r="E1332" s="55"/>
      <c r="F1332" s="55"/>
      <c r="G1332" s="55"/>
      <c r="H1332" s="55"/>
    </row>
    <row r="1333">
      <c r="A1333" s="55"/>
      <c r="B1333" s="55"/>
      <c r="C1333" s="55"/>
      <c r="D1333" s="55"/>
      <c r="E1333" s="55"/>
      <c r="F1333" s="55"/>
      <c r="G1333" s="55"/>
      <c r="H1333" s="55"/>
    </row>
    <row r="1334">
      <c r="A1334" s="55"/>
      <c r="B1334" s="55"/>
      <c r="C1334" s="55"/>
      <c r="D1334" s="55"/>
      <c r="E1334" s="55"/>
      <c r="F1334" s="55"/>
      <c r="G1334" s="55"/>
      <c r="H1334" s="55"/>
    </row>
    <row r="1335">
      <c r="A1335" s="55"/>
      <c r="B1335" s="55"/>
      <c r="C1335" s="55"/>
      <c r="D1335" s="55"/>
      <c r="E1335" s="55"/>
      <c r="F1335" s="55"/>
      <c r="G1335" s="55"/>
      <c r="H1335" s="55"/>
    </row>
    <row r="1336">
      <c r="A1336" s="55"/>
      <c r="B1336" s="55"/>
      <c r="C1336" s="55"/>
      <c r="D1336" s="55"/>
      <c r="E1336" s="55"/>
      <c r="F1336" s="55"/>
      <c r="G1336" s="55"/>
      <c r="H1336" s="55"/>
    </row>
    <row r="1337">
      <c r="A1337" s="55"/>
      <c r="B1337" s="55"/>
      <c r="C1337" s="55"/>
      <c r="D1337" s="55"/>
      <c r="E1337" s="55"/>
      <c r="F1337" s="55"/>
      <c r="G1337" s="55"/>
      <c r="H1337" s="55"/>
    </row>
    <row r="1338">
      <c r="A1338" s="55"/>
      <c r="B1338" s="55"/>
      <c r="C1338" s="55"/>
      <c r="D1338" s="55"/>
      <c r="E1338" s="55"/>
      <c r="F1338" s="55"/>
      <c r="G1338" s="55"/>
      <c r="H1338" s="55"/>
    </row>
    <row r="1339">
      <c r="A1339" s="55"/>
      <c r="B1339" s="55"/>
      <c r="C1339" s="55"/>
      <c r="D1339" s="55"/>
      <c r="E1339" s="55"/>
      <c r="F1339" s="55"/>
      <c r="G1339" s="55"/>
      <c r="H1339" s="55"/>
    </row>
    <row r="1340">
      <c r="A1340" s="55"/>
      <c r="B1340" s="55"/>
      <c r="C1340" s="55"/>
      <c r="D1340" s="55"/>
      <c r="E1340" s="55"/>
      <c r="F1340" s="55"/>
      <c r="G1340" s="55"/>
      <c r="H1340" s="55"/>
    </row>
    <row r="1341">
      <c r="A1341" s="55"/>
      <c r="B1341" s="55"/>
      <c r="C1341" s="55"/>
      <c r="D1341" s="55"/>
      <c r="E1341" s="55"/>
      <c r="F1341" s="55"/>
      <c r="G1341" s="55"/>
      <c r="H1341" s="55"/>
    </row>
    <row r="1342">
      <c r="A1342" s="55"/>
      <c r="B1342" s="55"/>
      <c r="C1342" s="55"/>
      <c r="D1342" s="55"/>
      <c r="E1342" s="55"/>
      <c r="F1342" s="55"/>
      <c r="G1342" s="55"/>
      <c r="H1342" s="55"/>
    </row>
    <row r="1343">
      <c r="A1343" s="55"/>
      <c r="B1343" s="55"/>
      <c r="C1343" s="55"/>
      <c r="D1343" s="55"/>
      <c r="E1343" s="55"/>
      <c r="F1343" s="55"/>
      <c r="G1343" s="55"/>
      <c r="H1343" s="55"/>
    </row>
    <row r="1344">
      <c r="A1344" s="55"/>
      <c r="B1344" s="55"/>
      <c r="C1344" s="55"/>
      <c r="D1344" s="55"/>
      <c r="E1344" s="55"/>
      <c r="F1344" s="55"/>
      <c r="G1344" s="55"/>
      <c r="H1344" s="55"/>
    </row>
    <row r="1345">
      <c r="A1345" s="55"/>
      <c r="B1345" s="55"/>
      <c r="C1345" s="55"/>
      <c r="D1345" s="55"/>
      <c r="E1345" s="55"/>
      <c r="F1345" s="55"/>
      <c r="G1345" s="55"/>
      <c r="H1345" s="55"/>
    </row>
    <row r="1346">
      <c r="A1346" s="55"/>
      <c r="B1346" s="55"/>
      <c r="C1346" s="55"/>
      <c r="D1346" s="55"/>
      <c r="E1346" s="55"/>
      <c r="F1346" s="55"/>
      <c r="G1346" s="55"/>
      <c r="H1346" s="55"/>
    </row>
    <row r="1347">
      <c r="A1347" s="55"/>
      <c r="B1347" s="55"/>
      <c r="C1347" s="55"/>
      <c r="D1347" s="55"/>
      <c r="E1347" s="55"/>
      <c r="F1347" s="55"/>
      <c r="G1347" s="55"/>
      <c r="H1347" s="55"/>
    </row>
    <row r="1348">
      <c r="A1348" s="55"/>
      <c r="B1348" s="55"/>
      <c r="C1348" s="55"/>
      <c r="D1348" s="55"/>
      <c r="E1348" s="55"/>
      <c r="F1348" s="55"/>
      <c r="G1348" s="55"/>
      <c r="H1348" s="55"/>
    </row>
    <row r="1349">
      <c r="A1349" s="55"/>
      <c r="B1349" s="55"/>
      <c r="C1349" s="55"/>
      <c r="D1349" s="55"/>
      <c r="E1349" s="55"/>
      <c r="F1349" s="55"/>
      <c r="G1349" s="55"/>
      <c r="H1349" s="55"/>
    </row>
    <row r="1350">
      <c r="A1350" s="55"/>
      <c r="B1350" s="55"/>
      <c r="C1350" s="55"/>
      <c r="D1350" s="55"/>
      <c r="E1350" s="55"/>
      <c r="F1350" s="55"/>
      <c r="G1350" s="55"/>
      <c r="H1350" s="55"/>
    </row>
    <row r="1351">
      <c r="A1351" s="55"/>
      <c r="B1351" s="55"/>
      <c r="C1351" s="55"/>
      <c r="D1351" s="55"/>
      <c r="E1351" s="55"/>
      <c r="F1351" s="55"/>
      <c r="G1351" s="55"/>
      <c r="H1351" s="55"/>
    </row>
    <row r="1352">
      <c r="A1352" s="55"/>
      <c r="B1352" s="55"/>
      <c r="C1352" s="55"/>
      <c r="D1352" s="55"/>
      <c r="E1352" s="55"/>
      <c r="F1352" s="55"/>
      <c r="G1352" s="55"/>
      <c r="H1352" s="55"/>
    </row>
    <row r="1353">
      <c r="A1353" s="55"/>
      <c r="B1353" s="55"/>
      <c r="C1353" s="55"/>
      <c r="D1353" s="55"/>
      <c r="E1353" s="55"/>
      <c r="F1353" s="55"/>
      <c r="G1353" s="55"/>
      <c r="H1353" s="55"/>
    </row>
    <row r="1354">
      <c r="A1354" s="55"/>
      <c r="B1354" s="55"/>
      <c r="C1354" s="55"/>
      <c r="D1354" s="55"/>
      <c r="E1354" s="55"/>
      <c r="F1354" s="55"/>
      <c r="G1354" s="55"/>
      <c r="H1354" s="55"/>
    </row>
    <row r="1355">
      <c r="A1355" s="55"/>
      <c r="B1355" s="55"/>
      <c r="C1355" s="55"/>
      <c r="D1355" s="55"/>
      <c r="E1355" s="55"/>
      <c r="F1355" s="55"/>
      <c r="G1355" s="55"/>
      <c r="H1355" s="55"/>
    </row>
    <row r="1356">
      <c r="A1356" s="55"/>
      <c r="B1356" s="55"/>
      <c r="C1356" s="55"/>
      <c r="D1356" s="55"/>
      <c r="E1356" s="55"/>
      <c r="F1356" s="55"/>
      <c r="G1356" s="55"/>
      <c r="H1356" s="55"/>
    </row>
    <row r="1357">
      <c r="A1357" s="55"/>
      <c r="B1357" s="55"/>
      <c r="C1357" s="55"/>
      <c r="D1357" s="55"/>
      <c r="E1357" s="55"/>
      <c r="F1357" s="55"/>
      <c r="G1357" s="55"/>
      <c r="H1357" s="55"/>
    </row>
    <row r="1358">
      <c r="A1358" s="55"/>
      <c r="B1358" s="55"/>
      <c r="C1358" s="55"/>
      <c r="D1358" s="55"/>
      <c r="E1358" s="55"/>
      <c r="F1358" s="55"/>
      <c r="G1358" s="55"/>
      <c r="H1358" s="55"/>
    </row>
    <row r="1359">
      <c r="A1359" s="55"/>
      <c r="B1359" s="55"/>
      <c r="C1359" s="55"/>
      <c r="D1359" s="55"/>
      <c r="E1359" s="55"/>
      <c r="F1359" s="55"/>
      <c r="G1359" s="55"/>
      <c r="H1359" s="55"/>
    </row>
    <row r="1360">
      <c r="A1360" s="55"/>
      <c r="B1360" s="55"/>
      <c r="C1360" s="55"/>
      <c r="D1360" s="55"/>
      <c r="E1360" s="55"/>
      <c r="F1360" s="55"/>
      <c r="G1360" s="55"/>
      <c r="H1360" s="55"/>
    </row>
    <row r="1361">
      <c r="A1361" s="55"/>
      <c r="B1361" s="55"/>
      <c r="C1361" s="55"/>
      <c r="D1361" s="55"/>
      <c r="E1361" s="55"/>
      <c r="F1361" s="55"/>
      <c r="G1361" s="55"/>
      <c r="H1361" s="55"/>
    </row>
    <row r="1362">
      <c r="A1362" s="55"/>
      <c r="B1362" s="55"/>
      <c r="C1362" s="55"/>
      <c r="D1362" s="55"/>
      <c r="E1362" s="55"/>
      <c r="F1362" s="55"/>
      <c r="G1362" s="55"/>
      <c r="H1362" s="55"/>
    </row>
    <row r="1363">
      <c r="A1363" s="55"/>
      <c r="B1363" s="55"/>
      <c r="C1363" s="55"/>
      <c r="D1363" s="55"/>
      <c r="E1363" s="55"/>
      <c r="F1363" s="55"/>
      <c r="G1363" s="55"/>
      <c r="H1363" s="55"/>
    </row>
    <row r="1364">
      <c r="A1364" s="55"/>
      <c r="B1364" s="55"/>
      <c r="C1364" s="55"/>
      <c r="D1364" s="55"/>
      <c r="E1364" s="55"/>
      <c r="F1364" s="55"/>
      <c r="G1364" s="55"/>
      <c r="H1364" s="55"/>
    </row>
    <row r="1365">
      <c r="A1365" s="55"/>
      <c r="B1365" s="55"/>
      <c r="C1365" s="55"/>
      <c r="D1365" s="55"/>
      <c r="E1365" s="55"/>
      <c r="F1365" s="55"/>
      <c r="G1365" s="55"/>
      <c r="H1365" s="55"/>
    </row>
    <row r="1366">
      <c r="A1366" s="55"/>
      <c r="B1366" s="55"/>
      <c r="C1366" s="55"/>
      <c r="D1366" s="55"/>
      <c r="E1366" s="55"/>
      <c r="F1366" s="55"/>
      <c r="G1366" s="55"/>
      <c r="H1366" s="55"/>
    </row>
    <row r="1367">
      <c r="A1367" s="55"/>
      <c r="B1367" s="55"/>
      <c r="C1367" s="55"/>
      <c r="D1367" s="55"/>
      <c r="E1367" s="55"/>
      <c r="F1367" s="55"/>
      <c r="G1367" s="55"/>
      <c r="H1367" s="55"/>
    </row>
    <row r="1368">
      <c r="A1368" s="55"/>
      <c r="B1368" s="55"/>
      <c r="C1368" s="55"/>
      <c r="D1368" s="55"/>
      <c r="E1368" s="55"/>
      <c r="F1368" s="55"/>
      <c r="G1368" s="55"/>
      <c r="H1368" s="55"/>
    </row>
    <row r="1369">
      <c r="A1369" s="55"/>
      <c r="B1369" s="55"/>
      <c r="C1369" s="55"/>
      <c r="D1369" s="55"/>
      <c r="E1369" s="55"/>
      <c r="F1369" s="55"/>
      <c r="G1369" s="55"/>
      <c r="H1369" s="55"/>
    </row>
    <row r="1370">
      <c r="A1370" s="55"/>
      <c r="B1370" s="55"/>
      <c r="C1370" s="55"/>
      <c r="D1370" s="55"/>
      <c r="E1370" s="55"/>
      <c r="F1370" s="55"/>
      <c r="G1370" s="55"/>
      <c r="H1370" s="55"/>
    </row>
    <row r="1371">
      <c r="A1371" s="55"/>
      <c r="B1371" s="55"/>
      <c r="C1371" s="55"/>
      <c r="D1371" s="55"/>
      <c r="E1371" s="55"/>
      <c r="F1371" s="55"/>
      <c r="G1371" s="55"/>
      <c r="H1371" s="55"/>
    </row>
    <row r="1372">
      <c r="A1372" s="55"/>
      <c r="B1372" s="55"/>
      <c r="C1372" s="55"/>
      <c r="D1372" s="55"/>
      <c r="E1372" s="55"/>
      <c r="F1372" s="55"/>
      <c r="G1372" s="55"/>
      <c r="H1372" s="55"/>
    </row>
    <row r="1373">
      <c r="A1373" s="55"/>
      <c r="B1373" s="55"/>
      <c r="C1373" s="55"/>
      <c r="D1373" s="55"/>
      <c r="E1373" s="55"/>
      <c r="F1373" s="55"/>
      <c r="G1373" s="55"/>
      <c r="H1373" s="55"/>
    </row>
    <row r="1374">
      <c r="A1374" s="55"/>
      <c r="B1374" s="55"/>
      <c r="C1374" s="55"/>
      <c r="D1374" s="55"/>
      <c r="E1374" s="55"/>
      <c r="F1374" s="55"/>
      <c r="G1374" s="55"/>
      <c r="H1374" s="55"/>
    </row>
    <row r="1375">
      <c r="A1375" s="55"/>
      <c r="B1375" s="55"/>
      <c r="C1375" s="55"/>
      <c r="D1375" s="55"/>
      <c r="E1375" s="55"/>
      <c r="F1375" s="55"/>
      <c r="G1375" s="55"/>
      <c r="H1375" s="55"/>
    </row>
    <row r="1376">
      <c r="A1376" s="55"/>
      <c r="B1376" s="55"/>
      <c r="C1376" s="55"/>
      <c r="D1376" s="55"/>
      <c r="E1376" s="55"/>
      <c r="F1376" s="55"/>
      <c r="G1376" s="55"/>
      <c r="H1376" s="55"/>
    </row>
    <row r="1377">
      <c r="A1377" s="55"/>
      <c r="B1377" s="55"/>
      <c r="C1377" s="55"/>
      <c r="D1377" s="55"/>
      <c r="E1377" s="55"/>
      <c r="F1377" s="55"/>
      <c r="G1377" s="55"/>
      <c r="H1377" s="55"/>
    </row>
    <row r="1378">
      <c r="A1378" s="55"/>
      <c r="B1378" s="55"/>
      <c r="C1378" s="55"/>
      <c r="D1378" s="55"/>
      <c r="E1378" s="55"/>
      <c r="F1378" s="55"/>
      <c r="G1378" s="55"/>
      <c r="H1378" s="55"/>
    </row>
    <row r="1379">
      <c r="A1379" s="55"/>
      <c r="B1379" s="55"/>
      <c r="C1379" s="55"/>
      <c r="D1379" s="55"/>
      <c r="E1379" s="55"/>
      <c r="F1379" s="55"/>
      <c r="G1379" s="55"/>
      <c r="H1379" s="55"/>
    </row>
    <row r="1380">
      <c r="A1380" s="55"/>
      <c r="B1380" s="55"/>
      <c r="C1380" s="55"/>
      <c r="D1380" s="55"/>
      <c r="E1380" s="55"/>
      <c r="F1380" s="55"/>
      <c r="G1380" s="55"/>
      <c r="H1380" s="55"/>
    </row>
    <row r="1381">
      <c r="A1381" s="55"/>
      <c r="B1381" s="55"/>
      <c r="C1381" s="55"/>
      <c r="D1381" s="55"/>
      <c r="E1381" s="55"/>
      <c r="F1381" s="55"/>
      <c r="G1381" s="55"/>
      <c r="H1381" s="55"/>
    </row>
    <row r="1382">
      <c r="A1382" s="55"/>
      <c r="B1382" s="55"/>
      <c r="C1382" s="55"/>
      <c r="D1382" s="55"/>
      <c r="E1382" s="55"/>
      <c r="F1382" s="55"/>
      <c r="G1382" s="55"/>
      <c r="H1382" s="55"/>
    </row>
    <row r="1383">
      <c r="A1383" s="55"/>
      <c r="B1383" s="55"/>
      <c r="C1383" s="55"/>
      <c r="D1383" s="55"/>
      <c r="E1383" s="55"/>
      <c r="F1383" s="55"/>
      <c r="G1383" s="55"/>
      <c r="H1383" s="55"/>
    </row>
    <row r="1384">
      <c r="A1384" s="55"/>
      <c r="B1384" s="55"/>
      <c r="C1384" s="55"/>
      <c r="D1384" s="55"/>
      <c r="E1384" s="55"/>
      <c r="F1384" s="55"/>
      <c r="G1384" s="55"/>
      <c r="H1384" s="55"/>
    </row>
    <row r="1385">
      <c r="A1385" s="55"/>
      <c r="B1385" s="55"/>
      <c r="C1385" s="55"/>
      <c r="D1385" s="55"/>
      <c r="E1385" s="55"/>
      <c r="F1385" s="55"/>
      <c r="G1385" s="55"/>
      <c r="H1385" s="55"/>
    </row>
    <row r="1386">
      <c r="A1386" s="55"/>
      <c r="B1386" s="55"/>
      <c r="C1386" s="55"/>
      <c r="D1386" s="55"/>
      <c r="E1386" s="55"/>
      <c r="F1386" s="55"/>
      <c r="G1386" s="55"/>
      <c r="H1386" s="55"/>
    </row>
    <row r="1387">
      <c r="A1387" s="55"/>
      <c r="B1387" s="55"/>
      <c r="C1387" s="55"/>
      <c r="D1387" s="55"/>
      <c r="E1387" s="55"/>
      <c r="F1387" s="55"/>
      <c r="G1387" s="55"/>
      <c r="H1387" s="55"/>
    </row>
    <row r="1388">
      <c r="A1388" s="55"/>
      <c r="B1388" s="55"/>
      <c r="C1388" s="55"/>
      <c r="D1388" s="55"/>
      <c r="E1388" s="55"/>
      <c r="F1388" s="55"/>
      <c r="G1388" s="55"/>
      <c r="H1388" s="55"/>
    </row>
    <row r="1389">
      <c r="A1389" s="55"/>
      <c r="B1389" s="55"/>
      <c r="C1389" s="55"/>
      <c r="D1389" s="55"/>
      <c r="E1389" s="55"/>
      <c r="F1389" s="55"/>
      <c r="G1389" s="55"/>
      <c r="H1389" s="55"/>
    </row>
    <row r="1390">
      <c r="A1390" s="55"/>
      <c r="B1390" s="55"/>
      <c r="C1390" s="55"/>
      <c r="D1390" s="55"/>
      <c r="E1390" s="55"/>
      <c r="F1390" s="55"/>
      <c r="G1390" s="55"/>
      <c r="H1390" s="55"/>
    </row>
    <row r="1391">
      <c r="A1391" s="55"/>
      <c r="B1391" s="55"/>
      <c r="C1391" s="55"/>
      <c r="D1391" s="55"/>
      <c r="E1391" s="55"/>
      <c r="F1391" s="55"/>
      <c r="G1391" s="55"/>
      <c r="H1391" s="55"/>
    </row>
    <row r="1392">
      <c r="A1392" s="55"/>
      <c r="B1392" s="55"/>
      <c r="C1392" s="55"/>
      <c r="D1392" s="55"/>
      <c r="E1392" s="55"/>
      <c r="F1392" s="55"/>
      <c r="G1392" s="55"/>
      <c r="H1392" s="55"/>
    </row>
    <row r="1393">
      <c r="A1393" s="55"/>
      <c r="B1393" s="55"/>
      <c r="C1393" s="55"/>
      <c r="D1393" s="55"/>
      <c r="E1393" s="55"/>
      <c r="F1393" s="55"/>
      <c r="G1393" s="55"/>
      <c r="H1393" s="55"/>
    </row>
    <row r="1394">
      <c r="A1394" s="55"/>
      <c r="B1394" s="55"/>
      <c r="C1394" s="55"/>
      <c r="D1394" s="55"/>
      <c r="E1394" s="55"/>
      <c r="F1394" s="55"/>
      <c r="G1394" s="55"/>
      <c r="H1394" s="55"/>
    </row>
    <row r="1395">
      <c r="A1395" s="55"/>
      <c r="B1395" s="55"/>
      <c r="C1395" s="55"/>
      <c r="D1395" s="55"/>
      <c r="E1395" s="55"/>
      <c r="F1395" s="55"/>
      <c r="G1395" s="55"/>
      <c r="H1395" s="55"/>
    </row>
    <row r="1396">
      <c r="A1396" s="55"/>
      <c r="B1396" s="55"/>
      <c r="C1396" s="55"/>
      <c r="D1396" s="55"/>
      <c r="E1396" s="55"/>
      <c r="F1396" s="55"/>
      <c r="G1396" s="55"/>
      <c r="H1396" s="55"/>
    </row>
    <row r="1397">
      <c r="A1397" s="55"/>
      <c r="B1397" s="55"/>
      <c r="C1397" s="55"/>
      <c r="D1397" s="55"/>
      <c r="E1397" s="55"/>
      <c r="F1397" s="55"/>
      <c r="G1397" s="55"/>
      <c r="H1397" s="55"/>
    </row>
    <row r="1398">
      <c r="A1398" s="55"/>
      <c r="B1398" s="55"/>
      <c r="C1398" s="55"/>
      <c r="D1398" s="55"/>
      <c r="E1398" s="55"/>
      <c r="F1398" s="55"/>
      <c r="G1398" s="55"/>
      <c r="H1398" s="55"/>
    </row>
    <row r="1399">
      <c r="A1399" s="55"/>
      <c r="B1399" s="55"/>
      <c r="C1399" s="55"/>
      <c r="D1399" s="55"/>
      <c r="E1399" s="55"/>
      <c r="F1399" s="55"/>
      <c r="G1399" s="55"/>
      <c r="H1399" s="55"/>
    </row>
    <row r="1400">
      <c r="A1400" s="55"/>
      <c r="B1400" s="55"/>
      <c r="C1400" s="55"/>
      <c r="D1400" s="55"/>
      <c r="E1400" s="55"/>
      <c r="F1400" s="55"/>
      <c r="G1400" s="55"/>
      <c r="H1400" s="55"/>
    </row>
    <row r="1401">
      <c r="A1401" s="55"/>
      <c r="B1401" s="55"/>
      <c r="C1401" s="55"/>
      <c r="D1401" s="55"/>
      <c r="E1401" s="55"/>
      <c r="F1401" s="55"/>
      <c r="G1401" s="55"/>
      <c r="H1401" s="55"/>
    </row>
    <row r="1402">
      <c r="A1402" s="55"/>
      <c r="B1402" s="55"/>
      <c r="C1402" s="55"/>
      <c r="D1402" s="55"/>
      <c r="E1402" s="55"/>
      <c r="F1402" s="55"/>
      <c r="G1402" s="55"/>
      <c r="H1402" s="55"/>
    </row>
    <row r="1403">
      <c r="A1403" s="55"/>
      <c r="B1403" s="55"/>
      <c r="C1403" s="55"/>
      <c r="D1403" s="55"/>
      <c r="E1403" s="55"/>
      <c r="F1403" s="55"/>
      <c r="G1403" s="55"/>
      <c r="H1403" s="55"/>
    </row>
    <row r="1404">
      <c r="A1404" s="55"/>
      <c r="B1404" s="55"/>
      <c r="C1404" s="55"/>
      <c r="D1404" s="55"/>
      <c r="E1404" s="55"/>
      <c r="F1404" s="55"/>
      <c r="G1404" s="55"/>
      <c r="H1404" s="55"/>
    </row>
    <row r="1405">
      <c r="A1405" s="55"/>
      <c r="B1405" s="55"/>
      <c r="C1405" s="55"/>
      <c r="D1405" s="55"/>
      <c r="E1405" s="55"/>
      <c r="F1405" s="55"/>
      <c r="G1405" s="55"/>
      <c r="H1405" s="55"/>
    </row>
    <row r="1406">
      <c r="A1406" s="55"/>
      <c r="B1406" s="55"/>
      <c r="C1406" s="55"/>
      <c r="D1406" s="55"/>
      <c r="E1406" s="55"/>
      <c r="F1406" s="55"/>
      <c r="G1406" s="55"/>
      <c r="H1406" s="55"/>
    </row>
    <row r="1407">
      <c r="A1407" s="55"/>
      <c r="B1407" s="55"/>
      <c r="C1407" s="55"/>
      <c r="D1407" s="55"/>
      <c r="E1407" s="55"/>
      <c r="F1407" s="55"/>
      <c r="G1407" s="55"/>
      <c r="H1407" s="55"/>
    </row>
    <row r="1408">
      <c r="A1408" s="55"/>
      <c r="B1408" s="55"/>
      <c r="C1408" s="55"/>
      <c r="D1408" s="55"/>
      <c r="E1408" s="55"/>
      <c r="F1408" s="55"/>
      <c r="G1408" s="55"/>
      <c r="H1408" s="55"/>
    </row>
    <row r="1409">
      <c r="A1409" s="55"/>
      <c r="B1409" s="55"/>
      <c r="C1409" s="55"/>
      <c r="D1409" s="55"/>
      <c r="E1409" s="55"/>
      <c r="F1409" s="55"/>
      <c r="G1409" s="55"/>
      <c r="H1409" s="55"/>
    </row>
    <row r="1410">
      <c r="A1410" s="55"/>
      <c r="B1410" s="55"/>
      <c r="C1410" s="55"/>
      <c r="D1410" s="55"/>
      <c r="E1410" s="55"/>
      <c r="F1410" s="55"/>
      <c r="G1410" s="55"/>
      <c r="H1410" s="55"/>
    </row>
    <row r="1411">
      <c r="A1411" s="55"/>
      <c r="B1411" s="55"/>
      <c r="C1411" s="55"/>
      <c r="D1411" s="55"/>
      <c r="E1411" s="55"/>
      <c r="F1411" s="55"/>
      <c r="G1411" s="55"/>
      <c r="H1411" s="55"/>
    </row>
    <row r="1412">
      <c r="A1412" s="55"/>
      <c r="B1412" s="55"/>
      <c r="C1412" s="55"/>
      <c r="D1412" s="55"/>
      <c r="E1412" s="55"/>
      <c r="F1412" s="55"/>
      <c r="G1412" s="55"/>
      <c r="H1412" s="55"/>
    </row>
    <row r="1413">
      <c r="A1413" s="55"/>
      <c r="B1413" s="55"/>
      <c r="C1413" s="55"/>
      <c r="D1413" s="55"/>
      <c r="E1413" s="55"/>
      <c r="F1413" s="55"/>
      <c r="G1413" s="55"/>
      <c r="H1413" s="55"/>
    </row>
    <row r="1414">
      <c r="A1414" s="55"/>
      <c r="B1414" s="55"/>
      <c r="C1414" s="55"/>
      <c r="D1414" s="55"/>
      <c r="E1414" s="55"/>
      <c r="F1414" s="55"/>
      <c r="G1414" s="55"/>
      <c r="H1414" s="55"/>
    </row>
    <row r="1415">
      <c r="A1415" s="55"/>
      <c r="B1415" s="55"/>
      <c r="C1415" s="55"/>
      <c r="D1415" s="55"/>
      <c r="E1415" s="55"/>
      <c r="F1415" s="55"/>
      <c r="G1415" s="55"/>
      <c r="H1415" s="55"/>
    </row>
    <row r="1416">
      <c r="A1416" s="55"/>
      <c r="B1416" s="55"/>
      <c r="C1416" s="55"/>
      <c r="D1416" s="55"/>
      <c r="E1416" s="55"/>
      <c r="F1416" s="55"/>
      <c r="G1416" s="55"/>
      <c r="H1416" s="55"/>
    </row>
    <row r="1417">
      <c r="A1417" s="55"/>
      <c r="B1417" s="55"/>
      <c r="C1417" s="55"/>
      <c r="D1417" s="55"/>
      <c r="E1417" s="55"/>
      <c r="F1417" s="55"/>
      <c r="G1417" s="55"/>
      <c r="H1417" s="55"/>
    </row>
    <row r="1418">
      <c r="A1418" s="55"/>
      <c r="B1418" s="55"/>
      <c r="C1418" s="55"/>
      <c r="D1418" s="55"/>
      <c r="E1418" s="55"/>
      <c r="F1418" s="55"/>
      <c r="G1418" s="55"/>
      <c r="H1418" s="55"/>
    </row>
    <row r="1419">
      <c r="A1419" s="55"/>
      <c r="B1419" s="55"/>
      <c r="C1419" s="55"/>
      <c r="D1419" s="55"/>
      <c r="E1419" s="55"/>
      <c r="F1419" s="55"/>
      <c r="G1419" s="55"/>
      <c r="H1419" s="55"/>
    </row>
    <row r="1420">
      <c r="A1420" s="55"/>
      <c r="B1420" s="55"/>
      <c r="C1420" s="55"/>
      <c r="D1420" s="55"/>
      <c r="E1420" s="55"/>
      <c r="F1420" s="55"/>
      <c r="G1420" s="55"/>
      <c r="H1420" s="55"/>
    </row>
    <row r="1421">
      <c r="A1421" s="55"/>
      <c r="B1421" s="55"/>
      <c r="C1421" s="55"/>
      <c r="D1421" s="55"/>
      <c r="E1421" s="55"/>
      <c r="F1421" s="55"/>
      <c r="G1421" s="55"/>
      <c r="H1421" s="55"/>
    </row>
    <row r="1422">
      <c r="A1422" s="55"/>
      <c r="B1422" s="55"/>
      <c r="C1422" s="55"/>
      <c r="D1422" s="55"/>
      <c r="E1422" s="55"/>
      <c r="F1422" s="55"/>
      <c r="G1422" s="55"/>
      <c r="H1422" s="55"/>
    </row>
    <row r="1423">
      <c r="A1423" s="55"/>
      <c r="B1423" s="55"/>
      <c r="C1423" s="55"/>
      <c r="D1423" s="55"/>
      <c r="E1423" s="55"/>
      <c r="F1423" s="55"/>
      <c r="G1423" s="55"/>
      <c r="H1423" s="55"/>
    </row>
    <row r="1424">
      <c r="A1424" s="55"/>
      <c r="B1424" s="55"/>
      <c r="C1424" s="55"/>
      <c r="D1424" s="55"/>
      <c r="E1424" s="55"/>
      <c r="F1424" s="55"/>
      <c r="G1424" s="55"/>
      <c r="H1424" s="55"/>
    </row>
    <row r="1425">
      <c r="A1425" s="55"/>
      <c r="B1425" s="55"/>
      <c r="C1425" s="55"/>
      <c r="D1425" s="55"/>
      <c r="E1425" s="55"/>
      <c r="F1425" s="55"/>
      <c r="G1425" s="55"/>
      <c r="H1425" s="55"/>
    </row>
    <row r="1426">
      <c r="A1426" s="55"/>
      <c r="B1426" s="55"/>
      <c r="C1426" s="55"/>
      <c r="D1426" s="55"/>
      <c r="E1426" s="55"/>
      <c r="F1426" s="55"/>
      <c r="G1426" s="55"/>
      <c r="H1426" s="55"/>
    </row>
    <row r="1427">
      <c r="A1427" s="55"/>
      <c r="B1427" s="55"/>
      <c r="C1427" s="55"/>
      <c r="D1427" s="55"/>
      <c r="E1427" s="55"/>
      <c r="F1427" s="55"/>
      <c r="G1427" s="55"/>
      <c r="H1427" s="55"/>
    </row>
    <row r="1428">
      <c r="A1428" s="55"/>
      <c r="B1428" s="55"/>
      <c r="C1428" s="55"/>
      <c r="D1428" s="55"/>
      <c r="E1428" s="55"/>
      <c r="F1428" s="55"/>
      <c r="G1428" s="55"/>
      <c r="H1428" s="55"/>
    </row>
    <row r="1429">
      <c r="A1429" s="55"/>
      <c r="B1429" s="55"/>
      <c r="C1429" s="55"/>
      <c r="D1429" s="55"/>
      <c r="E1429" s="55"/>
      <c r="F1429" s="55"/>
      <c r="G1429" s="55"/>
      <c r="H1429" s="55"/>
    </row>
    <row r="1430">
      <c r="A1430" s="55"/>
      <c r="B1430" s="55"/>
      <c r="C1430" s="55"/>
      <c r="D1430" s="55"/>
      <c r="E1430" s="55"/>
      <c r="F1430" s="55"/>
      <c r="G1430" s="55"/>
      <c r="H1430" s="55"/>
    </row>
    <row r="1431">
      <c r="A1431" s="55"/>
      <c r="B1431" s="55"/>
      <c r="C1431" s="55"/>
      <c r="D1431" s="55"/>
      <c r="E1431" s="55"/>
      <c r="F1431" s="55"/>
      <c r="G1431" s="55"/>
      <c r="H1431" s="55"/>
    </row>
    <row r="1432">
      <c r="A1432" s="55"/>
      <c r="B1432" s="55"/>
      <c r="C1432" s="55"/>
      <c r="D1432" s="55"/>
      <c r="E1432" s="55"/>
      <c r="F1432" s="55"/>
      <c r="G1432" s="55"/>
      <c r="H1432" s="55"/>
    </row>
    <row r="1433">
      <c r="A1433" s="55"/>
      <c r="B1433" s="55"/>
      <c r="C1433" s="55"/>
      <c r="D1433" s="55"/>
      <c r="E1433" s="55"/>
      <c r="F1433" s="55"/>
      <c r="G1433" s="55"/>
      <c r="H1433" s="55"/>
    </row>
    <row r="1434">
      <c r="A1434" s="55"/>
      <c r="B1434" s="55"/>
      <c r="C1434" s="55"/>
      <c r="D1434" s="55"/>
      <c r="E1434" s="55"/>
      <c r="F1434" s="55"/>
      <c r="G1434" s="55"/>
      <c r="H1434" s="55"/>
    </row>
    <row r="1435">
      <c r="A1435" s="55"/>
      <c r="B1435" s="55"/>
      <c r="C1435" s="55"/>
      <c r="D1435" s="55"/>
      <c r="E1435" s="55"/>
      <c r="F1435" s="55"/>
      <c r="G1435" s="55"/>
      <c r="H1435" s="55"/>
    </row>
    <row r="1436">
      <c r="A1436" s="55"/>
      <c r="B1436" s="55"/>
      <c r="C1436" s="55"/>
      <c r="D1436" s="55"/>
      <c r="E1436" s="55"/>
      <c r="F1436" s="55"/>
      <c r="G1436" s="55"/>
      <c r="H1436" s="55"/>
    </row>
    <row r="1437">
      <c r="A1437" s="55"/>
      <c r="B1437" s="55"/>
      <c r="C1437" s="55"/>
      <c r="D1437" s="55"/>
      <c r="E1437" s="55"/>
      <c r="F1437" s="55"/>
      <c r="G1437" s="55"/>
      <c r="H1437" s="55"/>
    </row>
    <row r="1438">
      <c r="A1438" s="55"/>
      <c r="B1438" s="55"/>
      <c r="C1438" s="55"/>
      <c r="D1438" s="55"/>
      <c r="E1438" s="55"/>
      <c r="F1438" s="55"/>
      <c r="G1438" s="55"/>
      <c r="H1438" s="55"/>
    </row>
    <row r="1439">
      <c r="A1439" s="55"/>
      <c r="B1439" s="55"/>
      <c r="C1439" s="55"/>
      <c r="D1439" s="55"/>
      <c r="E1439" s="55"/>
      <c r="F1439" s="55"/>
      <c r="G1439" s="55"/>
      <c r="H1439" s="55"/>
    </row>
    <row r="1440">
      <c r="A1440" s="55"/>
      <c r="B1440" s="55"/>
      <c r="C1440" s="55"/>
      <c r="D1440" s="55"/>
      <c r="E1440" s="55"/>
      <c r="F1440" s="55"/>
      <c r="G1440" s="55"/>
      <c r="H1440" s="55"/>
    </row>
    <row r="1441">
      <c r="A1441" s="55"/>
      <c r="B1441" s="55"/>
      <c r="C1441" s="55"/>
      <c r="D1441" s="55"/>
      <c r="E1441" s="55"/>
      <c r="F1441" s="55"/>
      <c r="G1441" s="55"/>
      <c r="H1441" s="55"/>
    </row>
    <row r="1442">
      <c r="A1442" s="55"/>
      <c r="B1442" s="55"/>
      <c r="C1442" s="55"/>
      <c r="D1442" s="55"/>
      <c r="E1442" s="55"/>
      <c r="F1442" s="55"/>
      <c r="G1442" s="55"/>
      <c r="H1442" s="55"/>
    </row>
    <row r="1443">
      <c r="A1443" s="55"/>
      <c r="B1443" s="55"/>
      <c r="C1443" s="55"/>
      <c r="D1443" s="55"/>
      <c r="E1443" s="55"/>
      <c r="F1443" s="55"/>
      <c r="G1443" s="55"/>
      <c r="H1443" s="55"/>
    </row>
    <row r="1444">
      <c r="A1444" s="55"/>
      <c r="B1444" s="55"/>
      <c r="C1444" s="55"/>
      <c r="D1444" s="55"/>
      <c r="E1444" s="55"/>
      <c r="F1444" s="55"/>
      <c r="G1444" s="55"/>
      <c r="H1444" s="55"/>
    </row>
    <row r="1445">
      <c r="A1445" s="55"/>
      <c r="B1445" s="55"/>
      <c r="C1445" s="55"/>
      <c r="D1445" s="55"/>
      <c r="E1445" s="55"/>
      <c r="F1445" s="55"/>
      <c r="G1445" s="55"/>
      <c r="H1445" s="55"/>
    </row>
    <row r="1446">
      <c r="A1446" s="55"/>
      <c r="B1446" s="55"/>
      <c r="C1446" s="55"/>
      <c r="D1446" s="55"/>
      <c r="E1446" s="55"/>
      <c r="F1446" s="55"/>
      <c r="G1446" s="55"/>
      <c r="H1446" s="55"/>
    </row>
    <row r="1447">
      <c r="A1447" s="55"/>
      <c r="B1447" s="55"/>
      <c r="C1447" s="55"/>
      <c r="D1447" s="55"/>
      <c r="E1447" s="55"/>
      <c r="F1447" s="55"/>
      <c r="G1447" s="55"/>
      <c r="H1447" s="55"/>
    </row>
    <row r="1448">
      <c r="A1448" s="55"/>
      <c r="B1448" s="55"/>
      <c r="C1448" s="55"/>
      <c r="D1448" s="55"/>
      <c r="E1448" s="55"/>
      <c r="F1448" s="55"/>
      <c r="G1448" s="55"/>
      <c r="H1448" s="55"/>
    </row>
    <row r="1449">
      <c r="A1449" s="55"/>
      <c r="B1449" s="55"/>
      <c r="C1449" s="55"/>
      <c r="D1449" s="55"/>
      <c r="E1449" s="55"/>
      <c r="F1449" s="55"/>
      <c r="G1449" s="55"/>
      <c r="H1449" s="55"/>
    </row>
    <row r="1450">
      <c r="A1450" s="55"/>
      <c r="B1450" s="55"/>
      <c r="C1450" s="55"/>
      <c r="D1450" s="55"/>
      <c r="E1450" s="55"/>
      <c r="F1450" s="55"/>
      <c r="G1450" s="55"/>
      <c r="H1450" s="55"/>
    </row>
    <row r="1451">
      <c r="A1451" s="55"/>
      <c r="B1451" s="55"/>
      <c r="C1451" s="55"/>
      <c r="D1451" s="55"/>
      <c r="E1451" s="55"/>
      <c r="F1451" s="55"/>
      <c r="G1451" s="55"/>
      <c r="H1451" s="55"/>
    </row>
    <row r="1452">
      <c r="A1452" s="55"/>
      <c r="B1452" s="55"/>
      <c r="C1452" s="55"/>
      <c r="D1452" s="55"/>
      <c r="E1452" s="55"/>
      <c r="F1452" s="55"/>
      <c r="G1452" s="55"/>
      <c r="H1452" s="55"/>
    </row>
    <row r="1453">
      <c r="A1453" s="55"/>
      <c r="B1453" s="55"/>
      <c r="C1453" s="55"/>
      <c r="D1453" s="55"/>
      <c r="E1453" s="55"/>
      <c r="F1453" s="55"/>
      <c r="G1453" s="55"/>
      <c r="H1453" s="55"/>
    </row>
    <row r="1454">
      <c r="A1454" s="55"/>
      <c r="B1454" s="55"/>
      <c r="C1454" s="55"/>
      <c r="D1454" s="55"/>
      <c r="E1454" s="55"/>
      <c r="F1454" s="55"/>
      <c r="G1454" s="55"/>
      <c r="H1454" s="55"/>
    </row>
    <row r="1455">
      <c r="A1455" s="55"/>
      <c r="B1455" s="55"/>
      <c r="C1455" s="55"/>
      <c r="D1455" s="55"/>
      <c r="E1455" s="55"/>
      <c r="F1455" s="55"/>
      <c r="G1455" s="55"/>
      <c r="H1455" s="55"/>
    </row>
    <row r="1456">
      <c r="A1456" s="55"/>
      <c r="B1456" s="55"/>
      <c r="C1456" s="55"/>
      <c r="D1456" s="55"/>
      <c r="E1456" s="55"/>
      <c r="F1456" s="55"/>
      <c r="G1456" s="55"/>
      <c r="H1456" s="55"/>
    </row>
    <row r="1457">
      <c r="A1457" s="55"/>
      <c r="B1457" s="55"/>
      <c r="C1457" s="55"/>
      <c r="D1457" s="55"/>
      <c r="E1457" s="55"/>
      <c r="F1457" s="55"/>
      <c r="G1457" s="55"/>
      <c r="H1457" s="55"/>
    </row>
    <row r="1458">
      <c r="A1458" s="55"/>
      <c r="B1458" s="55"/>
      <c r="C1458" s="55"/>
      <c r="D1458" s="55"/>
      <c r="E1458" s="55"/>
      <c r="F1458" s="55"/>
      <c r="G1458" s="55"/>
      <c r="H1458" s="55"/>
    </row>
    <row r="1459">
      <c r="A1459" s="55"/>
      <c r="B1459" s="55"/>
      <c r="C1459" s="55"/>
      <c r="D1459" s="55"/>
      <c r="E1459" s="55"/>
      <c r="F1459" s="55"/>
      <c r="G1459" s="55"/>
      <c r="H1459" s="55"/>
    </row>
    <row r="1460">
      <c r="A1460" s="55"/>
      <c r="B1460" s="55"/>
      <c r="C1460" s="55"/>
      <c r="D1460" s="55"/>
      <c r="E1460" s="55"/>
      <c r="F1460" s="55"/>
      <c r="G1460" s="55"/>
      <c r="H1460" s="55"/>
    </row>
    <row r="1461">
      <c r="A1461" s="55"/>
      <c r="B1461" s="55"/>
      <c r="C1461" s="55"/>
      <c r="D1461" s="55"/>
      <c r="E1461" s="55"/>
      <c r="F1461" s="55"/>
      <c r="G1461" s="55"/>
      <c r="H1461" s="55"/>
    </row>
    <row r="1462">
      <c r="A1462" s="55"/>
      <c r="B1462" s="55"/>
      <c r="C1462" s="55"/>
      <c r="D1462" s="55"/>
      <c r="E1462" s="55"/>
      <c r="F1462" s="55"/>
      <c r="G1462" s="55"/>
      <c r="H1462" s="55"/>
    </row>
    <row r="1463">
      <c r="A1463" s="55"/>
      <c r="B1463" s="55"/>
      <c r="C1463" s="55"/>
      <c r="D1463" s="55"/>
      <c r="E1463" s="55"/>
      <c r="F1463" s="55"/>
      <c r="G1463" s="55"/>
      <c r="H1463" s="55"/>
    </row>
    <row r="1464">
      <c r="A1464" s="55"/>
      <c r="B1464" s="55"/>
      <c r="C1464" s="55"/>
      <c r="D1464" s="55"/>
      <c r="E1464" s="55"/>
      <c r="F1464" s="55"/>
      <c r="G1464" s="55"/>
      <c r="H1464" s="55"/>
    </row>
    <row r="1465">
      <c r="A1465" s="55"/>
      <c r="B1465" s="55"/>
      <c r="C1465" s="55"/>
      <c r="D1465" s="55"/>
      <c r="E1465" s="55"/>
      <c r="F1465" s="55"/>
      <c r="G1465" s="55"/>
      <c r="H1465" s="55"/>
    </row>
    <row r="1466">
      <c r="A1466" s="55"/>
      <c r="B1466" s="55"/>
      <c r="C1466" s="55"/>
      <c r="D1466" s="55"/>
      <c r="E1466" s="55"/>
      <c r="F1466" s="55"/>
      <c r="G1466" s="55"/>
      <c r="H1466" s="55"/>
    </row>
    <row r="1467">
      <c r="A1467" s="55"/>
      <c r="B1467" s="55"/>
      <c r="C1467" s="55"/>
      <c r="D1467" s="55"/>
      <c r="E1467" s="55"/>
      <c r="F1467" s="55"/>
      <c r="G1467" s="55"/>
      <c r="H1467" s="55"/>
    </row>
    <row r="1468">
      <c r="A1468" s="55"/>
      <c r="B1468" s="55"/>
      <c r="C1468" s="55"/>
      <c r="D1468" s="55"/>
      <c r="E1468" s="55"/>
      <c r="F1468" s="55"/>
      <c r="G1468" s="55"/>
      <c r="H1468" s="55"/>
    </row>
    <row r="1469">
      <c r="A1469" s="55"/>
      <c r="B1469" s="55"/>
      <c r="C1469" s="55"/>
      <c r="D1469" s="55"/>
      <c r="E1469" s="55"/>
      <c r="F1469" s="55"/>
      <c r="G1469" s="55"/>
      <c r="H1469" s="55"/>
    </row>
    <row r="1470">
      <c r="A1470" s="55"/>
      <c r="B1470" s="55"/>
      <c r="C1470" s="55"/>
      <c r="D1470" s="55"/>
      <c r="E1470" s="55"/>
      <c r="F1470" s="55"/>
      <c r="G1470" s="55"/>
      <c r="H1470" s="55"/>
    </row>
    <row r="1471">
      <c r="A1471" s="55"/>
      <c r="B1471" s="55"/>
      <c r="C1471" s="55"/>
      <c r="D1471" s="55"/>
      <c r="E1471" s="55"/>
      <c r="F1471" s="55"/>
      <c r="G1471" s="55"/>
      <c r="H1471" s="55"/>
    </row>
    <row r="1472">
      <c r="A1472" s="55"/>
      <c r="B1472" s="55"/>
      <c r="C1472" s="55"/>
      <c r="D1472" s="55"/>
      <c r="E1472" s="55"/>
      <c r="F1472" s="55"/>
      <c r="G1472" s="55"/>
      <c r="H1472" s="55"/>
    </row>
    <row r="1473">
      <c r="A1473" s="55"/>
      <c r="B1473" s="55"/>
      <c r="C1473" s="55"/>
      <c r="D1473" s="55"/>
      <c r="E1473" s="55"/>
      <c r="F1473" s="55"/>
      <c r="G1473" s="55"/>
      <c r="H1473" s="55"/>
    </row>
    <row r="1474">
      <c r="A1474" s="55"/>
      <c r="B1474" s="55"/>
      <c r="C1474" s="55"/>
      <c r="D1474" s="55"/>
      <c r="E1474" s="55"/>
      <c r="F1474" s="55"/>
      <c r="G1474" s="55"/>
      <c r="H1474" s="55"/>
    </row>
    <row r="1475">
      <c r="A1475" s="55"/>
      <c r="B1475" s="55"/>
      <c r="C1475" s="55"/>
      <c r="D1475" s="55"/>
      <c r="E1475" s="55"/>
      <c r="F1475" s="55"/>
      <c r="G1475" s="55"/>
      <c r="H1475" s="55"/>
    </row>
    <row r="1476">
      <c r="A1476" s="55"/>
      <c r="B1476" s="55"/>
      <c r="C1476" s="55"/>
      <c r="D1476" s="55"/>
      <c r="E1476" s="55"/>
      <c r="F1476" s="55"/>
      <c r="G1476" s="55"/>
      <c r="H1476" s="55"/>
    </row>
    <row r="1477">
      <c r="A1477" s="55"/>
      <c r="B1477" s="55"/>
      <c r="C1477" s="55"/>
      <c r="D1477" s="55"/>
      <c r="E1477" s="55"/>
      <c r="F1477" s="55"/>
      <c r="G1477" s="55"/>
      <c r="H1477" s="55"/>
    </row>
    <row r="1478">
      <c r="A1478" s="55"/>
      <c r="B1478" s="55"/>
      <c r="C1478" s="55"/>
      <c r="D1478" s="55"/>
      <c r="E1478" s="55"/>
      <c r="F1478" s="55"/>
      <c r="G1478" s="55"/>
      <c r="H1478" s="55"/>
    </row>
    <row r="1479">
      <c r="A1479" s="55"/>
      <c r="B1479" s="55"/>
      <c r="C1479" s="55"/>
      <c r="D1479" s="55"/>
      <c r="E1479" s="55"/>
      <c r="F1479" s="55"/>
      <c r="G1479" s="55"/>
      <c r="H1479" s="55"/>
    </row>
    <row r="1480">
      <c r="A1480" s="55"/>
      <c r="B1480" s="55"/>
      <c r="C1480" s="55"/>
      <c r="D1480" s="55"/>
      <c r="E1480" s="55"/>
      <c r="F1480" s="55"/>
      <c r="G1480" s="55"/>
      <c r="H1480" s="55"/>
    </row>
    <row r="1481">
      <c r="A1481" s="55"/>
      <c r="B1481" s="55"/>
      <c r="C1481" s="55"/>
      <c r="D1481" s="55"/>
      <c r="E1481" s="55"/>
      <c r="F1481" s="55"/>
      <c r="G1481" s="55"/>
      <c r="H1481" s="55"/>
    </row>
    <row r="1482">
      <c r="A1482" s="55"/>
      <c r="B1482" s="55"/>
      <c r="C1482" s="55"/>
      <c r="D1482" s="55"/>
      <c r="E1482" s="55"/>
      <c r="F1482" s="55"/>
      <c r="G1482" s="55"/>
      <c r="H1482" s="55"/>
    </row>
    <row r="1483">
      <c r="A1483" s="55"/>
      <c r="B1483" s="55"/>
      <c r="C1483" s="55"/>
      <c r="D1483" s="55"/>
      <c r="E1483" s="55"/>
      <c r="F1483" s="55"/>
      <c r="G1483" s="55"/>
      <c r="H1483" s="55"/>
    </row>
    <row r="1484">
      <c r="A1484" s="55"/>
      <c r="B1484" s="55"/>
      <c r="C1484" s="55"/>
      <c r="D1484" s="55"/>
      <c r="E1484" s="55"/>
      <c r="F1484" s="55"/>
      <c r="G1484" s="55"/>
      <c r="H1484" s="55"/>
    </row>
    <row r="1485">
      <c r="A1485" s="55"/>
      <c r="B1485" s="55"/>
      <c r="C1485" s="55"/>
      <c r="D1485" s="55"/>
      <c r="E1485" s="55"/>
      <c r="F1485" s="55"/>
      <c r="G1485" s="55"/>
      <c r="H1485" s="55"/>
    </row>
    <row r="1486">
      <c r="A1486" s="55"/>
      <c r="B1486" s="55"/>
      <c r="C1486" s="55"/>
      <c r="D1486" s="55"/>
      <c r="E1486" s="55"/>
      <c r="F1486" s="55"/>
      <c r="G1486" s="55"/>
      <c r="H1486" s="55"/>
    </row>
    <row r="1487">
      <c r="A1487" s="55"/>
      <c r="B1487" s="55"/>
      <c r="C1487" s="55"/>
      <c r="D1487" s="55"/>
      <c r="E1487" s="55"/>
      <c r="F1487" s="55"/>
      <c r="G1487" s="55"/>
      <c r="H1487" s="55"/>
    </row>
    <row r="1488">
      <c r="A1488" s="55"/>
      <c r="B1488" s="55"/>
      <c r="C1488" s="55"/>
      <c r="D1488" s="55"/>
      <c r="E1488" s="55"/>
      <c r="F1488" s="55"/>
      <c r="G1488" s="55"/>
      <c r="H1488" s="55"/>
    </row>
    <row r="1489">
      <c r="A1489" s="55"/>
      <c r="B1489" s="55"/>
      <c r="C1489" s="55"/>
      <c r="D1489" s="55"/>
      <c r="E1489" s="55"/>
      <c r="F1489" s="55"/>
      <c r="G1489" s="55"/>
      <c r="H1489" s="55"/>
    </row>
    <row r="1490">
      <c r="A1490" s="55"/>
      <c r="B1490" s="55"/>
      <c r="C1490" s="55"/>
      <c r="D1490" s="55"/>
      <c r="E1490" s="55"/>
      <c r="F1490" s="55"/>
      <c r="G1490" s="55"/>
      <c r="H1490" s="55"/>
    </row>
    <row r="1491">
      <c r="A1491" s="55"/>
      <c r="B1491" s="55"/>
      <c r="C1491" s="55"/>
      <c r="D1491" s="55"/>
      <c r="E1491" s="55"/>
      <c r="F1491" s="55"/>
      <c r="G1491" s="55"/>
      <c r="H1491" s="55"/>
    </row>
    <row r="1492">
      <c r="A1492" s="55"/>
      <c r="B1492" s="55"/>
      <c r="C1492" s="55"/>
      <c r="D1492" s="55"/>
      <c r="E1492" s="55"/>
      <c r="F1492" s="55"/>
      <c r="G1492" s="55"/>
      <c r="H1492" s="55"/>
    </row>
    <row r="1493">
      <c r="A1493" s="55"/>
      <c r="B1493" s="55"/>
      <c r="C1493" s="55"/>
      <c r="D1493" s="55"/>
      <c r="E1493" s="55"/>
      <c r="F1493" s="55"/>
      <c r="G1493" s="55"/>
      <c r="H1493" s="55"/>
    </row>
    <row r="1494">
      <c r="A1494" s="55"/>
      <c r="B1494" s="55"/>
      <c r="C1494" s="55"/>
      <c r="D1494" s="55"/>
      <c r="E1494" s="55"/>
      <c r="F1494" s="55"/>
      <c r="G1494" s="55"/>
      <c r="H1494" s="55"/>
    </row>
    <row r="1495">
      <c r="A1495" s="55"/>
      <c r="B1495" s="55"/>
      <c r="C1495" s="55"/>
      <c r="D1495" s="55"/>
      <c r="E1495" s="55"/>
      <c r="F1495" s="55"/>
      <c r="G1495" s="55"/>
      <c r="H1495" s="55"/>
    </row>
    <row r="1496">
      <c r="A1496" s="55"/>
      <c r="B1496" s="55"/>
      <c r="C1496" s="55"/>
      <c r="D1496" s="55"/>
      <c r="E1496" s="55"/>
      <c r="F1496" s="55"/>
      <c r="G1496" s="55"/>
      <c r="H1496" s="55"/>
    </row>
    <row r="1497">
      <c r="A1497" s="55"/>
      <c r="B1497" s="55"/>
      <c r="C1497" s="55"/>
      <c r="D1497" s="55"/>
      <c r="E1497" s="55"/>
      <c r="F1497" s="55"/>
      <c r="G1497" s="55"/>
      <c r="H1497" s="55"/>
    </row>
    <row r="1498">
      <c r="A1498" s="55"/>
      <c r="B1498" s="55"/>
      <c r="C1498" s="55"/>
      <c r="D1498" s="55"/>
      <c r="E1498" s="55"/>
      <c r="F1498" s="55"/>
      <c r="G1498" s="55"/>
      <c r="H1498" s="55"/>
    </row>
    <row r="1499">
      <c r="A1499" s="55"/>
      <c r="B1499" s="55"/>
      <c r="C1499" s="55"/>
      <c r="D1499" s="55"/>
      <c r="E1499" s="55"/>
      <c r="F1499" s="55"/>
      <c r="G1499" s="55"/>
      <c r="H1499" s="55"/>
    </row>
    <row r="1500">
      <c r="A1500" s="55"/>
      <c r="B1500" s="55"/>
      <c r="C1500" s="55"/>
      <c r="D1500" s="55"/>
      <c r="E1500" s="55"/>
      <c r="F1500" s="55"/>
      <c r="G1500" s="55"/>
      <c r="H1500" s="55"/>
    </row>
    <row r="1501">
      <c r="A1501" s="55"/>
      <c r="B1501" s="55"/>
      <c r="C1501" s="55"/>
      <c r="D1501" s="55"/>
      <c r="E1501" s="55"/>
      <c r="F1501" s="55"/>
      <c r="G1501" s="55"/>
      <c r="H1501" s="55"/>
    </row>
    <row r="1502">
      <c r="A1502" s="55"/>
      <c r="B1502" s="55"/>
      <c r="C1502" s="55"/>
      <c r="D1502" s="55"/>
      <c r="E1502" s="55"/>
      <c r="F1502" s="55"/>
      <c r="G1502" s="55"/>
      <c r="H1502" s="55"/>
    </row>
    <row r="1503">
      <c r="A1503" s="55"/>
      <c r="B1503" s="55"/>
      <c r="C1503" s="55"/>
      <c r="D1503" s="55"/>
      <c r="E1503" s="55"/>
      <c r="F1503" s="55"/>
      <c r="G1503" s="55"/>
      <c r="H1503" s="55"/>
    </row>
    <row r="1504">
      <c r="A1504" s="55"/>
      <c r="B1504" s="55"/>
      <c r="C1504" s="55"/>
      <c r="D1504" s="55"/>
      <c r="E1504" s="55"/>
      <c r="F1504" s="55"/>
      <c r="G1504" s="55"/>
      <c r="H1504" s="55"/>
    </row>
    <row r="1505">
      <c r="A1505" s="55"/>
      <c r="B1505" s="55"/>
      <c r="C1505" s="55"/>
      <c r="D1505" s="55"/>
      <c r="E1505" s="55"/>
      <c r="F1505" s="55"/>
      <c r="G1505" s="55"/>
      <c r="H1505" s="55"/>
    </row>
    <row r="1506">
      <c r="A1506" s="55"/>
      <c r="B1506" s="55"/>
      <c r="C1506" s="55"/>
      <c r="D1506" s="55"/>
      <c r="E1506" s="55"/>
      <c r="F1506" s="55"/>
      <c r="G1506" s="55"/>
      <c r="H1506" s="55"/>
    </row>
    <row r="1507">
      <c r="A1507" s="55"/>
      <c r="B1507" s="55"/>
      <c r="C1507" s="55"/>
      <c r="D1507" s="55"/>
      <c r="E1507" s="55"/>
      <c r="F1507" s="55"/>
      <c r="G1507" s="55"/>
      <c r="H1507" s="55"/>
    </row>
    <row r="1508">
      <c r="A1508" s="55"/>
      <c r="B1508" s="55"/>
      <c r="C1508" s="55"/>
      <c r="D1508" s="55"/>
      <c r="E1508" s="55"/>
      <c r="F1508" s="55"/>
      <c r="G1508" s="55"/>
      <c r="H1508" s="55"/>
    </row>
    <row r="1509">
      <c r="A1509" s="55"/>
      <c r="B1509" s="55"/>
      <c r="C1509" s="55"/>
      <c r="D1509" s="55"/>
      <c r="E1509" s="55"/>
      <c r="F1509" s="55"/>
      <c r="G1509" s="55"/>
      <c r="H1509" s="55"/>
    </row>
    <row r="1510">
      <c r="A1510" s="55"/>
      <c r="B1510" s="55"/>
      <c r="C1510" s="55"/>
      <c r="D1510" s="55"/>
      <c r="E1510" s="55"/>
      <c r="F1510" s="55"/>
      <c r="G1510" s="55"/>
      <c r="H1510" s="55"/>
    </row>
    <row r="1511">
      <c r="A1511" s="55"/>
      <c r="B1511" s="55"/>
      <c r="C1511" s="55"/>
      <c r="D1511" s="55"/>
      <c r="E1511" s="55"/>
      <c r="F1511" s="55"/>
      <c r="G1511" s="55"/>
      <c r="H1511" s="55"/>
    </row>
    <row r="1512">
      <c r="A1512" s="55"/>
      <c r="B1512" s="55"/>
      <c r="C1512" s="55"/>
      <c r="D1512" s="55"/>
      <c r="E1512" s="55"/>
      <c r="F1512" s="55"/>
      <c r="G1512" s="55"/>
      <c r="H1512" s="55"/>
    </row>
    <row r="1513">
      <c r="A1513" s="55"/>
      <c r="B1513" s="55"/>
      <c r="C1513" s="55"/>
      <c r="D1513" s="55"/>
      <c r="E1513" s="55"/>
      <c r="F1513" s="55"/>
      <c r="G1513" s="55"/>
      <c r="H1513" s="55"/>
    </row>
    <row r="1514">
      <c r="A1514" s="55"/>
      <c r="B1514" s="55"/>
      <c r="C1514" s="55"/>
      <c r="D1514" s="55"/>
      <c r="E1514" s="55"/>
      <c r="F1514" s="55"/>
      <c r="G1514" s="55"/>
      <c r="H1514" s="55"/>
    </row>
    <row r="1515">
      <c r="A1515" s="55"/>
      <c r="B1515" s="55"/>
      <c r="C1515" s="55"/>
      <c r="D1515" s="55"/>
      <c r="E1515" s="55"/>
      <c r="F1515" s="55"/>
      <c r="G1515" s="55"/>
      <c r="H1515" s="55"/>
    </row>
    <row r="1516">
      <c r="A1516" s="55"/>
      <c r="B1516" s="55"/>
      <c r="C1516" s="55"/>
      <c r="D1516" s="55"/>
      <c r="E1516" s="55"/>
      <c r="F1516" s="55"/>
      <c r="G1516" s="55"/>
      <c r="H1516" s="55"/>
    </row>
    <row r="1517">
      <c r="A1517" s="55"/>
      <c r="B1517" s="55"/>
      <c r="C1517" s="55"/>
      <c r="D1517" s="55"/>
      <c r="E1517" s="55"/>
      <c r="F1517" s="55"/>
      <c r="G1517" s="55"/>
      <c r="H1517" s="55"/>
    </row>
    <row r="1518">
      <c r="A1518" s="55"/>
      <c r="B1518" s="55"/>
      <c r="C1518" s="55"/>
      <c r="D1518" s="55"/>
      <c r="E1518" s="55"/>
      <c r="F1518" s="55"/>
      <c r="G1518" s="55"/>
      <c r="H1518" s="55"/>
    </row>
    <row r="1519">
      <c r="A1519" s="55"/>
      <c r="B1519" s="55"/>
      <c r="C1519" s="55"/>
      <c r="D1519" s="55"/>
      <c r="E1519" s="55"/>
      <c r="F1519" s="55"/>
      <c r="G1519" s="55"/>
      <c r="H1519" s="55"/>
    </row>
    <row r="1520">
      <c r="A1520" s="55"/>
      <c r="B1520" s="55"/>
      <c r="C1520" s="55"/>
      <c r="D1520" s="55"/>
      <c r="E1520" s="55"/>
      <c r="F1520" s="55"/>
      <c r="G1520" s="55"/>
      <c r="H1520" s="55"/>
    </row>
    <row r="1521">
      <c r="A1521" s="55"/>
      <c r="B1521" s="55"/>
      <c r="C1521" s="55"/>
      <c r="D1521" s="55"/>
      <c r="E1521" s="55"/>
      <c r="F1521" s="55"/>
      <c r="G1521" s="55"/>
      <c r="H1521" s="55"/>
    </row>
    <row r="1522">
      <c r="A1522" s="55"/>
      <c r="B1522" s="55"/>
      <c r="C1522" s="55"/>
      <c r="D1522" s="55"/>
      <c r="E1522" s="55"/>
      <c r="F1522" s="55"/>
      <c r="G1522" s="55"/>
      <c r="H1522" s="55"/>
    </row>
    <row r="1523">
      <c r="A1523" s="55"/>
      <c r="B1523" s="55"/>
      <c r="C1523" s="55"/>
      <c r="D1523" s="55"/>
      <c r="E1523" s="55"/>
      <c r="F1523" s="55"/>
      <c r="G1523" s="55"/>
      <c r="H1523" s="55"/>
    </row>
    <row r="1524">
      <c r="A1524" s="55"/>
      <c r="B1524" s="55"/>
      <c r="C1524" s="55"/>
      <c r="D1524" s="55"/>
      <c r="E1524" s="55"/>
      <c r="F1524" s="55"/>
      <c r="G1524" s="55"/>
      <c r="H1524" s="55"/>
    </row>
    <row r="1525">
      <c r="A1525" s="55"/>
      <c r="B1525" s="55"/>
      <c r="C1525" s="55"/>
      <c r="D1525" s="55"/>
      <c r="E1525" s="55"/>
      <c r="F1525" s="55"/>
      <c r="G1525" s="55"/>
      <c r="H1525" s="55"/>
    </row>
    <row r="1526">
      <c r="A1526" s="55"/>
      <c r="B1526" s="55"/>
      <c r="C1526" s="55"/>
      <c r="D1526" s="55"/>
      <c r="E1526" s="55"/>
      <c r="F1526" s="55"/>
      <c r="G1526" s="55"/>
      <c r="H1526" s="55"/>
    </row>
    <row r="1527">
      <c r="A1527" s="55"/>
      <c r="B1527" s="55"/>
      <c r="C1527" s="55"/>
      <c r="D1527" s="55"/>
      <c r="E1527" s="55"/>
      <c r="F1527" s="55"/>
      <c r="G1527" s="55"/>
      <c r="H1527" s="55"/>
    </row>
    <row r="1528">
      <c r="A1528" s="55"/>
      <c r="B1528" s="55"/>
      <c r="C1528" s="55"/>
      <c r="D1528" s="55"/>
      <c r="E1528" s="55"/>
      <c r="F1528" s="55"/>
      <c r="G1528" s="55"/>
      <c r="H1528" s="55"/>
    </row>
    <row r="1529">
      <c r="A1529" s="55"/>
      <c r="B1529" s="55"/>
      <c r="C1529" s="55"/>
      <c r="D1529" s="55"/>
      <c r="E1529" s="55"/>
      <c r="F1529" s="55"/>
      <c r="G1529" s="55"/>
      <c r="H1529" s="55"/>
    </row>
    <row r="1530">
      <c r="A1530" s="55"/>
      <c r="B1530" s="55"/>
      <c r="C1530" s="55"/>
      <c r="D1530" s="55"/>
      <c r="E1530" s="55"/>
      <c r="F1530" s="55"/>
      <c r="G1530" s="55"/>
      <c r="H1530" s="55"/>
    </row>
    <row r="1531">
      <c r="A1531" s="55"/>
      <c r="B1531" s="55"/>
      <c r="C1531" s="55"/>
      <c r="D1531" s="55"/>
      <c r="E1531" s="55"/>
      <c r="F1531" s="55"/>
      <c r="G1531" s="55"/>
      <c r="H1531" s="55"/>
    </row>
    <row r="1532">
      <c r="A1532" s="55"/>
      <c r="B1532" s="55"/>
      <c r="C1532" s="55"/>
      <c r="D1532" s="55"/>
      <c r="E1532" s="55"/>
      <c r="F1532" s="55"/>
      <c r="G1532" s="55"/>
      <c r="H1532" s="55"/>
    </row>
    <row r="1533">
      <c r="A1533" s="55"/>
      <c r="B1533" s="55"/>
      <c r="C1533" s="55"/>
      <c r="D1533" s="55"/>
      <c r="E1533" s="55"/>
      <c r="F1533" s="55"/>
      <c r="G1533" s="55"/>
      <c r="H1533" s="55"/>
    </row>
    <row r="1534">
      <c r="A1534" s="55"/>
      <c r="B1534" s="55"/>
      <c r="C1534" s="55"/>
      <c r="D1534" s="55"/>
      <c r="E1534" s="55"/>
      <c r="F1534" s="55"/>
      <c r="G1534" s="55"/>
      <c r="H1534" s="55"/>
    </row>
    <row r="1535">
      <c r="A1535" s="55"/>
      <c r="B1535" s="55"/>
      <c r="C1535" s="55"/>
      <c r="D1535" s="55"/>
      <c r="E1535" s="55"/>
      <c r="F1535" s="55"/>
      <c r="G1535" s="55"/>
      <c r="H1535" s="55"/>
    </row>
    <row r="1536">
      <c r="A1536" s="55"/>
      <c r="B1536" s="55"/>
      <c r="C1536" s="55"/>
      <c r="D1536" s="55"/>
      <c r="E1536" s="55"/>
      <c r="F1536" s="55"/>
      <c r="G1536" s="55"/>
      <c r="H1536" s="55"/>
    </row>
    <row r="1537">
      <c r="A1537" s="55"/>
      <c r="B1537" s="55"/>
      <c r="C1537" s="55"/>
      <c r="D1537" s="55"/>
      <c r="E1537" s="55"/>
      <c r="F1537" s="55"/>
      <c r="G1537" s="55"/>
      <c r="H1537" s="55"/>
    </row>
    <row r="1538">
      <c r="A1538" s="55"/>
      <c r="B1538" s="55"/>
      <c r="C1538" s="55"/>
      <c r="D1538" s="55"/>
      <c r="E1538" s="55"/>
      <c r="F1538" s="55"/>
      <c r="G1538" s="55"/>
      <c r="H1538" s="55"/>
    </row>
    <row r="1539">
      <c r="A1539" s="55"/>
      <c r="B1539" s="55"/>
      <c r="C1539" s="55"/>
      <c r="D1539" s="55"/>
      <c r="E1539" s="55"/>
      <c r="F1539" s="55"/>
      <c r="G1539" s="55"/>
      <c r="H1539" s="55"/>
    </row>
    <row r="1540">
      <c r="A1540" s="55"/>
      <c r="B1540" s="55"/>
      <c r="C1540" s="55"/>
      <c r="D1540" s="55"/>
      <c r="E1540" s="55"/>
      <c r="F1540" s="55"/>
      <c r="G1540" s="55"/>
      <c r="H1540" s="55"/>
    </row>
    <row r="1541">
      <c r="A1541" s="55"/>
      <c r="B1541" s="55"/>
      <c r="C1541" s="55"/>
      <c r="D1541" s="55"/>
      <c r="E1541" s="55"/>
      <c r="F1541" s="55"/>
      <c r="G1541" s="55"/>
      <c r="H1541" s="55"/>
    </row>
    <row r="1542">
      <c r="A1542" s="55"/>
      <c r="B1542" s="55"/>
      <c r="C1542" s="55"/>
      <c r="D1542" s="55"/>
      <c r="E1542" s="55"/>
      <c r="F1542" s="55"/>
      <c r="G1542" s="55"/>
      <c r="H1542" s="55"/>
    </row>
    <row r="1543">
      <c r="A1543" s="55"/>
      <c r="B1543" s="55"/>
      <c r="C1543" s="55"/>
      <c r="D1543" s="55"/>
      <c r="E1543" s="55"/>
      <c r="F1543" s="55"/>
      <c r="G1543" s="55"/>
      <c r="H1543" s="55"/>
    </row>
    <row r="1544">
      <c r="A1544" s="55"/>
      <c r="B1544" s="55"/>
      <c r="C1544" s="55"/>
      <c r="D1544" s="55"/>
      <c r="E1544" s="55"/>
      <c r="F1544" s="55"/>
      <c r="G1544" s="55"/>
      <c r="H1544" s="55"/>
    </row>
    <row r="1545">
      <c r="A1545" s="55"/>
      <c r="B1545" s="55"/>
      <c r="C1545" s="55"/>
      <c r="D1545" s="55"/>
      <c r="E1545" s="55"/>
      <c r="F1545" s="55"/>
      <c r="G1545" s="55"/>
      <c r="H1545" s="55"/>
    </row>
    <row r="1546">
      <c r="A1546" s="55"/>
      <c r="B1546" s="55"/>
      <c r="C1546" s="55"/>
      <c r="D1546" s="55"/>
      <c r="E1546" s="55"/>
      <c r="F1546" s="55"/>
      <c r="G1546" s="55"/>
      <c r="H1546" s="55"/>
    </row>
    <row r="1547">
      <c r="A1547" s="55"/>
      <c r="B1547" s="55"/>
      <c r="C1547" s="55"/>
      <c r="D1547" s="55"/>
      <c r="E1547" s="55"/>
      <c r="F1547" s="55"/>
      <c r="G1547" s="55"/>
      <c r="H1547" s="55"/>
    </row>
    <row r="1548">
      <c r="A1548" s="55"/>
      <c r="B1548" s="55"/>
      <c r="C1548" s="55"/>
      <c r="D1548" s="55"/>
      <c r="E1548" s="55"/>
      <c r="F1548" s="55"/>
      <c r="G1548" s="55"/>
      <c r="H1548" s="55"/>
    </row>
    <row r="1549">
      <c r="A1549" s="55"/>
      <c r="B1549" s="55"/>
      <c r="C1549" s="55"/>
      <c r="D1549" s="55"/>
      <c r="E1549" s="55"/>
      <c r="F1549" s="55"/>
      <c r="G1549" s="55"/>
      <c r="H1549" s="55"/>
    </row>
    <row r="1550">
      <c r="A1550" s="55"/>
      <c r="B1550" s="55"/>
      <c r="C1550" s="55"/>
      <c r="D1550" s="55"/>
      <c r="E1550" s="55"/>
      <c r="F1550" s="55"/>
      <c r="G1550" s="55"/>
      <c r="H1550" s="55"/>
    </row>
    <row r="1551">
      <c r="A1551" s="55"/>
      <c r="B1551" s="55"/>
      <c r="C1551" s="55"/>
      <c r="D1551" s="55"/>
      <c r="E1551" s="55"/>
      <c r="F1551" s="55"/>
      <c r="G1551" s="55"/>
      <c r="H1551" s="55"/>
    </row>
    <row r="1552">
      <c r="A1552" s="55"/>
      <c r="B1552" s="55"/>
      <c r="C1552" s="55"/>
      <c r="D1552" s="55"/>
      <c r="E1552" s="55"/>
      <c r="F1552" s="55"/>
      <c r="G1552" s="55"/>
      <c r="H1552" s="55"/>
    </row>
    <row r="1553">
      <c r="A1553" s="55"/>
      <c r="B1553" s="55"/>
      <c r="C1553" s="55"/>
      <c r="D1553" s="55"/>
      <c r="E1553" s="55"/>
      <c r="F1553" s="55"/>
      <c r="G1553" s="55"/>
      <c r="H1553" s="55"/>
    </row>
    <row r="1554">
      <c r="A1554" s="55"/>
      <c r="B1554" s="55"/>
      <c r="C1554" s="55"/>
      <c r="D1554" s="55"/>
      <c r="E1554" s="55"/>
      <c r="F1554" s="55"/>
      <c r="G1554" s="55"/>
      <c r="H1554" s="55"/>
    </row>
    <row r="1555">
      <c r="A1555" s="55"/>
      <c r="B1555" s="55"/>
      <c r="C1555" s="55"/>
      <c r="D1555" s="55"/>
      <c r="E1555" s="55"/>
      <c r="F1555" s="55"/>
      <c r="G1555" s="55"/>
      <c r="H1555" s="55"/>
    </row>
    <row r="1556">
      <c r="A1556" s="55"/>
      <c r="B1556" s="55"/>
      <c r="C1556" s="55"/>
      <c r="D1556" s="55"/>
      <c r="E1556" s="55"/>
      <c r="F1556" s="55"/>
      <c r="G1556" s="55"/>
      <c r="H1556" s="55"/>
    </row>
    <row r="1557">
      <c r="A1557" s="55"/>
      <c r="B1557" s="55"/>
      <c r="C1557" s="55"/>
      <c r="D1557" s="55"/>
      <c r="E1557" s="55"/>
      <c r="F1557" s="55"/>
      <c r="G1557" s="55"/>
      <c r="H1557" s="55"/>
    </row>
    <row r="1558">
      <c r="A1558" s="55"/>
      <c r="B1558" s="55"/>
      <c r="C1558" s="55"/>
      <c r="D1558" s="55"/>
      <c r="E1558" s="55"/>
      <c r="F1558" s="55"/>
      <c r="G1558" s="55"/>
      <c r="H1558" s="55"/>
    </row>
    <row r="1559">
      <c r="A1559" s="55"/>
      <c r="B1559" s="55"/>
      <c r="C1559" s="55"/>
      <c r="D1559" s="55"/>
      <c r="E1559" s="55"/>
      <c r="F1559" s="55"/>
      <c r="G1559" s="55"/>
      <c r="H1559" s="55"/>
    </row>
    <row r="1560">
      <c r="A1560" s="55"/>
      <c r="B1560" s="55"/>
      <c r="C1560" s="55"/>
      <c r="D1560" s="55"/>
      <c r="E1560" s="55"/>
      <c r="F1560" s="55"/>
      <c r="G1560" s="55"/>
      <c r="H1560" s="55"/>
    </row>
    <row r="1561">
      <c r="A1561" s="55"/>
      <c r="B1561" s="55"/>
      <c r="C1561" s="55"/>
      <c r="D1561" s="55"/>
      <c r="E1561" s="55"/>
      <c r="F1561" s="55"/>
      <c r="G1561" s="55"/>
      <c r="H1561" s="55"/>
    </row>
    <row r="1562">
      <c r="A1562" s="55"/>
      <c r="B1562" s="55"/>
      <c r="C1562" s="55"/>
      <c r="D1562" s="55"/>
      <c r="E1562" s="55"/>
      <c r="F1562" s="55"/>
      <c r="G1562" s="55"/>
      <c r="H1562" s="55"/>
    </row>
    <row r="1563">
      <c r="A1563" s="55"/>
      <c r="B1563" s="55"/>
      <c r="C1563" s="55"/>
      <c r="D1563" s="55"/>
      <c r="E1563" s="55"/>
      <c r="F1563" s="55"/>
      <c r="G1563" s="55"/>
      <c r="H1563" s="55"/>
    </row>
    <row r="1564">
      <c r="A1564" s="55"/>
      <c r="B1564" s="55"/>
      <c r="C1564" s="55"/>
      <c r="D1564" s="55"/>
      <c r="E1564" s="55"/>
      <c r="F1564" s="55"/>
      <c r="G1564" s="55"/>
      <c r="H1564" s="55"/>
    </row>
    <row r="1565">
      <c r="A1565" s="55"/>
      <c r="B1565" s="55"/>
      <c r="C1565" s="55"/>
      <c r="D1565" s="55"/>
      <c r="E1565" s="55"/>
      <c r="F1565" s="55"/>
      <c r="G1565" s="55"/>
      <c r="H1565" s="55"/>
    </row>
    <row r="1566">
      <c r="A1566" s="55"/>
      <c r="B1566" s="55"/>
      <c r="C1566" s="55"/>
      <c r="D1566" s="55"/>
      <c r="E1566" s="55"/>
      <c r="F1566" s="55"/>
      <c r="G1566" s="55"/>
      <c r="H1566" s="55"/>
    </row>
    <row r="1567">
      <c r="A1567" s="55"/>
      <c r="B1567" s="55"/>
      <c r="C1567" s="55"/>
      <c r="D1567" s="55"/>
      <c r="E1567" s="55"/>
      <c r="F1567" s="55"/>
      <c r="G1567" s="55"/>
      <c r="H1567" s="55"/>
    </row>
    <row r="1568">
      <c r="A1568" s="55"/>
      <c r="B1568" s="55"/>
      <c r="C1568" s="55"/>
      <c r="D1568" s="55"/>
      <c r="E1568" s="55"/>
      <c r="F1568" s="55"/>
      <c r="G1568" s="55"/>
      <c r="H1568" s="55"/>
    </row>
    <row r="1569">
      <c r="A1569" s="55"/>
      <c r="B1569" s="55"/>
      <c r="C1569" s="55"/>
      <c r="D1569" s="55"/>
      <c r="E1569" s="55"/>
      <c r="F1569" s="55"/>
      <c r="G1569" s="55"/>
      <c r="H1569" s="55"/>
    </row>
    <row r="1570">
      <c r="A1570" s="55"/>
      <c r="B1570" s="55"/>
      <c r="C1570" s="55"/>
      <c r="D1570" s="55"/>
      <c r="E1570" s="55"/>
      <c r="F1570" s="55"/>
      <c r="G1570" s="55"/>
      <c r="H1570" s="55"/>
    </row>
    <row r="1571">
      <c r="A1571" s="55"/>
      <c r="B1571" s="55"/>
      <c r="C1571" s="55"/>
      <c r="D1571" s="55"/>
      <c r="E1571" s="55"/>
      <c r="F1571" s="55"/>
      <c r="G1571" s="55"/>
      <c r="H1571" s="55"/>
    </row>
    <row r="1572">
      <c r="A1572" s="55"/>
      <c r="B1572" s="55"/>
      <c r="C1572" s="55"/>
      <c r="D1572" s="55"/>
      <c r="E1572" s="55"/>
      <c r="F1572" s="55"/>
      <c r="G1572" s="55"/>
      <c r="H1572" s="55"/>
    </row>
    <row r="1573">
      <c r="A1573" s="55"/>
      <c r="B1573" s="55"/>
      <c r="C1573" s="55"/>
      <c r="D1573" s="55"/>
      <c r="E1573" s="55"/>
      <c r="F1573" s="55"/>
      <c r="G1573" s="55"/>
      <c r="H1573" s="55"/>
    </row>
    <row r="1574">
      <c r="A1574" s="55"/>
      <c r="B1574" s="55"/>
      <c r="C1574" s="55"/>
      <c r="D1574" s="55"/>
      <c r="E1574" s="55"/>
      <c r="F1574" s="55"/>
      <c r="G1574" s="55"/>
      <c r="H1574" s="55"/>
    </row>
    <row r="1575">
      <c r="A1575" s="55"/>
      <c r="B1575" s="55"/>
      <c r="C1575" s="55"/>
      <c r="D1575" s="55"/>
      <c r="E1575" s="55"/>
      <c r="F1575" s="55"/>
      <c r="G1575" s="55"/>
      <c r="H1575" s="55"/>
    </row>
    <row r="1576">
      <c r="A1576" s="55"/>
      <c r="B1576" s="55"/>
      <c r="C1576" s="55"/>
      <c r="D1576" s="55"/>
      <c r="E1576" s="55"/>
      <c r="F1576" s="55"/>
      <c r="G1576" s="55"/>
      <c r="H1576" s="55"/>
    </row>
    <row r="1577">
      <c r="A1577" s="55"/>
      <c r="B1577" s="55"/>
      <c r="C1577" s="55"/>
      <c r="D1577" s="55"/>
      <c r="E1577" s="55"/>
      <c r="F1577" s="55"/>
      <c r="G1577" s="55"/>
      <c r="H1577" s="55"/>
    </row>
    <row r="1578">
      <c r="A1578" s="55"/>
      <c r="B1578" s="55"/>
      <c r="C1578" s="55"/>
      <c r="D1578" s="55"/>
      <c r="E1578" s="55"/>
      <c r="F1578" s="55"/>
      <c r="G1578" s="55"/>
      <c r="H1578" s="55"/>
    </row>
    <row r="1579">
      <c r="A1579" s="55"/>
      <c r="B1579" s="55"/>
      <c r="C1579" s="55"/>
      <c r="D1579" s="55"/>
      <c r="E1579" s="55"/>
      <c r="F1579" s="55"/>
      <c r="G1579" s="55"/>
      <c r="H1579" s="55"/>
    </row>
    <row r="1580">
      <c r="A1580" s="55"/>
      <c r="B1580" s="55"/>
      <c r="C1580" s="55"/>
      <c r="D1580" s="55"/>
      <c r="E1580" s="55"/>
      <c r="F1580" s="55"/>
      <c r="G1580" s="55"/>
      <c r="H1580" s="55"/>
    </row>
    <row r="1581">
      <c r="A1581" s="55"/>
      <c r="B1581" s="55"/>
      <c r="C1581" s="55"/>
      <c r="D1581" s="55"/>
      <c r="E1581" s="55"/>
      <c r="F1581" s="55"/>
      <c r="G1581" s="55"/>
      <c r="H1581" s="55"/>
    </row>
    <row r="1582">
      <c r="A1582" s="55"/>
      <c r="B1582" s="55"/>
      <c r="C1582" s="55"/>
      <c r="D1582" s="55"/>
      <c r="E1582" s="55"/>
      <c r="F1582" s="55"/>
      <c r="G1582" s="55"/>
      <c r="H1582"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59" t="s">
        <v>298</v>
      </c>
      <c r="B1" s="60" t="s">
        <v>299</v>
      </c>
    </row>
    <row r="2">
      <c r="A2" s="61" t="s">
        <v>300</v>
      </c>
      <c r="B2" s="62" t="s">
        <v>301</v>
      </c>
    </row>
    <row r="3">
      <c r="A3" s="61" t="s">
        <v>302</v>
      </c>
      <c r="B3" s="63" t="s">
        <v>303</v>
      </c>
    </row>
    <row r="4">
      <c r="A4" s="64" t="s">
        <v>304</v>
      </c>
      <c r="B4" s="65" t="s">
        <v>305</v>
      </c>
    </row>
    <row r="5">
      <c r="A5" s="61" t="s">
        <v>306</v>
      </c>
      <c r="B5" s="62" t="s">
        <v>307</v>
      </c>
    </row>
    <row r="6">
      <c r="A6" s="62" t="s">
        <v>308</v>
      </c>
      <c r="B6" s="65" t="s">
        <v>309</v>
      </c>
    </row>
    <row r="7">
      <c r="A7" s="62" t="s">
        <v>310</v>
      </c>
      <c r="B7" s="61"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3/1/2022, &lt;b&gt;26 ont été financés&lt;/b&gt;, dont 0 toujours en cours !")</f>
        <v>Depuis le début de l'aventure, c'est-à-dire depuis le 3/1/2022, &lt;b&gt;26 ont été financés&lt;/b&gt;, dont 0 toujours en cours !</v>
      </c>
    </row>
    <row r="8">
      <c r="A8" s="62" t="s">
        <v>311</v>
      </c>
      <c r="B8" s="61" t="str">
        <f>"En novembre "&amp;YEAR(TODAY())&amp;", LIA va fêter son "&amp;YEAR(TODAY())-2015&amp;"ème anniversaire !! Happy birthday :-D"</f>
        <v>En novembre 2024, LIA va fêter son 9ème anniversaire !! Happy birthday :-D</v>
      </c>
    </row>
    <row r="9">
      <c r="A9" s="61" t="s">
        <v>312</v>
      </c>
      <c r="B9" s="61" t="s">
        <v>313</v>
      </c>
    </row>
    <row r="10">
      <c r="A10" s="61" t="s">
        <v>314</v>
      </c>
      <c r="B10" s="62" t="s">
        <v>315</v>
      </c>
    </row>
    <row r="11">
      <c r="A11" s="64" t="s">
        <v>316</v>
      </c>
      <c r="B11" s="63" t="s">
        <v>317</v>
      </c>
    </row>
    <row r="12">
      <c r="A12" s="64" t="s">
        <v>318</v>
      </c>
      <c r="B12" s="63" t="s">
        <v>319</v>
      </c>
    </row>
    <row r="13">
      <c r="A13" s="63" t="s">
        <v>320</v>
      </c>
      <c r="B13" s="63"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#REF!</v>
      </c>
    </row>
    <row r="14">
      <c r="A14" s="63" t="s">
        <v>321</v>
      </c>
      <c r="B14" s="66"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#DIV/0!</v>
      </c>
    </row>
    <row r="15">
      <c r="A15" s="64" t="s">
        <v>322</v>
      </c>
      <c r="B15" s="64" t="s">
        <v>323</v>
      </c>
    </row>
    <row r="16">
      <c r="A16" s="64" t="s">
        <v>324</v>
      </c>
      <c r="B16" s="63" t="s">
        <v>325</v>
      </c>
    </row>
    <row r="17">
      <c r="A17" s="64" t="s">
        <v>326</v>
      </c>
      <c r="B17" s="64"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:-P"""),"#REF!")</f>
        <v>#REF!</v>
      </c>
    </row>
    <row r="18">
      <c r="A18" s="64" t="s">
        <v>327</v>
      </c>
      <c r="B18" s="64" t="s">
        <v>328</v>
      </c>
    </row>
    <row r="19">
      <c r="A19" s="64" t="s">
        <v>329</v>
      </c>
      <c r="B19" s="64" t="s">
        <v>330</v>
      </c>
    </row>
    <row r="20">
      <c r="A20" s="64" t="s">
        <v>331</v>
      </c>
      <c r="B20" s="63" t="s">
        <v>332</v>
      </c>
    </row>
    <row r="21">
      <c r="A21" s="63" t="s">
        <v>333</v>
      </c>
      <c r="B21" s="64" t="s">
        <v>334</v>
      </c>
    </row>
    <row r="22">
      <c r="A22" s="63" t="s">
        <v>335</v>
      </c>
      <c r="B22" s="64" t="str">
        <f>"Non, la preuve : en ce moment, le taux d'intérêt moyen des associés est de &lt;b&gt;" &amp; SUBSTITUTE(AVERAGE(Associate!H3:H58),".",",") &amp; "&lt;/b&gt;.&lt;br&gt;
L'intérêt le plus bas est de &lt;b&gt;" &amp; SUBSTITUTE(MAX(MIN(Associate!H3:H58),1.2%),".",",") &amp; "&lt;/b&gt; et le plus haut de &lt;b&gt;" &amp; SUBSTITUTE(MAX(Associate!H3:H58),".",",") &amp; "&lt;/b&gt;."</f>
        <v>#DIV/0!</v>
      </c>
    </row>
    <row r="23">
      <c r="A23" s="64" t="s">
        <v>336</v>
      </c>
      <c r="B23" s="64" t="s">
        <v>337</v>
      </c>
    </row>
    <row r="24">
      <c r="A24" s="64" t="s">
        <v>338</v>
      </c>
      <c r="B24" s="63" t="s">
        <v>339</v>
      </c>
    </row>
    <row r="25">
      <c r="A25" s="64" t="s">
        <v>340</v>
      </c>
      <c r="B25" s="63" t="str">
        <f>"En effet, au pire tu gagnes 1,20% par an, en moyenne "&amp;ROUNDUP(AVERAGE(Associate!H3:H58),2)*100&amp;"% par an, au mieux, "&amp;ROUNDUP(MAX(Associate!H3:H58),2)*100&amp;"% par an."</f>
        <v>#DIV/0!</v>
      </c>
    </row>
    <row r="26">
      <c r="A26" s="64" t="s">
        <v>341</v>
      </c>
      <c r="B26" s="63" t="s">
        <v>342</v>
      </c>
    </row>
    <row r="27">
      <c r="A27" s="64" t="s">
        <v>343</v>
      </c>
      <c r="B27" s="63" t="s">
        <v>344</v>
      </c>
    </row>
    <row r="28">
      <c r="A28" s="64" t="s">
        <v>345</v>
      </c>
      <c r="B28" s="63" t="s">
        <v>346</v>
      </c>
    </row>
    <row r="29">
      <c r="A29" s="64" t="s">
        <v>347</v>
      </c>
      <c r="B29" s="63" t="str">
        <f>"Au pire des cas, c’est à dire 1,20% de rendement au bout d’un an, cela fait "&amp;90*1.2&amp;" € pour toi et "&amp;10*1.2&amp;" € pour ton association.&lt;br&gt;
Dans le cas courant, c’est à dire "&amp;ROUNDUP(AVERAGE(Associate!H3:H58),2)*100&amp;"% de rendement au bout d’un an, cela fait "&amp;9000*ROUNDUP(AVERAGE(Associate!H3:H58),2)&amp;" € pour toi et "&amp;1000*ROUNDUP(AVERAGE(Associate!H3:H58),2)&amp;" € pour ton association.&lt;br&gt;
Au meilleur des cas, c’est à dire "&amp;ROUNDUP(MAX(Associate!H3:H58),2)*100&amp;"% de rendement au bout d’un an, cela fait "&amp;9000*ROUNDUP(MAX(Associate!H3:H58),2)&amp;" € pour toi et "&amp;1000*ROUNDUP(MAX(Associate!H3:H58),2)&amp;" € pour ton association.&lt;br&gt;
Et dans les trois cas, 0 € pour moi."</f>
        <v>#DIV/0!</v>
      </c>
    </row>
    <row r="30">
      <c r="A30" s="64" t="s">
        <v>348</v>
      </c>
      <c r="B30" s="63" t="s">
        <v>349</v>
      </c>
    </row>
    <row r="31">
      <c r="A31" s="63" t="s">
        <v>350</v>
      </c>
      <c r="B31" s="64" t="str">
        <f>IFERROR(__xludf.DUMMYFUNCTION("""En toute transparence, au "" &amp; TO_TEXT(AllocationHistoric!A2) &amp; "", il est de &lt;b&gt;"" &amp; ROUND(SUMIFS(Dashboard!$B:$B,Dashboard!$A:$A,""Current monthly dividend""),2) &amp; "" €&lt;/b&gt; net d'impôt."""),"#REF!")</f>
        <v>#REF!</v>
      </c>
    </row>
    <row r="32">
      <c r="A32" s="64" t="s">
        <v>351</v>
      </c>
      <c r="B32" s="64" t="str">
        <f>IFERROR(__xludf.DUMMYFUNCTION("""En date du "" &amp; TO_TEXT(DateTime!$B$6)&amp;""/""&amp;TO_TEXT(DateTime!$B$5)&amp;""/""&amp;TO_TEXT(DateTime!$B$4) &amp; "", &lt;b&gt;"" &amp; COUNT(Associate!$A:$A)-1 &amp; "" personnes&lt;/b&gt;. Plus moi, "" &amp; COUNT(Associate!$A:$A) &amp; "" :-)"""),"En date du 3/3/2024, &lt;b&gt;-1 personnes&lt;/b&gt;. Plus moi, 0 :-)")</f>
        <v>En date du 3/3/2024, &lt;b&gt;-1 personnes&lt;/b&gt;. Plus moi, 0 :-)</v>
      </c>
    </row>
    <row r="33">
      <c r="A33" s="64" t="s">
        <v>352</v>
      </c>
      <c r="B33" s="67" t="s">
        <v>353</v>
      </c>
    </row>
    <row r="34">
      <c r="A34" s="64" t="s">
        <v>354</v>
      </c>
      <c r="B34" s="63" t="s">
        <v>355</v>
      </c>
    </row>
    <row r="35">
      <c r="A35" s="64" t="s">
        <v>356</v>
      </c>
      <c r="B35" s="64" t="s">
        <v>357</v>
      </c>
    </row>
    <row r="36">
      <c r="A36" s="64" t="s">
        <v>358</v>
      </c>
      <c r="B36" s="63" t="s">
        <v>359</v>
      </c>
    </row>
    <row r="37">
      <c r="A37" s="64" t="s">
        <v>360</v>
      </c>
      <c r="B37" s="64" t="s">
        <v>361</v>
      </c>
    </row>
    <row r="38">
      <c r="A38" s="64" t="s">
        <v>362</v>
      </c>
      <c r="B38" s="64" t="s">
        <v>363</v>
      </c>
    </row>
    <row r="39">
      <c r="A39" s="64" t="s">
        <v>364</v>
      </c>
      <c r="B39" s="63" t="s">
        <v>365</v>
      </c>
    </row>
    <row r="40">
      <c r="A40" s="64" t="s">
        <v>366</v>
      </c>
      <c r="B40" s="68" t="s">
        <v>367</v>
      </c>
    </row>
    <row r="41">
      <c r="A41" s="64" t="s">
        <v>368</v>
      </c>
      <c r="B41" s="63" t="s">
        <v>369</v>
      </c>
    </row>
    <row r="42">
      <c r="A42" s="64" t="s">
        <v>370</v>
      </c>
      <c r="B42" s="64" t="s">
        <v>371</v>
      </c>
    </row>
    <row r="43">
      <c r="A43" s="63" t="s">
        <v>372</v>
      </c>
      <c r="B43" s="63" t="s">
        <v>373</v>
      </c>
    </row>
    <row r="44">
      <c r="A44" s="64" t="s">
        <v>374</v>
      </c>
      <c r="B44" s="63" t="s">
        <v>375</v>
      </c>
    </row>
    <row r="45">
      <c r="A45" s="64" t="s">
        <v>376</v>
      </c>
      <c r="B45" s="63" t="s">
        <v>377</v>
      </c>
    </row>
    <row r="46">
      <c r="A46" s="63" t="s">
        <v>378</v>
      </c>
      <c r="B46" s="63" t="s">
        <v>379</v>
      </c>
    </row>
    <row r="47">
      <c r="A47" s="64" t="s">
        <v>380</v>
      </c>
      <c r="B47" s="64" t="s">
        <v>381</v>
      </c>
    </row>
    <row r="48">
      <c r="A48" s="64" t="s">
        <v>382</v>
      </c>
      <c r="B48" s="63" t="s">
        <v>383</v>
      </c>
    </row>
    <row r="49">
      <c r="A49" s="64" t="s">
        <v>384</v>
      </c>
      <c r="B49" s="69" t="s">
        <v>385</v>
      </c>
    </row>
    <row r="50">
      <c r="A50" s="64" t="s">
        <v>386</v>
      </c>
      <c r="B50" s="69" t="s">
        <v>387</v>
      </c>
    </row>
    <row r="51">
      <c r="A51" s="64" t="s">
        <v>388</v>
      </c>
      <c r="B51" s="70" t="s">
        <v>389</v>
      </c>
    </row>
    <row r="52">
      <c r="A52" s="63" t="s">
        <v>390</v>
      </c>
      <c r="B52" s="71" t="s">
        <v>391</v>
      </c>
    </row>
    <row r="53">
      <c r="A53" s="63" t="s">
        <v>392</v>
      </c>
      <c r="B53" s="71" t="s">
        <v>393</v>
      </c>
    </row>
    <row r="54">
      <c r="A54" s="64" t="s">
        <v>394</v>
      </c>
      <c r="B54" s="71" t="s">
        <v>395</v>
      </c>
    </row>
    <row r="55">
      <c r="A55" s="64" t="s">
        <v>396</v>
      </c>
      <c r="B55" s="63" t="s">
        <v>397</v>
      </c>
    </row>
    <row r="56">
      <c r="A56" s="63" t="s">
        <v>398</v>
      </c>
      <c r="B56" s="69" t="s">
        <v>399</v>
      </c>
    </row>
    <row r="57">
      <c r="A57" s="64" t="s">
        <v>400</v>
      </c>
      <c r="B57" s="63" t="s">
        <v>401</v>
      </c>
    </row>
    <row r="58">
      <c r="A58" s="64" t="s">
        <v>402</v>
      </c>
      <c r="B58" s="63" t="s">
        <v>403</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2" t="s">
        <v>404</v>
      </c>
      <c r="B1" s="73" t="s">
        <v>405</v>
      </c>
      <c r="C1" s="73" t="s">
        <v>406</v>
      </c>
      <c r="D1" s="73" t="s">
        <v>405</v>
      </c>
    </row>
    <row r="2">
      <c r="A2" s="74" t="s">
        <v>407</v>
      </c>
      <c r="B2" s="75"/>
      <c r="C2" s="75" t="s">
        <v>408</v>
      </c>
      <c r="D2" s="75"/>
    </row>
    <row r="3">
      <c r="A3" s="74" t="s">
        <v>409</v>
      </c>
      <c r="B3" s="75" t="s">
        <v>410</v>
      </c>
      <c r="C3" s="75" t="s">
        <v>411</v>
      </c>
      <c r="D3" s="75" t="s">
        <v>412</v>
      </c>
    </row>
    <row r="4">
      <c r="A4" s="74" t="s">
        <v>413</v>
      </c>
      <c r="B4" s="76" t="s">
        <v>414</v>
      </c>
      <c r="C4" s="76" t="s">
        <v>415</v>
      </c>
      <c r="D4" s="75" t="s">
        <v>416</v>
      </c>
    </row>
    <row r="5">
      <c r="A5" s="74" t="s">
        <v>417</v>
      </c>
      <c r="B5" s="76" t="s">
        <v>418</v>
      </c>
      <c r="C5" s="76" t="s">
        <v>419</v>
      </c>
      <c r="D5" s="75" t="s">
        <v>420</v>
      </c>
    </row>
    <row r="6">
      <c r="A6" s="74" t="s">
        <v>421</v>
      </c>
      <c r="B6" s="76" t="s">
        <v>422</v>
      </c>
      <c r="C6" s="76" t="s">
        <v>423</v>
      </c>
      <c r="D6" s="75" t="s">
        <v>424</v>
      </c>
    </row>
    <row r="7">
      <c r="A7" s="74" t="s">
        <v>425</v>
      </c>
      <c r="B7" s="76"/>
      <c r="C7" s="76" t="s">
        <v>426</v>
      </c>
      <c r="D7" s="75"/>
    </row>
    <row r="8">
      <c r="A8" s="74" t="s">
        <v>427</v>
      </c>
      <c r="B8" s="76"/>
      <c r="C8" s="76" t="s">
        <v>428</v>
      </c>
      <c r="D8" s="75"/>
    </row>
    <row r="9">
      <c r="A9" s="74" t="s">
        <v>429</v>
      </c>
      <c r="B9" s="76"/>
      <c r="C9" s="76" t="s">
        <v>430</v>
      </c>
      <c r="D9" s="75"/>
    </row>
    <row r="10">
      <c r="A10" s="74" t="s">
        <v>431</v>
      </c>
      <c r="B10" s="76"/>
      <c r="C10" s="76" t="s">
        <v>432</v>
      </c>
      <c r="D10" s="75"/>
    </row>
    <row r="11">
      <c r="A11" s="76" t="s">
        <v>433</v>
      </c>
      <c r="B11" s="76" t="s">
        <v>434</v>
      </c>
      <c r="C11" s="76" t="s">
        <v>435</v>
      </c>
      <c r="D11" s="75" t="s">
        <v>436</v>
      </c>
    </row>
    <row r="12">
      <c r="A12" s="76" t="s">
        <v>437</v>
      </c>
      <c r="B12" s="76"/>
      <c r="C12" s="76" t="s">
        <v>438</v>
      </c>
      <c r="D12" s="75" t="s">
        <v>439</v>
      </c>
    </row>
    <row r="13">
      <c r="A13" s="76" t="s">
        <v>440</v>
      </c>
      <c r="B13" s="76"/>
      <c r="C13" s="76" t="s">
        <v>441</v>
      </c>
      <c r="D13" s="75" t="s">
        <v>442</v>
      </c>
    </row>
    <row r="14">
      <c r="A14" s="76" t="s">
        <v>443</v>
      </c>
      <c r="B14" s="76"/>
      <c r="C14" s="76" t="s">
        <v>444</v>
      </c>
      <c r="D14" s="75" t="s">
        <v>445</v>
      </c>
    </row>
    <row r="15">
      <c r="A15" s="74" t="s">
        <v>15</v>
      </c>
      <c r="B15" s="76"/>
      <c r="C15" s="76" t="s">
        <v>446</v>
      </c>
      <c r="D15" s="75" t="s">
        <v>447</v>
      </c>
    </row>
    <row r="16">
      <c r="A16" s="74" t="s">
        <v>448</v>
      </c>
      <c r="B16" s="76"/>
      <c r="C16" s="76" t="s">
        <v>449</v>
      </c>
      <c r="D16" s="75" t="s">
        <v>450</v>
      </c>
    </row>
    <row r="17">
      <c r="A17" s="74" t="s">
        <v>451</v>
      </c>
      <c r="B17" s="76"/>
      <c r="C17" s="76" t="s">
        <v>452</v>
      </c>
      <c r="D17" s="75" t="s">
        <v>453</v>
      </c>
    </row>
    <row r="18">
      <c r="A18" s="74" t="s">
        <v>19</v>
      </c>
      <c r="B18" s="76"/>
      <c r="C18" s="76" t="s">
        <v>454</v>
      </c>
      <c r="D18" s="75" t="s">
        <v>455</v>
      </c>
    </row>
    <row r="19">
      <c r="A19" s="74" t="s">
        <v>20</v>
      </c>
      <c r="B19" s="76"/>
      <c r="C19" s="76" t="s">
        <v>456</v>
      </c>
      <c r="D19" s="75" t="s">
        <v>457</v>
      </c>
    </row>
    <row r="20">
      <c r="A20" s="74" t="s">
        <v>458</v>
      </c>
      <c r="B20" s="76"/>
      <c r="C20" s="76" t="s">
        <v>459</v>
      </c>
      <c r="D20" s="75" t="s">
        <v>460</v>
      </c>
    </row>
    <row r="21">
      <c r="A21" s="74" t="s">
        <v>22</v>
      </c>
      <c r="B21" s="76"/>
      <c r="C21" s="76" t="s">
        <v>461</v>
      </c>
      <c r="D21" s="75" t="s">
        <v>462</v>
      </c>
    </row>
    <row r="22">
      <c r="A22" s="74" t="s">
        <v>463</v>
      </c>
      <c r="B22" s="76" t="s">
        <v>464</v>
      </c>
      <c r="C22" s="76" t="s">
        <v>465</v>
      </c>
      <c r="D22" s="75" t="s">
        <v>466</v>
      </c>
    </row>
    <row r="23">
      <c r="A23" s="74" t="s">
        <v>467</v>
      </c>
      <c r="B23" s="76" t="s">
        <v>468</v>
      </c>
      <c r="C23" s="76" t="s">
        <v>469</v>
      </c>
      <c r="D23" s="76" t="s">
        <v>470</v>
      </c>
    </row>
    <row r="24">
      <c r="A24" s="74" t="s">
        <v>471</v>
      </c>
      <c r="B24" s="76" t="s">
        <v>472</v>
      </c>
      <c r="C24" s="76" t="s">
        <v>473</v>
      </c>
      <c r="D24" s="76" t="s">
        <v>474</v>
      </c>
    </row>
    <row r="25">
      <c r="A25" s="74" t="s">
        <v>475</v>
      </c>
      <c r="B25" s="75" t="s">
        <v>476</v>
      </c>
      <c r="C25" s="75" t="s">
        <v>477</v>
      </c>
      <c r="D25" s="75" t="s">
        <v>478</v>
      </c>
    </row>
    <row r="26">
      <c r="A26" s="74" t="s">
        <v>479</v>
      </c>
      <c r="B26" s="75" t="s">
        <v>480</v>
      </c>
      <c r="C26" s="75" t="s">
        <v>481</v>
      </c>
      <c r="D26" s="75" t="s">
        <v>482</v>
      </c>
    </row>
    <row r="27">
      <c r="A27" s="74" t="s">
        <v>61</v>
      </c>
      <c r="B27" s="75" t="s">
        <v>483</v>
      </c>
      <c r="C27" s="75" t="s">
        <v>484</v>
      </c>
      <c r="D27" s="75" t="s">
        <v>485</v>
      </c>
    </row>
    <row r="28">
      <c r="A28" s="74" t="s">
        <v>486</v>
      </c>
      <c r="B28" s="75" t="s">
        <v>487</v>
      </c>
      <c r="C28" s="75" t="s">
        <v>488</v>
      </c>
      <c r="D28" s="75" t="s">
        <v>489</v>
      </c>
    </row>
    <row r="29">
      <c r="A29" s="74" t="s">
        <v>62</v>
      </c>
      <c r="B29" s="75" t="s">
        <v>490</v>
      </c>
      <c r="C29" s="75" t="s">
        <v>491</v>
      </c>
      <c r="D29" s="75" t="s">
        <v>492</v>
      </c>
    </row>
    <row r="30">
      <c r="A30" s="74" t="s">
        <v>63</v>
      </c>
      <c r="B30" s="75" t="s">
        <v>493</v>
      </c>
      <c r="C30" s="75" t="s">
        <v>494</v>
      </c>
      <c r="D30" s="75" t="s">
        <v>495</v>
      </c>
    </row>
    <row r="31">
      <c r="A31" s="74" t="s">
        <v>64</v>
      </c>
      <c r="B31" s="75" t="s">
        <v>496</v>
      </c>
      <c r="C31" s="75" t="s">
        <v>497</v>
      </c>
      <c r="D31" s="77" t="s">
        <v>498</v>
      </c>
    </row>
    <row r="32">
      <c r="A32" s="74" t="s">
        <v>499</v>
      </c>
      <c r="B32" s="75"/>
      <c r="C32" s="75" t="s">
        <v>499</v>
      </c>
      <c r="D32" s="75"/>
    </row>
    <row r="33">
      <c r="A33" s="74" t="s">
        <v>500</v>
      </c>
      <c r="B33" s="75"/>
      <c r="C33" s="75" t="s">
        <v>501</v>
      </c>
      <c r="D33" s="75"/>
    </row>
    <row r="34">
      <c r="A34" s="74" t="s">
        <v>502</v>
      </c>
      <c r="B34" s="75"/>
      <c r="C34" s="75" t="s">
        <v>503</v>
      </c>
      <c r="D34" s="75"/>
    </row>
    <row r="35">
      <c r="A35" s="74" t="s">
        <v>504</v>
      </c>
      <c r="B35" s="75"/>
      <c r="C35" s="75" t="s">
        <v>505</v>
      </c>
      <c r="D35" s="75"/>
    </row>
    <row r="36">
      <c r="A36" s="74" t="s">
        <v>506</v>
      </c>
      <c r="B36" s="75"/>
      <c r="C36" s="75" t="s">
        <v>507</v>
      </c>
      <c r="D36" s="75"/>
    </row>
    <row r="37">
      <c r="A37" s="74" t="s">
        <v>508</v>
      </c>
      <c r="B37" s="75"/>
      <c r="C37" s="75" t="s">
        <v>509</v>
      </c>
      <c r="D37" s="78"/>
    </row>
    <row r="38">
      <c r="A38" s="74" t="s">
        <v>13</v>
      </c>
      <c r="B38" s="75"/>
      <c r="C38" s="75" t="s">
        <v>510</v>
      </c>
      <c r="D38" s="78"/>
    </row>
    <row r="39">
      <c r="A39" s="74" t="s">
        <v>511</v>
      </c>
      <c r="B39" s="75"/>
      <c r="C39" s="75" t="s">
        <v>512</v>
      </c>
      <c r="D39" s="78"/>
    </row>
    <row r="40">
      <c r="A40" s="74" t="s">
        <v>513</v>
      </c>
      <c r="B40" s="75"/>
      <c r="C40" s="75" t="s">
        <v>514</v>
      </c>
      <c r="D40" s="78"/>
    </row>
    <row r="41">
      <c r="A41" s="74" t="s">
        <v>515</v>
      </c>
      <c r="B41" s="75" t="s">
        <v>516</v>
      </c>
      <c r="C41" s="75" t="s">
        <v>515</v>
      </c>
      <c r="D41" s="75" t="s">
        <v>517</v>
      </c>
    </row>
    <row r="42">
      <c r="A42" s="74" t="s">
        <v>518</v>
      </c>
      <c r="B42" s="75" t="s">
        <v>519</v>
      </c>
      <c r="C42" s="75" t="s">
        <v>520</v>
      </c>
      <c r="D42" s="75" t="s">
        <v>521</v>
      </c>
    </row>
    <row r="43">
      <c r="A43" s="74" t="s">
        <v>522</v>
      </c>
      <c r="B43" s="75" t="s">
        <v>523</v>
      </c>
      <c r="C43" s="75" t="s">
        <v>524</v>
      </c>
      <c r="D43" s="75" t="s">
        <v>525</v>
      </c>
    </row>
    <row r="44">
      <c r="A44" s="74" t="s">
        <v>526</v>
      </c>
      <c r="B44" s="75" t="s">
        <v>527</v>
      </c>
      <c r="C44" s="74" t="s">
        <v>526</v>
      </c>
      <c r="D44" s="75" t="s">
        <v>528</v>
      </c>
    </row>
    <row r="45">
      <c r="A45" s="74" t="s">
        <v>529</v>
      </c>
      <c r="B45" s="75" t="s">
        <v>530</v>
      </c>
      <c r="C45" s="75" t="s">
        <v>529</v>
      </c>
      <c r="D45" s="75" t="s">
        <v>531</v>
      </c>
    </row>
    <row r="46">
      <c r="A46" s="74" t="s">
        <v>532</v>
      </c>
      <c r="B46" s="75" t="s">
        <v>533</v>
      </c>
      <c r="C46" s="75" t="s">
        <v>534</v>
      </c>
      <c r="D46" s="75" t="s">
        <v>535</v>
      </c>
    </row>
    <row r="47">
      <c r="A47" s="74" t="s">
        <v>536</v>
      </c>
      <c r="B47" s="75" t="s">
        <v>537</v>
      </c>
      <c r="C47" s="75" t="s">
        <v>538</v>
      </c>
      <c r="D47" s="75" t="s">
        <v>539</v>
      </c>
    </row>
    <row r="48">
      <c r="A48" s="74" t="s">
        <v>1</v>
      </c>
      <c r="B48" s="75" t="s">
        <v>540</v>
      </c>
      <c r="C48" s="75" t="s">
        <v>1</v>
      </c>
      <c r="D48" s="75" t="s">
        <v>541</v>
      </c>
    </row>
    <row r="49">
      <c r="A49" s="74" t="s">
        <v>71</v>
      </c>
      <c r="B49" s="74" t="s">
        <v>542</v>
      </c>
      <c r="C49" s="74" t="s">
        <v>543</v>
      </c>
      <c r="D49" s="74" t="s">
        <v>544</v>
      </c>
    </row>
    <row r="50">
      <c r="A50" s="74" t="s">
        <v>545</v>
      </c>
      <c r="B50" s="75" t="s">
        <v>546</v>
      </c>
      <c r="C50" s="75" t="s">
        <v>547</v>
      </c>
      <c r="D50" s="75" t="s">
        <v>548</v>
      </c>
    </row>
    <row r="51">
      <c r="A51" s="74" t="s">
        <v>18</v>
      </c>
      <c r="B51" s="75" t="s">
        <v>549</v>
      </c>
      <c r="C51" s="75" t="s">
        <v>550</v>
      </c>
      <c r="D51" s="75" t="s">
        <v>551</v>
      </c>
    </row>
    <row r="52">
      <c r="A52" s="74" t="s">
        <v>552</v>
      </c>
      <c r="B52" s="75" t="s">
        <v>553</v>
      </c>
      <c r="C52" s="75" t="s">
        <v>554</v>
      </c>
      <c r="D52" s="75" t="s">
        <v>555</v>
      </c>
    </row>
    <row r="53">
      <c r="A53" s="74" t="s">
        <v>556</v>
      </c>
      <c r="B53" s="75" t="s">
        <v>557</v>
      </c>
      <c r="C53" s="75" t="s">
        <v>558</v>
      </c>
      <c r="D53" s="75" t="s">
        <v>559</v>
      </c>
    </row>
    <row r="54">
      <c r="A54" s="74" t="s">
        <v>560</v>
      </c>
      <c r="B54" s="75" t="s">
        <v>561</v>
      </c>
      <c r="C54" s="75" t="s">
        <v>562</v>
      </c>
      <c r="D54" s="75" t="s">
        <v>563</v>
      </c>
    </row>
    <row r="55">
      <c r="A55" s="74" t="s">
        <v>564</v>
      </c>
      <c r="B55" s="75" t="s">
        <v>565</v>
      </c>
      <c r="C55" s="75" t="s">
        <v>566</v>
      </c>
      <c r="D55" s="75" t="s">
        <v>567</v>
      </c>
    </row>
    <row r="56">
      <c r="A56" s="74" t="s">
        <v>568</v>
      </c>
      <c r="B56" s="75" t="s">
        <v>569</v>
      </c>
      <c r="C56" s="75" t="s">
        <v>570</v>
      </c>
      <c r="D56" s="75" t="s">
        <v>571</v>
      </c>
    </row>
    <row r="57">
      <c r="A57" s="74" t="s">
        <v>572</v>
      </c>
      <c r="B57" s="75" t="s">
        <v>573</v>
      </c>
      <c r="C57" s="75" t="s">
        <v>574</v>
      </c>
      <c r="D57" s="75" t="s">
        <v>575</v>
      </c>
    </row>
    <row r="58">
      <c r="A58" s="74" t="s">
        <v>576</v>
      </c>
      <c r="B58" s="75" t="s">
        <v>577</v>
      </c>
      <c r="C58" s="75" t="s">
        <v>578</v>
      </c>
      <c r="D58" s="75" t="s">
        <v>579</v>
      </c>
    </row>
    <row r="59">
      <c r="A59" s="74" t="s">
        <v>580</v>
      </c>
      <c r="B59" s="75" t="s">
        <v>581</v>
      </c>
      <c r="C59" s="75" t="s">
        <v>582</v>
      </c>
      <c r="D59" s="75" t="s">
        <v>583</v>
      </c>
    </row>
    <row r="60">
      <c r="A60" s="74" t="s">
        <v>584</v>
      </c>
      <c r="B60" s="75" t="s">
        <v>585</v>
      </c>
      <c r="C60" s="75" t="s">
        <v>586</v>
      </c>
      <c r="D60" s="75" t="s">
        <v>587</v>
      </c>
    </row>
    <row r="61">
      <c r="A61" s="74" t="s">
        <v>588</v>
      </c>
      <c r="B61" s="75" t="s">
        <v>589</v>
      </c>
      <c r="C61" s="75" t="s">
        <v>590</v>
      </c>
      <c r="D61" s="75" t="s">
        <v>591</v>
      </c>
    </row>
    <row r="62">
      <c r="A62" s="74" t="s">
        <v>592</v>
      </c>
      <c r="B62" s="75" t="s">
        <v>593</v>
      </c>
      <c r="C62" s="75" t="s">
        <v>592</v>
      </c>
      <c r="D62" s="75" t="s">
        <v>594</v>
      </c>
    </row>
    <row r="63">
      <c r="A63" s="74" t="s">
        <v>17</v>
      </c>
      <c r="B63" s="75" t="s">
        <v>595</v>
      </c>
      <c r="C63" s="75" t="s">
        <v>17</v>
      </c>
      <c r="D63" s="75" t="s">
        <v>596</v>
      </c>
    </row>
    <row r="64">
      <c r="A64" s="74" t="s">
        <v>597</v>
      </c>
      <c r="B64" s="75"/>
      <c r="C64" s="75" t="s">
        <v>598</v>
      </c>
      <c r="D64" s="75"/>
    </row>
    <row r="65">
      <c r="A65" s="74" t="s">
        <v>599</v>
      </c>
      <c r="B65" s="77"/>
      <c r="C65" s="77" t="s">
        <v>600</v>
      </c>
      <c r="D65" s="75"/>
    </row>
    <row r="66">
      <c r="A66" s="74" t="s">
        <v>601</v>
      </c>
      <c r="B66" s="77"/>
      <c r="C66" s="77" t="s">
        <v>602</v>
      </c>
      <c r="D66" s="75"/>
    </row>
    <row r="67">
      <c r="A67" s="74" t="s">
        <v>603</v>
      </c>
      <c r="B67" s="77"/>
      <c r="C67" s="77" t="s">
        <v>604</v>
      </c>
      <c r="D67" s="75"/>
    </row>
    <row r="68">
      <c r="A68" s="74" t="s">
        <v>605</v>
      </c>
      <c r="B68" s="77"/>
      <c r="C68" s="77" t="s">
        <v>606</v>
      </c>
      <c r="D68" s="75"/>
    </row>
    <row r="69">
      <c r="A69" s="74" t="s">
        <v>607</v>
      </c>
      <c r="B69" s="75"/>
      <c r="C69" s="75" t="s">
        <v>608</v>
      </c>
      <c r="D69" s="75"/>
    </row>
    <row r="70">
      <c r="A70" s="74" t="s">
        <v>609</v>
      </c>
      <c r="B70" s="75" t="s">
        <v>610</v>
      </c>
      <c r="C70" s="75" t="s">
        <v>611</v>
      </c>
      <c r="D70" s="75" t="s">
        <v>612</v>
      </c>
    </row>
    <row r="71">
      <c r="A71" s="74" t="s">
        <v>613</v>
      </c>
      <c r="B71" s="75" t="s">
        <v>614</v>
      </c>
      <c r="C71" s="75" t="s">
        <v>615</v>
      </c>
      <c r="D71" s="75" t="s">
        <v>616</v>
      </c>
    </row>
    <row r="72">
      <c r="A72" s="74" t="s">
        <v>617</v>
      </c>
      <c r="B72" s="75" t="s">
        <v>618</v>
      </c>
      <c r="C72" s="75" t="s">
        <v>619</v>
      </c>
      <c r="D72" s="75" t="s">
        <v>620</v>
      </c>
    </row>
    <row r="73">
      <c r="A73" s="74" t="s">
        <v>621</v>
      </c>
      <c r="B73" s="75" t="s">
        <v>622</v>
      </c>
      <c r="C73" s="75" t="s">
        <v>623</v>
      </c>
      <c r="D73" s="75" t="s">
        <v>624</v>
      </c>
    </row>
    <row r="74">
      <c r="A74" s="74" t="s">
        <v>625</v>
      </c>
      <c r="B74" s="75" t="s">
        <v>626</v>
      </c>
      <c r="C74" s="75" t="s">
        <v>627</v>
      </c>
      <c r="D74" s="75" t="s">
        <v>628</v>
      </c>
    </row>
    <row r="75">
      <c r="A75" s="74" t="s">
        <v>629</v>
      </c>
      <c r="B75" s="75" t="s">
        <v>630</v>
      </c>
      <c r="C75" s="75" t="s">
        <v>631</v>
      </c>
      <c r="D75" s="75" t="s">
        <v>632</v>
      </c>
    </row>
    <row r="76">
      <c r="A76" s="74" t="s">
        <v>633</v>
      </c>
      <c r="B76" s="75" t="s">
        <v>634</v>
      </c>
      <c r="C76" s="75" t="s">
        <v>635</v>
      </c>
      <c r="D76" s="75" t="s">
        <v>636</v>
      </c>
    </row>
    <row r="77">
      <c r="A77" s="74" t="s">
        <v>637</v>
      </c>
      <c r="B77" s="75" t="s">
        <v>638</v>
      </c>
      <c r="C77" s="75" t="s">
        <v>639</v>
      </c>
      <c r="D77" s="75" t="s">
        <v>640</v>
      </c>
    </row>
    <row r="78">
      <c r="A78" s="74" t="s">
        <v>641</v>
      </c>
      <c r="B78" s="75" t="s">
        <v>642</v>
      </c>
      <c r="C78" s="75" t="s">
        <v>643</v>
      </c>
      <c r="D78" s="75" t="s">
        <v>644</v>
      </c>
    </row>
    <row r="79">
      <c r="A79" s="74" t="s">
        <v>645</v>
      </c>
      <c r="B79" s="75" t="s">
        <v>646</v>
      </c>
      <c r="C79" s="79" t="s">
        <v>647</v>
      </c>
      <c r="D79" s="75" t="s">
        <v>648</v>
      </c>
    </row>
    <row r="80">
      <c r="A80" s="74" t="s">
        <v>649</v>
      </c>
      <c r="B80" s="74" t="s">
        <v>650</v>
      </c>
      <c r="C80" s="74" t="s">
        <v>651</v>
      </c>
      <c r="D80" s="74" t="s">
        <v>652</v>
      </c>
    </row>
    <row r="81">
      <c r="A81" s="74" t="s">
        <v>653</v>
      </c>
      <c r="B81" s="74" t="s">
        <v>650</v>
      </c>
      <c r="C81" s="75" t="s">
        <v>654</v>
      </c>
      <c r="D81" s="74" t="s">
        <v>652</v>
      </c>
    </row>
    <row r="82">
      <c r="A82" s="74" t="s">
        <v>655</v>
      </c>
      <c r="B82" s="75" t="s">
        <v>656</v>
      </c>
      <c r="C82" s="75" t="s">
        <v>657</v>
      </c>
      <c r="D82" s="75" t="s">
        <v>658</v>
      </c>
    </row>
    <row r="83">
      <c r="A83" s="74" t="s">
        <v>659</v>
      </c>
      <c r="B83" s="75" t="s">
        <v>660</v>
      </c>
      <c r="C83" s="75" t="s">
        <v>661</v>
      </c>
      <c r="D83" s="75" t="s">
        <v>662</v>
      </c>
    </row>
    <row r="84">
      <c r="A84" s="74" t="s">
        <v>663</v>
      </c>
      <c r="B84" s="75" t="s">
        <v>664</v>
      </c>
      <c r="C84" s="75" t="s">
        <v>665</v>
      </c>
      <c r="D84" s="75" t="s">
        <v>666</v>
      </c>
    </row>
    <row r="85">
      <c r="A85" s="74" t="s">
        <v>667</v>
      </c>
      <c r="B85" s="75" t="s">
        <v>668</v>
      </c>
      <c r="C85" s="75" t="s">
        <v>669</v>
      </c>
      <c r="D85" s="75" t="s">
        <v>670</v>
      </c>
    </row>
    <row r="86">
      <c r="A86" s="74" t="s">
        <v>671</v>
      </c>
      <c r="B86" s="75" t="s">
        <v>668</v>
      </c>
      <c r="C86" s="75" t="s">
        <v>672</v>
      </c>
      <c r="D86" s="75" t="s">
        <v>670</v>
      </c>
    </row>
    <row r="87">
      <c r="A87" s="74" t="s">
        <v>673</v>
      </c>
      <c r="B87" s="74" t="s">
        <v>673</v>
      </c>
      <c r="C87" s="75" t="s">
        <v>674</v>
      </c>
      <c r="D87" s="75" t="s">
        <v>674</v>
      </c>
    </row>
    <row r="88">
      <c r="A88" s="74" t="s">
        <v>675</v>
      </c>
      <c r="B88" s="74" t="s">
        <v>675</v>
      </c>
      <c r="C88" s="75" t="s">
        <v>676</v>
      </c>
      <c r="D88" s="75" t="s">
        <v>676</v>
      </c>
    </row>
    <row r="89">
      <c r="A89" s="74" t="s">
        <v>677</v>
      </c>
      <c r="B89" s="74" t="s">
        <v>677</v>
      </c>
      <c r="C89" s="75" t="s">
        <v>678</v>
      </c>
      <c r="D89" s="75" t="s">
        <v>678</v>
      </c>
    </row>
    <row r="90">
      <c r="A90" s="74" t="s">
        <v>679</v>
      </c>
      <c r="B90" s="75" t="s">
        <v>680</v>
      </c>
      <c r="C90" s="75" t="s">
        <v>681</v>
      </c>
      <c r="D90" s="75" t="s">
        <v>682</v>
      </c>
    </row>
    <row r="91">
      <c r="A91" s="74" t="s">
        <v>683</v>
      </c>
      <c r="B91" s="75"/>
      <c r="C91" s="75" t="s">
        <v>684</v>
      </c>
      <c r="D91" s="75"/>
    </row>
    <row r="92">
      <c r="A92" s="74" t="s">
        <v>685</v>
      </c>
      <c r="B92" s="75"/>
      <c r="C92" s="75" t="s">
        <v>686</v>
      </c>
      <c r="D92" s="75"/>
    </row>
    <row r="93">
      <c r="A93" s="74" t="s">
        <v>687</v>
      </c>
      <c r="B93" s="75"/>
      <c r="C93" s="75" t="s">
        <v>688</v>
      </c>
      <c r="D93" s="75"/>
    </row>
    <row r="94">
      <c r="A94" s="74" t="s">
        <v>689</v>
      </c>
      <c r="B94" s="75"/>
      <c r="C94" s="75" t="s">
        <v>690</v>
      </c>
      <c r="D94" s="75"/>
    </row>
    <row r="95">
      <c r="A95" s="74" t="s">
        <v>691</v>
      </c>
      <c r="B95" s="75"/>
      <c r="C95" s="75" t="s">
        <v>692</v>
      </c>
      <c r="D95" s="75"/>
    </row>
    <row r="96">
      <c r="A96" s="74" t="s">
        <v>693</v>
      </c>
      <c r="B96" s="75"/>
      <c r="C96" s="75" t="s">
        <v>694</v>
      </c>
      <c r="D96" s="75"/>
    </row>
    <row r="97">
      <c r="A97" s="74" t="s">
        <v>695</v>
      </c>
      <c r="B97" s="74"/>
      <c r="C97" s="74" t="s">
        <v>696</v>
      </c>
      <c r="D97" s="75"/>
    </row>
    <row r="98">
      <c r="A98" s="74" t="s">
        <v>697</v>
      </c>
      <c r="B98" s="74"/>
      <c r="C98" s="74" t="s">
        <v>698</v>
      </c>
      <c r="D98" s="75"/>
    </row>
    <row r="99">
      <c r="A99" s="74" t="s">
        <v>699</v>
      </c>
      <c r="B99" s="74" t="s">
        <v>700</v>
      </c>
      <c r="C99" s="74" t="s">
        <v>701</v>
      </c>
      <c r="D99" s="75" t="s">
        <v>702</v>
      </c>
    </row>
    <row r="100">
      <c r="A100" s="74" t="s">
        <v>703</v>
      </c>
      <c r="B100" s="74" t="s">
        <v>700</v>
      </c>
      <c r="C100" s="75" t="s">
        <v>704</v>
      </c>
      <c r="D100" s="75" t="s">
        <v>702</v>
      </c>
    </row>
    <row r="101">
      <c r="A101" s="74" t="s">
        <v>705</v>
      </c>
      <c r="B101" s="74" t="s">
        <v>700</v>
      </c>
      <c r="C101" s="75" t="s">
        <v>706</v>
      </c>
      <c r="D101" s="75" t="s">
        <v>702</v>
      </c>
    </row>
    <row r="102">
      <c r="A102" s="74" t="s">
        <v>707</v>
      </c>
      <c r="B102" s="75"/>
      <c r="C102" s="75" t="s">
        <v>708</v>
      </c>
      <c r="D102" s="75"/>
    </row>
    <row r="103">
      <c r="A103" s="74" t="s">
        <v>709</v>
      </c>
      <c r="B103" s="75"/>
      <c r="C103" s="75" t="s">
        <v>710</v>
      </c>
      <c r="D103" s="75"/>
    </row>
    <row r="104">
      <c r="A104" s="74" t="s">
        <v>711</v>
      </c>
      <c r="B104" s="75" t="s">
        <v>712</v>
      </c>
      <c r="C104" s="75" t="s">
        <v>713</v>
      </c>
      <c r="D104" s="75" t="s">
        <v>714</v>
      </c>
    </row>
    <row r="105">
      <c r="A105" s="74" t="s">
        <v>715</v>
      </c>
      <c r="B105" s="75" t="s">
        <v>716</v>
      </c>
      <c r="C105" s="75" t="s">
        <v>717</v>
      </c>
      <c r="D105" s="75" t="s">
        <v>718</v>
      </c>
    </row>
    <row r="106">
      <c r="A106" s="74" t="s">
        <v>719</v>
      </c>
      <c r="B106" s="75"/>
      <c r="C106" s="75" t="s">
        <v>720</v>
      </c>
      <c r="D106" s="75"/>
    </row>
    <row r="107">
      <c r="A107" s="74" t="s">
        <v>721</v>
      </c>
      <c r="B107" s="75"/>
      <c r="C107" s="75" t="s">
        <v>722</v>
      </c>
      <c r="D107" s="75"/>
    </row>
    <row r="108">
      <c r="A108" s="74" t="s">
        <v>723</v>
      </c>
      <c r="B108" s="75"/>
      <c r="C108" s="75" t="s">
        <v>724</v>
      </c>
      <c r="D108" s="75"/>
    </row>
    <row r="109">
      <c r="A109" s="74" t="s">
        <v>725</v>
      </c>
      <c r="B109" s="75"/>
      <c r="C109" s="75" t="s">
        <v>726</v>
      </c>
      <c r="D109" s="75"/>
    </row>
    <row r="110">
      <c r="A110" s="74" t="s">
        <v>727</v>
      </c>
      <c r="B110" s="75"/>
      <c r="C110" s="75" t="s">
        <v>728</v>
      </c>
      <c r="D110" s="75"/>
    </row>
    <row r="111">
      <c r="A111" s="74" t="s">
        <v>729</v>
      </c>
      <c r="B111" s="74"/>
      <c r="C111" s="74" t="s">
        <v>730</v>
      </c>
      <c r="D111" s="75"/>
    </row>
    <row r="112">
      <c r="A112" s="74" t="s">
        <v>731</v>
      </c>
      <c r="B112" s="74"/>
      <c r="C112" s="74" t="s">
        <v>732</v>
      </c>
      <c r="D112" s="75"/>
    </row>
    <row r="113">
      <c r="A113" s="74" t="s">
        <v>733</v>
      </c>
      <c r="B113" s="74"/>
      <c r="C113" s="74" t="s">
        <v>465</v>
      </c>
      <c r="D113" s="75"/>
    </row>
    <row r="114">
      <c r="A114" s="74" t="s">
        <v>734</v>
      </c>
      <c r="B114" s="74"/>
      <c r="C114" s="74" t="s">
        <v>735</v>
      </c>
      <c r="D114" s="75"/>
    </row>
    <row r="115">
      <c r="A115" s="74" t="s">
        <v>736</v>
      </c>
      <c r="B115" s="74"/>
      <c r="C115" s="74" t="s">
        <v>737</v>
      </c>
      <c r="D115" s="75"/>
    </row>
    <row r="116">
      <c r="A116" s="74" t="s">
        <v>738</v>
      </c>
      <c r="B116" s="74"/>
      <c r="C116" s="74" t="s">
        <v>739</v>
      </c>
      <c r="D116" s="75"/>
    </row>
    <row r="117">
      <c r="A117" s="74" t="s">
        <v>740</v>
      </c>
      <c r="B117" s="74" t="s">
        <v>741</v>
      </c>
      <c r="C117" s="74" t="s">
        <v>24</v>
      </c>
      <c r="D117" s="75" t="s">
        <v>742</v>
      </c>
    </row>
    <row r="118">
      <c r="A118" s="74" t="s">
        <v>743</v>
      </c>
      <c r="B118" s="74" t="s">
        <v>744</v>
      </c>
      <c r="C118" s="74" t="s">
        <v>740</v>
      </c>
      <c r="D118" s="75" t="s">
        <v>745</v>
      </c>
    </row>
    <row r="119">
      <c r="A119" s="74" t="s">
        <v>746</v>
      </c>
      <c r="B119" s="74"/>
      <c r="C119" s="74" t="s">
        <v>747</v>
      </c>
      <c r="D119" s="75"/>
    </row>
    <row r="120">
      <c r="A120" s="74" t="s">
        <v>748</v>
      </c>
      <c r="B120" s="74"/>
      <c r="C120" s="74" t="s">
        <v>749</v>
      </c>
      <c r="D120" s="75"/>
    </row>
    <row r="121">
      <c r="A121" s="74" t="s">
        <v>750</v>
      </c>
      <c r="B121" s="74"/>
      <c r="C121" s="75" t="s">
        <v>751</v>
      </c>
      <c r="D121" s="75" t="s">
        <v>752</v>
      </c>
    </row>
    <row r="122">
      <c r="A122" s="74" t="s">
        <v>753</v>
      </c>
      <c r="B122" s="74"/>
      <c r="C122" s="74" t="s">
        <v>754</v>
      </c>
      <c r="D122" s="75" t="s">
        <v>755</v>
      </c>
    </row>
    <row r="123">
      <c r="A123" s="74" t="s">
        <v>756</v>
      </c>
      <c r="B123" s="74"/>
      <c r="C123" s="74" t="s">
        <v>757</v>
      </c>
      <c r="D123" s="75" t="s">
        <v>758</v>
      </c>
    </row>
    <row r="124">
      <c r="A124" s="74" t="s">
        <v>759</v>
      </c>
      <c r="B124" s="74"/>
      <c r="C124" s="75" t="s">
        <v>760</v>
      </c>
      <c r="D124" s="80" t="s">
        <v>761</v>
      </c>
    </row>
    <row r="125">
      <c r="A125" s="74" t="s">
        <v>762</v>
      </c>
      <c r="B125" s="74"/>
      <c r="C125" s="75" t="s">
        <v>763</v>
      </c>
      <c r="D125" s="80" t="s">
        <v>764</v>
      </c>
    </row>
    <row r="126">
      <c r="A126" s="74" t="s">
        <v>765</v>
      </c>
      <c r="B126" s="81"/>
      <c r="C126" s="71" t="s">
        <v>766</v>
      </c>
      <c r="D126" s="82" t="s">
        <v>767</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71</v>
      </c>
      <c r="C1" s="83" t="s">
        <v>768</v>
      </c>
      <c r="D1" s="83" t="s">
        <v>18</v>
      </c>
      <c r="E1" s="83" t="s">
        <v>552</v>
      </c>
      <c r="F1" s="83" t="s">
        <v>560</v>
      </c>
      <c r="G1" s="83" t="s">
        <v>568</v>
      </c>
      <c r="H1" s="83" t="s">
        <v>572</v>
      </c>
      <c r="I1" s="83" t="s">
        <v>576</v>
      </c>
      <c r="J1" s="83" t="s">
        <v>580</v>
      </c>
      <c r="K1" s="83" t="s">
        <v>584</v>
      </c>
      <c r="L1" s="83" t="s">
        <v>769</v>
      </c>
      <c r="M1" s="83" t="s">
        <v>770</v>
      </c>
      <c r="N1" s="83" t="s">
        <v>17</v>
      </c>
      <c r="O1" s="83" t="s">
        <v>771</v>
      </c>
    </row>
    <row r="2">
      <c r="A2" s="84">
        <f t="array" ref="A2">IF(ROW()=2,DateTime!$B$1,EOMONTH(INDEX($A:$A,ROW()-1)-1,-1)+1)</f>
        <v>45354.78046</v>
      </c>
      <c r="B2" s="85">
        <f t="array" ref="B2">SUMIFS(TransactionsView!$D:$D,TransactionsView!$A:$A,"&gt;"&amp;EOMONTH($A2,-2),TransactionsView!$A:$A,"&lt;"&amp;$A2,TransactionsView!$C:$C,$O2,TransactionsView!$D:$D,"&gt;0")+SUMIFS(TransactionsView!$D:$D,TransactionsView!$A:$A,"&gt;="&amp;$A2,TransactionsView!$A:$A,"&lt;="&amp;EOMONTH($A2,0),TransactionsView!$C:$C,$O2,TransactionsView!$E:$E,"&lt;=0",TransactionsView!$D:$D,"&lt;0")+INDEX($C:$C,ROW()+1)</f>
        <v>0</v>
      </c>
      <c r="C2" s="85">
        <f>MAX($B2+IF($B2&gt;0,SUMIFS(Historic!$G:$G,Historic!$D:$D,"BUY",Historic!$A:$A,"&gt;"&amp;MAX(EOMONTH($A2,-2),MAXIFS(TransactionsView!$A:$A,TransactionsView!$A:$A,"&gt;"&amp;EOMONTH($A2,-2),TransactionsView!$A:$A,"&lt;"&amp;$A2,TransactionsView!$C:$C,$O2,TransactionsView!$D:$D,"&gt;0")),Historic!$A:$A,"&lt;"&amp;$A2),0),0)</f>
        <v>0</v>
      </c>
      <c r="D2" s="85">
        <f>$B2-$C2</f>
        <v>0</v>
      </c>
      <c r="E2" s="85">
        <f t="array" ref="E2">INDEX($E:$E,ROW()+1)+$D2</f>
        <v>0</v>
      </c>
      <c r="F2" s="86">
        <v>0.0</v>
      </c>
      <c r="G2" s="87">
        <f>IF($E2&lt;&gt;0,J2/AVERAGEIF(E2:E24,"&lt;&gt;0"),0)</f>
        <v>0</v>
      </c>
      <c r="H2" s="87">
        <f t="array" ref="H2">IF(INDEX($A:$A,ROW()+1),$G2/(ROWS($A2:$A24)-1)*12,0)</f>
        <v>0</v>
      </c>
      <c r="I2" s="88">
        <v>0.0</v>
      </c>
      <c r="J2" s="85">
        <f>SUM(OFFSET($I:$I,ROW()-1,0))</f>
        <v>-992.49</v>
      </c>
      <c r="K2" s="88">
        <v>0.0</v>
      </c>
      <c r="L2" s="88">
        <v>0.0</v>
      </c>
      <c r="M2" s="88">
        <v>0.0</v>
      </c>
      <c r="N2" s="89">
        <f>MIN($L2,$M2)</f>
        <v>0</v>
      </c>
      <c r="O2" s="90" t="s">
        <v>772</v>
      </c>
    </row>
    <row r="3">
      <c r="A3" s="91">
        <v>45261.0</v>
      </c>
      <c r="B3" s="88">
        <v>0.0</v>
      </c>
      <c r="C3" s="88">
        <v>0.0</v>
      </c>
      <c r="D3" s="88">
        <v>0.0</v>
      </c>
      <c r="E3" s="88">
        <v>0.0</v>
      </c>
      <c r="F3" s="86">
        <v>0.0</v>
      </c>
      <c r="G3" s="86">
        <v>0.0</v>
      </c>
      <c r="H3" s="86">
        <v>0.0</v>
      </c>
      <c r="I3" s="88">
        <v>0.0</v>
      </c>
      <c r="J3" s="88">
        <v>-992.4900000000016</v>
      </c>
      <c r="K3" s="88">
        <v>0.0</v>
      </c>
      <c r="L3" s="88">
        <v>0.0</v>
      </c>
      <c r="M3" s="88">
        <v>0.0</v>
      </c>
      <c r="N3" s="92">
        <v>0.0</v>
      </c>
      <c r="O3" s="90" t="s">
        <v>772</v>
      </c>
    </row>
    <row r="4">
      <c r="A4" s="91">
        <v>45231.0</v>
      </c>
      <c r="B4" s="88">
        <v>0.0</v>
      </c>
      <c r="C4" s="88">
        <v>0.0</v>
      </c>
      <c r="D4" s="88">
        <v>0.0</v>
      </c>
      <c r="E4" s="88">
        <v>0.0</v>
      </c>
      <c r="F4" s="86">
        <v>0.0</v>
      </c>
      <c r="G4" s="86">
        <v>0.0</v>
      </c>
      <c r="H4" s="86">
        <v>0.0</v>
      </c>
      <c r="I4" s="88">
        <v>0.0</v>
      </c>
      <c r="J4" s="88">
        <v>-992.4900000000016</v>
      </c>
      <c r="K4" s="88">
        <v>0.0</v>
      </c>
      <c r="L4" s="88">
        <v>0.0</v>
      </c>
      <c r="M4" s="88">
        <v>0.0</v>
      </c>
      <c r="N4" s="92">
        <v>0.0</v>
      </c>
      <c r="O4" s="90" t="s">
        <v>772</v>
      </c>
    </row>
    <row r="5">
      <c r="A5" s="91">
        <v>45200.0</v>
      </c>
      <c r="B5" s="88">
        <v>0.0</v>
      </c>
      <c r="C5" s="88">
        <v>0.0</v>
      </c>
      <c r="D5" s="88">
        <v>0.0</v>
      </c>
      <c r="E5" s="88">
        <v>0.0</v>
      </c>
      <c r="F5" s="86">
        <v>0.0</v>
      </c>
      <c r="G5" s="86">
        <v>0.0</v>
      </c>
      <c r="H5" s="86">
        <v>0.0</v>
      </c>
      <c r="I5" s="88">
        <v>0.0</v>
      </c>
      <c r="J5" s="88">
        <v>-992.4900000000016</v>
      </c>
      <c r="K5" s="88">
        <v>0.0</v>
      </c>
      <c r="L5" s="88">
        <v>0.0</v>
      </c>
      <c r="M5" s="88">
        <v>0.0</v>
      </c>
      <c r="N5" s="92">
        <v>0.0</v>
      </c>
      <c r="O5" s="90" t="s">
        <v>772</v>
      </c>
    </row>
    <row r="6">
      <c r="A6" s="91">
        <v>45170.0</v>
      </c>
      <c r="B6" s="88">
        <v>0.0</v>
      </c>
      <c r="C6" s="88">
        <v>0.0</v>
      </c>
      <c r="D6" s="88">
        <v>0.0</v>
      </c>
      <c r="E6" s="88">
        <v>0.0</v>
      </c>
      <c r="F6" s="86">
        <v>0.0</v>
      </c>
      <c r="G6" s="86">
        <v>0.0</v>
      </c>
      <c r="H6" s="86">
        <v>0.0</v>
      </c>
      <c r="I6" s="88">
        <v>0.0</v>
      </c>
      <c r="J6" s="88">
        <v>-992.4900000000016</v>
      </c>
      <c r="K6" s="88">
        <v>0.0</v>
      </c>
      <c r="L6" s="88">
        <v>0.0</v>
      </c>
      <c r="M6" s="88">
        <v>0.0</v>
      </c>
      <c r="N6" s="92">
        <v>0.0</v>
      </c>
      <c r="O6" s="90" t="s">
        <v>772</v>
      </c>
    </row>
    <row r="7">
      <c r="A7" s="91">
        <v>45139.0</v>
      </c>
      <c r="B7" s="88">
        <v>0.0</v>
      </c>
      <c r="C7" s="88">
        <v>0.0</v>
      </c>
      <c r="D7" s="88">
        <v>0.0</v>
      </c>
      <c r="E7" s="88">
        <v>0.0</v>
      </c>
      <c r="F7" s="86">
        <v>0.0</v>
      </c>
      <c r="G7" s="86">
        <v>0.0</v>
      </c>
      <c r="H7" s="86">
        <v>0.0</v>
      </c>
      <c r="I7" s="88">
        <v>0.0</v>
      </c>
      <c r="J7" s="88">
        <v>-992.4900000000016</v>
      </c>
      <c r="K7" s="88">
        <v>0.0</v>
      </c>
      <c r="L7" s="88">
        <v>0.0</v>
      </c>
      <c r="M7" s="88">
        <v>0.0</v>
      </c>
      <c r="N7" s="92">
        <v>0.0</v>
      </c>
      <c r="O7" s="90" t="s">
        <v>772</v>
      </c>
    </row>
    <row r="8">
      <c r="A8" s="91">
        <v>45108.0</v>
      </c>
      <c r="B8" s="88">
        <v>0.0</v>
      </c>
      <c r="C8" s="88">
        <v>0.0</v>
      </c>
      <c r="D8" s="88">
        <v>0.0</v>
      </c>
      <c r="E8" s="88">
        <v>0.0</v>
      </c>
      <c r="F8" s="86">
        <v>0.0</v>
      </c>
      <c r="G8" s="86">
        <v>0.0</v>
      </c>
      <c r="H8" s="86">
        <v>0.0</v>
      </c>
      <c r="I8" s="88">
        <v>0.0</v>
      </c>
      <c r="J8" s="88">
        <v>-992.4900000000016</v>
      </c>
      <c r="K8" s="88">
        <v>0.0</v>
      </c>
      <c r="L8" s="88">
        <v>0.0</v>
      </c>
      <c r="M8" s="88">
        <v>0.0</v>
      </c>
      <c r="N8" s="92">
        <v>0.0</v>
      </c>
      <c r="O8" s="90" t="s">
        <v>772</v>
      </c>
    </row>
    <row r="9">
      <c r="A9" s="91">
        <v>45078.0</v>
      </c>
      <c r="B9" s="88">
        <v>0.0</v>
      </c>
      <c r="C9" s="88">
        <v>0.0</v>
      </c>
      <c r="D9" s="88">
        <v>0.0</v>
      </c>
      <c r="E9" s="88">
        <v>0.0</v>
      </c>
      <c r="F9" s="86">
        <v>0.0</v>
      </c>
      <c r="G9" s="86">
        <v>0.0</v>
      </c>
      <c r="H9" s="86">
        <v>0.0</v>
      </c>
      <c r="I9" s="88">
        <v>0.0</v>
      </c>
      <c r="J9" s="88">
        <v>-992.4900000000016</v>
      </c>
      <c r="K9" s="88">
        <v>0.0</v>
      </c>
      <c r="L9" s="88">
        <v>0.0</v>
      </c>
      <c r="M9" s="88">
        <v>0.0</v>
      </c>
      <c r="N9" s="92">
        <v>0.0</v>
      </c>
      <c r="O9" s="90" t="s">
        <v>772</v>
      </c>
    </row>
    <row r="10">
      <c r="A10" s="91">
        <v>45047.0</v>
      </c>
      <c r="B10" s="88">
        <v>0.0</v>
      </c>
      <c r="C10" s="88">
        <v>0.0</v>
      </c>
      <c r="D10" s="88">
        <v>0.0</v>
      </c>
      <c r="E10" s="88">
        <v>0.0</v>
      </c>
      <c r="F10" s="86">
        <v>0.0</v>
      </c>
      <c r="G10" s="86">
        <v>0.0</v>
      </c>
      <c r="H10" s="86">
        <v>0.0</v>
      </c>
      <c r="I10" s="88">
        <v>0.0</v>
      </c>
      <c r="J10" s="88">
        <v>-992.4900000000016</v>
      </c>
      <c r="K10" s="88">
        <v>0.0</v>
      </c>
      <c r="L10" s="88">
        <v>0.0</v>
      </c>
      <c r="M10" s="88">
        <v>0.0</v>
      </c>
      <c r="N10" s="92">
        <v>0.0</v>
      </c>
      <c r="O10" s="90" t="s">
        <v>772</v>
      </c>
    </row>
    <row r="11">
      <c r="A11" s="91">
        <v>45017.0</v>
      </c>
      <c r="B11" s="88">
        <v>0.0</v>
      </c>
      <c r="C11" s="88">
        <v>0.0</v>
      </c>
      <c r="D11" s="88">
        <v>0.0</v>
      </c>
      <c r="E11" s="88">
        <v>0.0</v>
      </c>
      <c r="F11" s="86">
        <v>0.0</v>
      </c>
      <c r="G11" s="86">
        <v>0.0</v>
      </c>
      <c r="H11" s="86">
        <v>0.0</v>
      </c>
      <c r="I11" s="88">
        <v>0.0</v>
      </c>
      <c r="J11" s="88">
        <v>-992.4900000000016</v>
      </c>
      <c r="K11" s="88">
        <v>0.0</v>
      </c>
      <c r="L11" s="88">
        <v>0.0</v>
      </c>
      <c r="M11" s="88">
        <v>0.0</v>
      </c>
      <c r="N11" s="92">
        <v>0.0</v>
      </c>
      <c r="O11" s="90" t="s">
        <v>772</v>
      </c>
    </row>
    <row r="12">
      <c r="A12" s="91">
        <v>44986.0</v>
      </c>
      <c r="B12" s="88">
        <v>0.0</v>
      </c>
      <c r="C12" s="88">
        <v>0.0</v>
      </c>
      <c r="D12" s="88">
        <v>0.0</v>
      </c>
      <c r="E12" s="88">
        <v>0.0</v>
      </c>
      <c r="F12" s="86">
        <v>0.0</v>
      </c>
      <c r="G12" s="86">
        <v>0.0</v>
      </c>
      <c r="H12" s="86">
        <v>0.0</v>
      </c>
      <c r="I12" s="88">
        <v>0.0</v>
      </c>
      <c r="J12" s="88">
        <v>-992.4900000000016</v>
      </c>
      <c r="K12" s="88">
        <v>0.0</v>
      </c>
      <c r="L12" s="88">
        <v>0.0</v>
      </c>
      <c r="M12" s="88">
        <v>0.0</v>
      </c>
      <c r="N12" s="92">
        <v>0.0</v>
      </c>
      <c r="O12" s="90" t="s">
        <v>772</v>
      </c>
    </row>
    <row r="13">
      <c r="A13" s="91">
        <v>44958.0</v>
      </c>
      <c r="B13" s="88">
        <v>0.0</v>
      </c>
      <c r="C13" s="88">
        <v>0.0</v>
      </c>
      <c r="D13" s="88">
        <v>0.0</v>
      </c>
      <c r="E13" s="88">
        <v>0.0</v>
      </c>
      <c r="F13" s="86">
        <v>0.0</v>
      </c>
      <c r="G13" s="86">
        <v>0.0</v>
      </c>
      <c r="H13" s="86">
        <v>0.0</v>
      </c>
      <c r="I13" s="88">
        <v>0.0</v>
      </c>
      <c r="J13" s="88">
        <v>-992.4900000000016</v>
      </c>
      <c r="K13" s="88">
        <v>0.0</v>
      </c>
      <c r="L13" s="88">
        <v>0.0</v>
      </c>
      <c r="M13" s="88">
        <v>0.0</v>
      </c>
      <c r="N13" s="92">
        <v>0.0</v>
      </c>
      <c r="O13" s="90" t="s">
        <v>772</v>
      </c>
    </row>
    <row r="14">
      <c r="A14" s="91">
        <v>44927.0</v>
      </c>
      <c r="B14" s="88">
        <v>0.0</v>
      </c>
      <c r="C14" s="88">
        <v>0.0</v>
      </c>
      <c r="D14" s="88">
        <v>0.0</v>
      </c>
      <c r="E14" s="88">
        <v>0.0</v>
      </c>
      <c r="F14" s="86">
        <v>0.0</v>
      </c>
      <c r="G14" s="86">
        <v>0.0</v>
      </c>
      <c r="H14" s="86">
        <v>0.0</v>
      </c>
      <c r="I14" s="88">
        <v>0.0</v>
      </c>
      <c r="J14" s="88">
        <v>-992.4900000000016</v>
      </c>
      <c r="K14" s="88">
        <v>0.0</v>
      </c>
      <c r="L14" s="88">
        <v>0.0</v>
      </c>
      <c r="M14" s="88">
        <v>0.0</v>
      </c>
      <c r="N14" s="92">
        <v>0.0</v>
      </c>
      <c r="O14" s="90" t="s">
        <v>772</v>
      </c>
    </row>
    <row r="15">
      <c r="A15" s="91">
        <v>44896.0</v>
      </c>
      <c r="B15" s="88">
        <v>0.0</v>
      </c>
      <c r="C15" s="88">
        <v>0.0</v>
      </c>
      <c r="D15" s="88">
        <v>0.0</v>
      </c>
      <c r="E15" s="88">
        <v>0.0</v>
      </c>
      <c r="F15" s="86">
        <v>0.0</v>
      </c>
      <c r="G15" s="86">
        <v>0.0</v>
      </c>
      <c r="H15" s="86">
        <v>0.0</v>
      </c>
      <c r="I15" s="88">
        <v>0.0</v>
      </c>
      <c r="J15" s="88">
        <v>-992.4900000000016</v>
      </c>
      <c r="K15" s="88">
        <v>0.0</v>
      </c>
      <c r="L15" s="88">
        <v>0.0</v>
      </c>
      <c r="M15" s="88">
        <v>0.0</v>
      </c>
      <c r="N15" s="92">
        <v>0.0</v>
      </c>
      <c r="O15" s="90" t="s">
        <v>772</v>
      </c>
    </row>
    <row r="16">
      <c r="A16" s="84">
        <v>44866.0</v>
      </c>
      <c r="B16" s="85">
        <v>-23958.6</v>
      </c>
      <c r="C16" s="85">
        <v>0.0</v>
      </c>
      <c r="D16" s="85">
        <v>-23958.6</v>
      </c>
      <c r="E16" s="88">
        <v>0.0</v>
      </c>
      <c r="F16" s="87">
        <v>0.0026639846153845427</v>
      </c>
      <c r="G16" s="87">
        <v>-0.031171413705505687</v>
      </c>
      <c r="H16" s="87">
        <v>-0.04675712055825853</v>
      </c>
      <c r="I16" s="88">
        <f>66.5996153846136-16.5</f>
        <v>50.09961538</v>
      </c>
      <c r="J16" s="85">
        <v>-975.9900000000016</v>
      </c>
      <c r="K16" s="88">
        <v>0.0</v>
      </c>
      <c r="L16" s="88">
        <v>14177.01</v>
      </c>
      <c r="M16" s="88">
        <v>9830.49795</v>
      </c>
      <c r="N16" s="89">
        <v>24007.51</v>
      </c>
      <c r="O16" s="90" t="s">
        <v>772</v>
      </c>
    </row>
    <row r="17">
      <c r="A17" s="84">
        <v>44835.0</v>
      </c>
      <c r="B17" s="85">
        <v>0.0</v>
      </c>
      <c r="C17" s="85">
        <v>0.0</v>
      </c>
      <c r="D17" s="85">
        <v>0.0</v>
      </c>
      <c r="E17" s="85">
        <v>25000.0</v>
      </c>
      <c r="F17" s="87">
        <v>-0.013846936032388622</v>
      </c>
      <c r="G17" s="87">
        <v>-0.04114279422401047</v>
      </c>
      <c r="H17" s="87">
        <v>-0.07053050438401795</v>
      </c>
      <c r="I17" s="88">
        <v>-346.17340080971553</v>
      </c>
      <c r="J17" s="85">
        <v>-1042.5896153846152</v>
      </c>
      <c r="K17" s="88">
        <v>0.0</v>
      </c>
      <c r="L17" s="85">
        <v>13812.045</v>
      </c>
      <c r="M17" s="88">
        <v>10128.865384615385</v>
      </c>
      <c r="N17" s="89">
        <v>23940.910384615385</v>
      </c>
      <c r="O17" s="90" t="s">
        <v>772</v>
      </c>
    </row>
    <row r="18">
      <c r="A18" s="84">
        <v>44805.0</v>
      </c>
      <c r="B18" s="85">
        <v>0.0</v>
      </c>
      <c r="C18" s="85">
        <v>0.0</v>
      </c>
      <c r="D18" s="85">
        <v>0.0</v>
      </c>
      <c r="E18" s="85">
        <v>25000.0</v>
      </c>
      <c r="F18" s="87">
        <v>-0.034456648582995984</v>
      </c>
      <c r="G18" s="87">
        <v>-0.02742060430529293</v>
      </c>
      <c r="H18" s="87">
        <v>-0.05484120861058586</v>
      </c>
      <c r="I18" s="88">
        <v>-861.4162145748996</v>
      </c>
      <c r="J18" s="88">
        <v>-696.4162145748996</v>
      </c>
      <c r="K18" s="88">
        <v>0.0</v>
      </c>
      <c r="L18" s="85">
        <v>14651.715</v>
      </c>
      <c r="M18" s="88">
        <v>9635.368785425102</v>
      </c>
      <c r="N18" s="89">
        <v>24287.0837854251</v>
      </c>
      <c r="O18" s="90" t="s">
        <v>772</v>
      </c>
    </row>
    <row r="19">
      <c r="A19" s="93">
        <v>44774.0</v>
      </c>
      <c r="B19" s="94">
        <v>-10000.0</v>
      </c>
      <c r="C19" s="95">
        <v>0.0</v>
      </c>
      <c r="D19" s="94">
        <v>-10000.0</v>
      </c>
      <c r="E19" s="95">
        <v>25000.0</v>
      </c>
      <c r="F19" s="96">
        <v>-0.017598140054812684</v>
      </c>
      <c r="G19" s="96">
        <v>0.006615331692731073</v>
      </c>
      <c r="H19" s="96">
        <v>0.015876796062554575</v>
      </c>
      <c r="I19" s="95">
        <v>35.0</v>
      </c>
      <c r="J19" s="95">
        <v>165.0</v>
      </c>
      <c r="K19" s="95">
        <v>-16.5</v>
      </c>
      <c r="L19" s="94">
        <v>25148.5</v>
      </c>
      <c r="M19" s="94">
        <v>0.0</v>
      </c>
      <c r="N19" s="97">
        <v>25148.5</v>
      </c>
      <c r="O19" s="98" t="s">
        <v>772</v>
      </c>
    </row>
    <row r="20">
      <c r="A20" s="93">
        <v>44743.0</v>
      </c>
      <c r="B20" s="95">
        <v>12538.23</v>
      </c>
      <c r="C20" s="95">
        <v>0.0</v>
      </c>
      <c r="D20" s="95">
        <v>12538.23</v>
      </c>
      <c r="E20" s="95">
        <v>35000.0</v>
      </c>
      <c r="F20" s="96">
        <v>-0.05315432864464901</v>
      </c>
      <c r="G20" s="96">
        <v>0.004570968237533294</v>
      </c>
      <c r="H20" s="96">
        <v>0.013712904712599883</v>
      </c>
      <c r="I20" s="95">
        <v>35.0</v>
      </c>
      <c r="J20" s="95">
        <v>130.0</v>
      </c>
      <c r="K20" s="95">
        <v>-13.0</v>
      </c>
      <c r="L20" s="95">
        <v>35130.0</v>
      </c>
      <c r="M20" s="94">
        <v>0.0</v>
      </c>
      <c r="N20" s="99">
        <v>35117.0</v>
      </c>
      <c r="O20" s="98" t="s">
        <v>772</v>
      </c>
    </row>
    <row r="21">
      <c r="A21" s="93">
        <v>44713.0</v>
      </c>
      <c r="B21" s="95">
        <v>12538.23</v>
      </c>
      <c r="C21" s="95">
        <v>12538.23</v>
      </c>
      <c r="D21" s="95">
        <v>0.0</v>
      </c>
      <c r="E21" s="95">
        <v>22461.77</v>
      </c>
      <c r="F21" s="96">
        <v>-0.1232628332688067</v>
      </c>
      <c r="G21" s="96">
        <v>0.003806467611412636</v>
      </c>
      <c r="H21" s="96">
        <v>0.015225870445650543</v>
      </c>
      <c r="I21" s="95">
        <v>35.0</v>
      </c>
      <c r="J21" s="95">
        <v>95.0</v>
      </c>
      <c r="K21" s="95">
        <v>-9.5</v>
      </c>
      <c r="L21" s="95">
        <v>22556.77</v>
      </c>
      <c r="M21" s="94">
        <v>0.0</v>
      </c>
      <c r="N21" s="99">
        <v>22547.27</v>
      </c>
      <c r="O21" s="98" t="s">
        <v>772</v>
      </c>
    </row>
    <row r="22">
      <c r="A22" s="93">
        <v>44682.0</v>
      </c>
      <c r="B22" s="95">
        <v>12538.23</v>
      </c>
      <c r="C22" s="95">
        <v>12538.23</v>
      </c>
      <c r="D22" s="95">
        <v>0.0</v>
      </c>
      <c r="E22" s="95">
        <v>22461.77</v>
      </c>
      <c r="F22" s="96">
        <v>-0.09031398034276159</v>
      </c>
      <c r="G22" s="96">
        <v>0.0024040848072079805</v>
      </c>
      <c r="H22" s="96">
        <v>0.014424508843247884</v>
      </c>
      <c r="I22" s="95">
        <v>35.0</v>
      </c>
      <c r="J22" s="95">
        <v>60.0</v>
      </c>
      <c r="K22" s="95">
        <v>-6.0</v>
      </c>
      <c r="L22" s="95">
        <v>22521.77</v>
      </c>
      <c r="M22" s="94">
        <v>0.0</v>
      </c>
      <c r="N22" s="99">
        <v>22515.77</v>
      </c>
      <c r="O22" s="98" t="s">
        <v>772</v>
      </c>
    </row>
    <row r="23">
      <c r="A23" s="93">
        <v>44652.0</v>
      </c>
      <c r="B23" s="95">
        <v>35000.0</v>
      </c>
      <c r="C23" s="95">
        <v>12538.23</v>
      </c>
      <c r="D23" s="95">
        <v>22461.77</v>
      </c>
      <c r="E23" s="95">
        <v>22461.77</v>
      </c>
      <c r="F23" s="96">
        <v>-0.014442065533848804</v>
      </c>
      <c r="G23" s="96">
        <v>0.0010017020030033252</v>
      </c>
      <c r="H23" s="96">
        <v>0.012020424036039902</v>
      </c>
      <c r="I23" s="95">
        <v>25.0</v>
      </c>
      <c r="J23" s="95">
        <v>25.0</v>
      </c>
      <c r="K23" s="95">
        <v>-2.5</v>
      </c>
      <c r="L23" s="95">
        <v>22486.77</v>
      </c>
      <c r="M23" s="94">
        <v>0.0</v>
      </c>
      <c r="N23" s="99">
        <v>22484.27</v>
      </c>
      <c r="O23" s="98" t="s">
        <v>772</v>
      </c>
    </row>
    <row r="24">
      <c r="A24" s="93">
        <v>44621.0</v>
      </c>
      <c r="B24" s="95">
        <v>25000.0</v>
      </c>
      <c r="C24" s="95">
        <v>25000.0</v>
      </c>
      <c r="D24" s="95">
        <v>0.0</v>
      </c>
      <c r="E24" s="95">
        <v>0.0</v>
      </c>
      <c r="F24" s="96">
        <v>0.0</v>
      </c>
      <c r="G24" s="96">
        <v>0.0</v>
      </c>
      <c r="H24" s="96">
        <v>0.0</v>
      </c>
      <c r="I24" s="95">
        <v>0.0</v>
      </c>
      <c r="J24" s="95">
        <v>0.0</v>
      </c>
      <c r="K24" s="95">
        <v>0.0</v>
      </c>
      <c r="L24" s="95">
        <v>0.0</v>
      </c>
      <c r="M24" s="95">
        <v>0.0</v>
      </c>
      <c r="N24" s="99">
        <v>0.0</v>
      </c>
      <c r="O24" s="98" t="s">
        <v>772</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137000</v>
      </c>
      <c r="D2" s="96">
        <f t="array" ref="D2">IF(AND(INDEX($A:$A,ROW()+1),$I2&lt;&gt;0),$G2/$I2,0)</f>
        <v>0.06611130322</v>
      </c>
      <c r="E2" s="96">
        <f>IF($C2&lt;&gt;0,H2/AVERAGEIF(C2:C22,"&lt;&gt;0"),0)</f>
        <v>2.810047885</v>
      </c>
      <c r="F2" s="96">
        <f>$E2/MAX(1,(($A2-MINIFS(TransactionsView!$A:$A,TransactionsView!$B:$B,$J2))/365.25))</f>
        <v>1.708394424</v>
      </c>
      <c r="G2" s="95">
        <f t="array" ref="G2">INDEX($H:$H,ROW())-IF(INDEX($H:$H,ROW()+1),INDEX($H:$H,ROW()+1),0)</f>
        <v>34508.55065</v>
      </c>
      <c r="H2" s="95">
        <f>I2-C2</f>
        <v>384976.5603</v>
      </c>
      <c r="I2" s="99">
        <f t="array" ref="I2">IF(MAXIFS(Portfolio!$H:$H,Portfolio!$A:$A,$J2),MAXIFS(Portfolio!$H:$H,Portfolio!$A:$A,$J2),INDEX(I:I,ROW()+1))</f>
        <v>521976.5603</v>
      </c>
      <c r="J2" s="100">
        <v>1.0</v>
      </c>
    </row>
    <row r="3">
      <c r="A3" s="93">
        <v>45352.0</v>
      </c>
      <c r="B3" s="95">
        <v>0.0</v>
      </c>
      <c r="C3" s="95">
        <v>137000.0</v>
      </c>
      <c r="D3" s="96">
        <v>-0.034419249353458886</v>
      </c>
      <c r="E3" s="96">
        <v>2.558160654201952</v>
      </c>
      <c r="F3" s="96">
        <v>1.562488593557296</v>
      </c>
      <c r="G3" s="95">
        <v>-16778.282975140144</v>
      </c>
      <c r="H3" s="95">
        <v>350468.0096256675</v>
      </c>
      <c r="I3" s="97">
        <v>487468.0096256675</v>
      </c>
      <c r="J3" s="100">
        <v>1.0</v>
      </c>
    </row>
    <row r="4">
      <c r="A4" s="93">
        <v>45323.0</v>
      </c>
      <c r="B4" s="95">
        <v>0.0</v>
      </c>
      <c r="C4" s="95">
        <v>137000.0</v>
      </c>
      <c r="D4" s="96">
        <v>0.31776139516704566</v>
      </c>
      <c r="E4" s="96">
        <v>2.680629872998596</v>
      </c>
      <c r="F4" s="96">
        <v>1.7207382444863568</v>
      </c>
      <c r="G4" s="95">
        <v>160230.00544464297</v>
      </c>
      <c r="H4" s="95">
        <v>367246.2926008076</v>
      </c>
      <c r="I4" s="97">
        <v>504246.2926008076</v>
      </c>
      <c r="J4" s="100">
        <v>1.0</v>
      </c>
    </row>
    <row r="5">
      <c r="A5" s="93">
        <v>45292.0</v>
      </c>
      <c r="B5" s="95">
        <v>0.0</v>
      </c>
      <c r="C5" s="95">
        <v>137000.0</v>
      </c>
      <c r="D5" s="96">
        <v>0.5108047402019927</v>
      </c>
      <c r="E5" s="96">
        <v>1.5110677894610558</v>
      </c>
      <c r="F5" s="96">
        <v>1.0258689778822503</v>
      </c>
      <c r="G5" s="95">
        <v>175725.1501860588</v>
      </c>
      <c r="H5" s="95">
        <v>207016.28715616465</v>
      </c>
      <c r="I5" s="97">
        <v>344016.28715616465</v>
      </c>
      <c r="J5" s="100">
        <v>1.0</v>
      </c>
    </row>
    <row r="6">
      <c r="A6" s="93">
        <v>45261.0</v>
      </c>
      <c r="B6" s="95">
        <v>0.0</v>
      </c>
      <c r="C6" s="95">
        <v>137000.0</v>
      </c>
      <c r="D6" s="96">
        <v>0.2823219631102822</v>
      </c>
      <c r="E6" s="96">
        <v>0.22840245963580907</v>
      </c>
      <c r="F6" s="96">
        <v>0.16454437550686246</v>
      </c>
      <c r="G6" s="95">
        <v>47512.28416346166</v>
      </c>
      <c r="H6" s="95">
        <v>31291.136970105843</v>
      </c>
      <c r="I6" s="97">
        <v>168291.13697010584</v>
      </c>
      <c r="J6" s="100">
        <v>1.0</v>
      </c>
    </row>
    <row r="7">
      <c r="A7" s="93">
        <v>45231.0</v>
      </c>
      <c r="B7" s="95">
        <v>0.0</v>
      </c>
      <c r="C7" s="95">
        <v>137000.0</v>
      </c>
      <c r="D7" s="96">
        <v>0.5940619451542629</v>
      </c>
      <c r="E7" s="96">
        <v>-0.11840253425807168</v>
      </c>
      <c r="F7" s="96">
        <v>-0.09066357576050457</v>
      </c>
      <c r="G7" s="95">
        <v>71750.12023181545</v>
      </c>
      <c r="H7" s="95">
        <v>-16221.14719335582</v>
      </c>
      <c r="I7" s="97">
        <v>120778.85280664418</v>
      </c>
      <c r="J7" s="100">
        <v>1.0</v>
      </c>
    </row>
    <row r="8">
      <c r="A8" s="93">
        <v>45200.0</v>
      </c>
      <c r="B8" s="95">
        <v>0.0</v>
      </c>
      <c r="C8" s="95">
        <v>137000.0</v>
      </c>
      <c r="D8" s="96">
        <v>-3.5043492926295103</v>
      </c>
      <c r="E8" s="96">
        <v>-0.6421260395997903</v>
      </c>
      <c r="F8" s="96">
        <v>-0.5258666725646265</v>
      </c>
      <c r="G8" s="95">
        <v>-171813.80431712244</v>
      </c>
      <c r="H8" s="95">
        <v>-87971.26742517127</v>
      </c>
      <c r="I8" s="97">
        <v>49028.73257482872</v>
      </c>
      <c r="J8" s="100">
        <v>1.0</v>
      </c>
    </row>
    <row r="9">
      <c r="A9" s="93">
        <v>45170.0</v>
      </c>
      <c r="B9" s="95">
        <v>0.0</v>
      </c>
      <c r="C9" s="95">
        <v>137000.0</v>
      </c>
      <c r="D9" s="96">
        <v>0.7623989524088242</v>
      </c>
      <c r="E9" s="96">
        <v>0.6119893203792056</v>
      </c>
      <c r="F9" s="96">
        <v>0.5373295655492905</v>
      </c>
      <c r="G9" s="95">
        <v>168370.11877373068</v>
      </c>
      <c r="H9" s="95">
        <v>83842.53689195117</v>
      </c>
      <c r="I9" s="97">
        <v>220842.53689195117</v>
      </c>
      <c r="J9" s="100">
        <v>1.0</v>
      </c>
    </row>
    <row r="10">
      <c r="A10" s="93">
        <v>45139.0</v>
      </c>
      <c r="B10" s="95">
        <v>0.0</v>
      </c>
      <c r="C10" s="95">
        <v>137000.0</v>
      </c>
      <c r="D10" s="96">
        <v>0.34642018837747507</v>
      </c>
      <c r="E10" s="96">
        <v>-0.6169896487721132</v>
      </c>
      <c r="F10" s="96">
        <v>-0.5853388810753619</v>
      </c>
      <c r="G10" s="95">
        <v>18177.50496913558</v>
      </c>
      <c r="H10" s="95">
        <v>-84527.58188177951</v>
      </c>
      <c r="I10" s="97">
        <v>52472.4181182205</v>
      </c>
      <c r="J10" s="100">
        <v>1.0</v>
      </c>
    </row>
    <row r="11">
      <c r="A11" s="93">
        <v>45108.0</v>
      </c>
      <c r="B11" s="95">
        <v>0.0</v>
      </c>
      <c r="C11" s="95">
        <v>137000.0</v>
      </c>
      <c r="D11" s="96">
        <v>-0.20790063968388775</v>
      </c>
      <c r="E11" s="96">
        <v>-0.7496721667950007</v>
      </c>
      <c r="F11" s="96">
        <v>-0.7496721667950007</v>
      </c>
      <c r="G11" s="95">
        <v>-7129.9343815981265</v>
      </c>
      <c r="H11" s="95">
        <v>-102705.08685091509</v>
      </c>
      <c r="I11" s="97">
        <v>34294.91314908491</v>
      </c>
      <c r="J11" s="100">
        <v>1.0</v>
      </c>
    </row>
    <row r="12">
      <c r="A12" s="93">
        <v>45078.0</v>
      </c>
      <c r="B12" s="95">
        <v>0.0</v>
      </c>
      <c r="C12" s="95">
        <v>137000.0</v>
      </c>
      <c r="D12" s="96">
        <v>-0.1285299190188655</v>
      </c>
      <c r="E12" s="96">
        <v>-0.6976288501409997</v>
      </c>
      <c r="F12" s="96">
        <v>-0.6976288501409997</v>
      </c>
      <c r="G12" s="95">
        <v>-5324.332298487541</v>
      </c>
      <c r="H12" s="95">
        <v>-95575.15246931696</v>
      </c>
      <c r="I12" s="97">
        <v>41424.84753068304</v>
      </c>
      <c r="J12" s="100">
        <v>1.0</v>
      </c>
    </row>
    <row r="13">
      <c r="A13" s="93">
        <v>45047.0</v>
      </c>
      <c r="B13" s="95">
        <v>0.0</v>
      </c>
      <c r="C13" s="95">
        <v>137000.0</v>
      </c>
      <c r="D13" s="96">
        <v>0.1429211759246725</v>
      </c>
      <c r="E13" s="96">
        <v>-0.6587651107359812</v>
      </c>
      <c r="F13" s="96">
        <v>-0.6587651107359812</v>
      </c>
      <c r="G13" s="95">
        <v>6681.447754699038</v>
      </c>
      <c r="H13" s="95">
        <v>-90250.82017082942</v>
      </c>
      <c r="I13" s="97">
        <v>46749.17982917058</v>
      </c>
      <c r="J13" s="100">
        <v>1.0</v>
      </c>
    </row>
    <row r="14">
      <c r="A14" s="93">
        <v>45017.0</v>
      </c>
      <c r="B14" s="95">
        <v>0.0</v>
      </c>
      <c r="C14" s="95">
        <v>137000.0</v>
      </c>
      <c r="D14" s="96">
        <v>-0.0961805304519333</v>
      </c>
      <c r="E14" s="96">
        <v>-0.7075348023761201</v>
      </c>
      <c r="F14" s="96">
        <v>-0.7075348023761201</v>
      </c>
      <c r="G14" s="95">
        <v>-3853.735724928614</v>
      </c>
      <c r="H14" s="95">
        <v>-96932.26792552846</v>
      </c>
      <c r="I14" s="97">
        <v>40067.73207447154</v>
      </c>
      <c r="J14" s="100">
        <v>1.0</v>
      </c>
    </row>
    <row r="15">
      <c r="A15" s="93">
        <v>44986.0</v>
      </c>
      <c r="B15" s="95">
        <v>0.0</v>
      </c>
      <c r="C15" s="95">
        <v>137000.0</v>
      </c>
      <c r="D15" s="96">
        <v>-0.09731227885571012</v>
      </c>
      <c r="E15" s="96">
        <v>-0.6794053445299258</v>
      </c>
      <c r="F15" s="96">
        <v>-0.6794053445299258</v>
      </c>
      <c r="G15" s="95">
        <v>-4274.09812224732</v>
      </c>
      <c r="H15" s="95">
        <v>-93078.53220059985</v>
      </c>
      <c r="I15" s="97">
        <v>43921.467799400154</v>
      </c>
      <c r="J15" s="100">
        <v>1.0</v>
      </c>
    </row>
    <row r="16">
      <c r="A16" s="93">
        <v>44958.0</v>
      </c>
      <c r="B16" s="95">
        <v>0.0</v>
      </c>
      <c r="C16" s="95">
        <v>137000.0</v>
      </c>
      <c r="D16" s="96">
        <v>0.2044488895987005</v>
      </c>
      <c r="E16" s="96">
        <v>-0.6482075480171717</v>
      </c>
      <c r="F16" s="96">
        <v>-0.6482075480171717</v>
      </c>
      <c r="G16" s="95">
        <v>9853.529936261795</v>
      </c>
      <c r="H16" s="95">
        <v>-88804.43407835253</v>
      </c>
      <c r="I16" s="97">
        <v>48195.56592164747</v>
      </c>
      <c r="J16" s="100">
        <v>1.0</v>
      </c>
    </row>
    <row r="17">
      <c r="A17" s="93">
        <v>44927.0</v>
      </c>
      <c r="B17" s="95">
        <v>0.0</v>
      </c>
      <c r="C17" s="95">
        <v>137000.0</v>
      </c>
      <c r="D17" s="96">
        <v>0.22419360659870724</v>
      </c>
      <c r="E17" s="96">
        <v>-0.7201311241942652</v>
      </c>
      <c r="F17" s="96">
        <v>-0.7201311241942652</v>
      </c>
      <c r="G17" s="95">
        <v>8596.039331901033</v>
      </c>
      <c r="H17" s="95">
        <v>-98657.96401461432</v>
      </c>
      <c r="I17" s="97">
        <v>38342.03598538568</v>
      </c>
      <c r="J17" s="100">
        <v>1.0</v>
      </c>
    </row>
    <row r="18">
      <c r="A18" s="93">
        <v>44896.0</v>
      </c>
      <c r="B18" s="95">
        <v>0.0</v>
      </c>
      <c r="C18" s="95">
        <v>137000.0</v>
      </c>
      <c r="D18" s="96">
        <v>-5.276722054776018</v>
      </c>
      <c r="E18" s="96">
        <v>-0.7828759368358785</v>
      </c>
      <c r="F18" s="96">
        <v>-0.7828759368358785</v>
      </c>
      <c r="G18" s="95">
        <v>-156961.3565827361</v>
      </c>
      <c r="H18" s="95">
        <v>-107254.00334651535</v>
      </c>
      <c r="I18" s="99">
        <v>29745.996653484654</v>
      </c>
      <c r="J18" s="100">
        <v>1.0</v>
      </c>
    </row>
    <row r="19">
      <c r="A19" s="93">
        <v>44866.0</v>
      </c>
      <c r="B19" s="95">
        <v>0.0</v>
      </c>
      <c r="C19" s="95">
        <v>137000.0</v>
      </c>
      <c r="D19" s="96">
        <v>-0.007573992001326597</v>
      </c>
      <c r="E19" s="96">
        <v>0.362827395884823</v>
      </c>
      <c r="F19" s="96">
        <v>0.362827395884823</v>
      </c>
      <c r="G19" s="95">
        <v>-1414.1199999999953</v>
      </c>
      <c r="H19" s="95">
        <v>49707.35323622075</v>
      </c>
      <c r="I19" s="99">
        <v>186707.35323622075</v>
      </c>
      <c r="J19" s="100">
        <v>1.0</v>
      </c>
    </row>
    <row r="20">
      <c r="A20" s="93">
        <v>44835.0</v>
      </c>
      <c r="B20" s="95">
        <v>0.0</v>
      </c>
      <c r="C20" s="95">
        <v>137000.0</v>
      </c>
      <c r="D20" s="96">
        <v>0.05867166469688726</v>
      </c>
      <c r="E20" s="96">
        <v>0.3731494396804434</v>
      </c>
      <c r="F20" s="96">
        <v>0.3731494396804434</v>
      </c>
      <c r="G20" s="95">
        <v>11037.399999999994</v>
      </c>
      <c r="H20" s="95">
        <v>51121.47323622074</v>
      </c>
      <c r="I20" s="99">
        <v>188121.47323622074</v>
      </c>
      <c r="J20" s="100">
        <v>1.0</v>
      </c>
    </row>
    <row r="21">
      <c r="A21" s="93">
        <v>44805.0</v>
      </c>
      <c r="B21" s="95">
        <v>0.0</v>
      </c>
      <c r="C21" s="95">
        <v>137000.0</v>
      </c>
      <c r="D21" s="96">
        <v>0.6640471830752294</v>
      </c>
      <c r="E21" s="96">
        <v>0.2925844761767938</v>
      </c>
      <c r="F21" s="96">
        <v>0.2925844761767938</v>
      </c>
      <c r="G21" s="95">
        <v>117592.18000000001</v>
      </c>
      <c r="H21" s="95">
        <v>40084.07323622075</v>
      </c>
      <c r="I21" s="99">
        <v>177084.07323622075</v>
      </c>
      <c r="J21" s="100">
        <v>1.0</v>
      </c>
    </row>
    <row r="22">
      <c r="A22" s="101">
        <v>44774.0</v>
      </c>
      <c r="B22" s="97">
        <v>137000.0</v>
      </c>
      <c r="C22" s="97">
        <v>137000.0</v>
      </c>
      <c r="D22" s="102">
        <v>-0.6327611135400443</v>
      </c>
      <c r="E22" s="102">
        <v>-0.3875405338188963</v>
      </c>
      <c r="F22" s="102">
        <v>-0.3875405338188963</v>
      </c>
      <c r="G22" s="99">
        <v>-77508.10676377926</v>
      </c>
      <c r="H22" s="99">
        <v>-77508.10676377926</v>
      </c>
      <c r="I22" s="99">
        <v>122491.89323622074</v>
      </c>
      <c r="J22" s="100">
        <v>1.0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26500.4</v>
      </c>
      <c r="D2" s="96">
        <f t="array" ref="D2">IF(AND(INDEX($A:$A,ROW()+1),$I2&lt;&gt;0),$G2/$I2,0)</f>
        <v>0.03494939208</v>
      </c>
      <c r="E2" s="96">
        <f>IF($C2&lt;&gt;0,H2/AVERAGEIF(C2:C77,"&lt;&gt;0"),0)</f>
        <v>2.4315828</v>
      </c>
      <c r="F2" s="96">
        <f>$E2/MAX(1,(($A2-MINIFS(TransactionsView!$A:$A,TransactionsView!$B:$B,$J2))/365.25))</f>
        <v>0.388378173</v>
      </c>
      <c r="G2" s="95">
        <f t="array" ref="G2">INDEX($H:$H,ROW())-IF(INDEX($H:$H,ROW()+1),INDEX($H:$H,ROW()+1),0)</f>
        <v>2317.051418</v>
      </c>
      <c r="H2" s="95">
        <f>I2-C2</f>
        <v>39796.9311</v>
      </c>
      <c r="I2" s="99">
        <f t="array" ref="I2">IF(MAXIFS(Portfolio!$H:$H,Portfolio!$A:$A,$J2),MAXIFS(Portfolio!$H:$H,Portfolio!$A:$A,$J2),INDEX(I:I,ROW()+1))</f>
        <v>66297.3311</v>
      </c>
      <c r="J2" s="100">
        <v>2.0</v>
      </c>
    </row>
    <row r="3">
      <c r="A3" s="93">
        <v>45352.0</v>
      </c>
      <c r="B3" s="95">
        <v>4450.4</v>
      </c>
      <c r="C3" s="95">
        <v>26500.4</v>
      </c>
      <c r="D3" s="96">
        <v>0.16186634966439717</v>
      </c>
      <c r="E3" s="96">
        <v>2.3093340319309803</v>
      </c>
      <c r="F3" s="96">
        <v>0.36930133763694856</v>
      </c>
      <c r="G3" s="95">
        <v>10356.254321789784</v>
      </c>
      <c r="H3" s="95">
        <v>37479.87967679351</v>
      </c>
      <c r="I3" s="97">
        <v>63980.279676793514</v>
      </c>
      <c r="J3" s="100">
        <v>2.0</v>
      </c>
    </row>
    <row r="4">
      <c r="A4" s="93">
        <v>45323.0</v>
      </c>
      <c r="B4" s="95">
        <v>0.0</v>
      </c>
      <c r="C4" s="95">
        <v>22050.0</v>
      </c>
      <c r="D4" s="96">
        <v>0.29611117134859444</v>
      </c>
      <c r="E4" s="96">
        <v>1.6858447432228798</v>
      </c>
      <c r="F4" s="96">
        <v>0.27306199222268596</v>
      </c>
      <c r="G4" s="95">
        <v>14560.859803327097</v>
      </c>
      <c r="H4" s="95">
        <v>27123.62535500373</v>
      </c>
      <c r="I4" s="97">
        <v>49173.62535500373</v>
      </c>
      <c r="J4" s="100">
        <v>2.0</v>
      </c>
    </row>
    <row r="5">
      <c r="A5" s="93">
        <v>45292.0</v>
      </c>
      <c r="B5" s="95">
        <v>0.0</v>
      </c>
      <c r="C5" s="95">
        <v>22050.0</v>
      </c>
      <c r="D5" s="96">
        <v>0.2114848021134579</v>
      </c>
      <c r="E5" s="96">
        <v>0.7848662585975248</v>
      </c>
      <c r="F5" s="96">
        <v>0.12889946086004764</v>
      </c>
      <c r="G5" s="95">
        <v>7320.073873295845</v>
      </c>
      <c r="H5" s="95">
        <v>12562.765551676632</v>
      </c>
      <c r="I5" s="97">
        <v>34612.76555167663</v>
      </c>
      <c r="J5" s="100">
        <v>2.0</v>
      </c>
    </row>
    <row r="6">
      <c r="A6" s="93">
        <v>45261.0</v>
      </c>
      <c r="B6" s="95">
        <v>0.0</v>
      </c>
      <c r="C6" s="95">
        <v>22050.0</v>
      </c>
      <c r="D6" s="96">
        <v>0.23018201160177862</v>
      </c>
      <c r="E6" s="96">
        <v>0.329291497845927</v>
      </c>
      <c r="F6" s="96">
        <v>0.054844377377211505</v>
      </c>
      <c r="G6" s="95">
        <v>6282.286672556813</v>
      </c>
      <c r="H6" s="95">
        <v>5242.6916783807865</v>
      </c>
      <c r="I6" s="103">
        <v>27292.691678380786</v>
      </c>
      <c r="J6" s="100">
        <v>2.0</v>
      </c>
    </row>
    <row r="7">
      <c r="A7" s="93">
        <v>45231.0</v>
      </c>
      <c r="B7" s="95">
        <v>0.0</v>
      </c>
      <c r="C7" s="95">
        <v>22050.0</v>
      </c>
      <c r="D7" s="96">
        <v>0.04104086231734997</v>
      </c>
      <c r="E7" s="96">
        <v>-0.06565764387812681</v>
      </c>
      <c r="F7" s="96">
        <v>-0.01108712641076552</v>
      </c>
      <c r="G7" s="95">
        <v>862.2851390757824</v>
      </c>
      <c r="H7" s="95">
        <v>-1039.5949941760264</v>
      </c>
      <c r="I7" s="103">
        <v>21010.405005823974</v>
      </c>
      <c r="J7" s="100">
        <v>2.0</v>
      </c>
    </row>
    <row r="8">
      <c r="A8" s="93">
        <v>45200.0</v>
      </c>
      <c r="B8" s="95">
        <v>0.0</v>
      </c>
      <c r="C8" s="95">
        <v>22050.0</v>
      </c>
      <c r="D8" s="96">
        <v>-0.066414565077077</v>
      </c>
      <c r="E8" s="96">
        <v>-0.12080431666609114</v>
      </c>
      <c r="F8" s="96">
        <v>-0.0206959552824999</v>
      </c>
      <c r="G8" s="95">
        <v>-1338.1286180708958</v>
      </c>
      <c r="H8" s="95">
        <v>-1901.8801332518087</v>
      </c>
      <c r="I8" s="103">
        <v>20148.11986674819</v>
      </c>
      <c r="J8" s="100">
        <v>2.0</v>
      </c>
    </row>
    <row r="9">
      <c r="A9" s="93">
        <v>45170.0</v>
      </c>
      <c r="B9" s="95">
        <v>0.0</v>
      </c>
      <c r="C9" s="95">
        <v>22050.0</v>
      </c>
      <c r="D9" s="96">
        <v>0.07401966862946477</v>
      </c>
      <c r="E9" s="96">
        <v>-0.03602076864674849</v>
      </c>
      <c r="F9" s="96">
        <v>-0.006259079804103181</v>
      </c>
      <c r="G9" s="95">
        <v>1590.4049929366483</v>
      </c>
      <c r="H9" s="95">
        <v>-563.751515180913</v>
      </c>
      <c r="I9" s="103">
        <v>21486.248484819087</v>
      </c>
      <c r="J9" s="100">
        <v>2.0</v>
      </c>
    </row>
    <row r="10">
      <c r="A10" s="93">
        <v>45139.0</v>
      </c>
      <c r="B10" s="95">
        <v>0.0</v>
      </c>
      <c r="C10" s="95">
        <v>22050.0</v>
      </c>
      <c r="D10" s="96">
        <v>-0.03681090184217065</v>
      </c>
      <c r="E10" s="96">
        <v>-0.13848444256752696</v>
      </c>
      <c r="F10" s="96">
        <v>-0.02442368066044868</v>
      </c>
      <c r="G10" s="95">
        <v>-732.3839418468742</v>
      </c>
      <c r="H10" s="95">
        <v>-2154.1565081175613</v>
      </c>
      <c r="I10" s="103">
        <v>19895.84349188244</v>
      </c>
      <c r="J10" s="100">
        <v>2.0</v>
      </c>
    </row>
    <row r="11">
      <c r="A11" s="93">
        <v>45108.0</v>
      </c>
      <c r="B11" s="95">
        <v>0.0</v>
      </c>
      <c r="C11" s="95">
        <v>22050.0</v>
      </c>
      <c r="D11" s="96">
        <v>-0.028823436921509387</v>
      </c>
      <c r="E11" s="96">
        <v>-0.09198352141730662</v>
      </c>
      <c r="F11" s="96">
        <v>-0.016469108430231</v>
      </c>
      <c r="G11" s="95">
        <v>-594.5764122386463</v>
      </c>
      <c r="H11" s="95">
        <v>-1421.772566270687</v>
      </c>
      <c r="I11" s="103">
        <v>20628.227433729313</v>
      </c>
      <c r="J11" s="100">
        <v>2.0</v>
      </c>
    </row>
    <row r="12">
      <c r="A12" s="93">
        <v>45078.0</v>
      </c>
      <c r="B12" s="95">
        <v>0.0</v>
      </c>
      <c r="C12" s="95">
        <v>22050.0</v>
      </c>
      <c r="D12" s="96">
        <v>0.0265346745217526</v>
      </c>
      <c r="E12" s="96">
        <v>-0.05387010320817819</v>
      </c>
      <c r="F12" s="96">
        <v>-0.00978908218745626</v>
      </c>
      <c r="G12" s="95">
        <v>563.1401924917591</v>
      </c>
      <c r="H12" s="95">
        <v>-827.1961540320408</v>
      </c>
      <c r="I12" s="103">
        <v>21222.80384596796</v>
      </c>
      <c r="J12" s="100">
        <v>2.0</v>
      </c>
    </row>
    <row r="13">
      <c r="A13" s="93">
        <v>45047.0</v>
      </c>
      <c r="B13" s="95">
        <v>0.0</v>
      </c>
      <c r="C13" s="95">
        <v>22050.0</v>
      </c>
      <c r="D13" s="96">
        <v>-0.0244159110596219</v>
      </c>
      <c r="E13" s="96">
        <v>-0.091164926159032</v>
      </c>
      <c r="F13" s="96">
        <v>-0.0168256641129795</v>
      </c>
      <c r="G13" s="95">
        <v>-504.42451028497817</v>
      </c>
      <c r="H13" s="95">
        <v>-1390.3363465237999</v>
      </c>
      <c r="I13" s="103">
        <v>20659.6636534762</v>
      </c>
      <c r="J13" s="100">
        <v>2.0</v>
      </c>
    </row>
    <row r="14">
      <c r="A14" s="93">
        <v>45017.0</v>
      </c>
      <c r="B14" s="95">
        <v>0.0</v>
      </c>
      <c r="C14" s="95">
        <v>22050.0</v>
      </c>
      <c r="D14" s="96">
        <v>-0.023325318140830758</v>
      </c>
      <c r="E14" s="96">
        <v>-0.058503611827091996</v>
      </c>
      <c r="F14" s="96">
        <v>-0.01096379898401506</v>
      </c>
      <c r="G14" s="95">
        <v>-493.65908958032014</v>
      </c>
      <c r="H14" s="95">
        <v>-885.9118362388217</v>
      </c>
      <c r="I14" s="103">
        <v>21164.08816376118</v>
      </c>
      <c r="J14" s="100">
        <v>2.0</v>
      </c>
    </row>
    <row r="15">
      <c r="A15" s="93">
        <v>44986.0</v>
      </c>
      <c r="B15" s="95">
        <v>0.0</v>
      </c>
      <c r="C15" s="95">
        <v>22050.0</v>
      </c>
      <c r="D15" s="96">
        <v>0.35313196932378865</v>
      </c>
      <c r="E15" s="96">
        <v>-0.02609546680919266</v>
      </c>
      <c r="F15" s="96">
        <v>-0.004969431309727643</v>
      </c>
      <c r="G15" s="95">
        <v>7648.0429386893575</v>
      </c>
      <c r="H15" s="95">
        <v>-392.25274665850156</v>
      </c>
      <c r="I15" s="103">
        <v>21657.7472533415</v>
      </c>
      <c r="J15" s="100">
        <v>2.0</v>
      </c>
    </row>
    <row r="16">
      <c r="A16" s="93">
        <v>44958.0</v>
      </c>
      <c r="B16" s="95">
        <v>0.0</v>
      </c>
      <c r="C16" s="95">
        <v>22050.0</v>
      </c>
      <c r="D16" s="96">
        <v>-0.3678888036746211</v>
      </c>
      <c r="E16" s="96">
        <v>-0.5390241090298048</v>
      </c>
      <c r="F16" s="96">
        <v>-0.10416854805456942</v>
      </c>
      <c r="G16" s="95">
        <v>-5154.013360152554</v>
      </c>
      <c r="H16" s="95">
        <v>-8040.295685347859</v>
      </c>
      <c r="I16" s="103">
        <v>14009.704314652141</v>
      </c>
      <c r="J16" s="100">
        <v>2.0</v>
      </c>
    </row>
    <row r="17">
      <c r="A17" s="93">
        <v>44927.0</v>
      </c>
      <c r="B17" s="95">
        <v>0.0</v>
      </c>
      <c r="C17" s="95">
        <v>22050.0</v>
      </c>
      <c r="D17" s="96">
        <v>-0.41000338993193985</v>
      </c>
      <c r="E17" s="96">
        <v>-0.19505202400373745</v>
      </c>
      <c r="F17" s="96">
        <v>-0.03832315856232658</v>
      </c>
      <c r="G17" s="95">
        <v>-7857.189210368557</v>
      </c>
      <c r="H17" s="95">
        <v>-2886.282325195305</v>
      </c>
      <c r="I17" s="104">
        <v>19163.717674804695</v>
      </c>
      <c r="J17" s="100">
        <v>2.0</v>
      </c>
    </row>
    <row r="18">
      <c r="A18" s="93">
        <v>44896.0</v>
      </c>
      <c r="B18" s="95">
        <v>0.0</v>
      </c>
      <c r="C18" s="95">
        <v>22050.0</v>
      </c>
      <c r="D18" s="96">
        <v>-0.035502958579881665</v>
      </c>
      <c r="E18" s="96">
        <v>0.33874278843291966</v>
      </c>
      <c r="F18" s="96">
        <v>0.06768369993168703</v>
      </c>
      <c r="G18" s="95">
        <v>-959.3221379351453</v>
      </c>
      <c r="H18" s="95">
        <v>4970.906885173252</v>
      </c>
      <c r="I18" s="104">
        <v>27020.90688517325</v>
      </c>
      <c r="J18" s="100">
        <v>2.0</v>
      </c>
    </row>
    <row r="19">
      <c r="A19" s="93">
        <v>44866.0</v>
      </c>
      <c r="B19" s="95">
        <v>0.0</v>
      </c>
      <c r="C19" s="95">
        <v>22050.0</v>
      </c>
      <c r="D19" s="96">
        <v>0.04872180451127815</v>
      </c>
      <c r="E19" s="96">
        <v>0.4076483358107106</v>
      </c>
      <c r="F19" s="96">
        <v>0.08281065331193661</v>
      </c>
      <c r="G19" s="95">
        <v>1363.2472486446786</v>
      </c>
      <c r="H19" s="95">
        <v>5930.229023108397</v>
      </c>
      <c r="I19" s="104">
        <v>27980.229023108397</v>
      </c>
      <c r="J19" s="100">
        <v>2.0</v>
      </c>
    </row>
    <row r="20">
      <c r="A20" s="93">
        <v>44835.0</v>
      </c>
      <c r="B20" s="95">
        <v>0.0</v>
      </c>
      <c r="C20" s="95">
        <v>22050.0</v>
      </c>
      <c r="D20" s="96">
        <v>-0.054928071924016886</v>
      </c>
      <c r="E20" s="96">
        <v>0.3168041391559352</v>
      </c>
      <c r="F20" s="96">
        <v>0.06548540567442293</v>
      </c>
      <c r="G20" s="95">
        <v>-1462.0194893079897</v>
      </c>
      <c r="H20" s="95">
        <v>4566.9817744637185</v>
      </c>
      <c r="I20" s="104">
        <v>26616.98177446372</v>
      </c>
      <c r="J20" s="100">
        <v>2.0</v>
      </c>
    </row>
    <row r="21">
      <c r="A21" s="105">
        <v>44774.0</v>
      </c>
      <c r="B21" s="106">
        <v>0.0</v>
      </c>
      <c r="C21" s="106">
        <v>22050.0</v>
      </c>
      <c r="D21" s="107">
        <v>-0.017598140054812684</v>
      </c>
      <c r="E21" s="107">
        <v>0.4222148074422756</v>
      </c>
      <c r="F21" s="107">
        <v>0.09039505182783772</v>
      </c>
      <c r="G21" s="106">
        <v>-502.98988325071696</v>
      </c>
      <c r="H21" s="106">
        <v>6029.001263771708</v>
      </c>
      <c r="I21" s="108">
        <v>28079.00126377171</v>
      </c>
      <c r="J21" s="109">
        <v>2.0</v>
      </c>
    </row>
    <row r="22">
      <c r="A22" s="93">
        <v>44743.0</v>
      </c>
      <c r="B22" s="95">
        <v>0.0</v>
      </c>
      <c r="C22" s="95">
        <v>22050.0</v>
      </c>
      <c r="D22" s="96">
        <v>-0.05315432864464901</v>
      </c>
      <c r="E22" s="96">
        <v>0.4620106906973166</v>
      </c>
      <c r="F22" s="96">
        <v>0.10074591329981784</v>
      </c>
      <c r="G22" s="95">
        <v>-1604.5450665392564</v>
      </c>
      <c r="H22" s="95">
        <v>6531.991147022425</v>
      </c>
      <c r="I22" s="99">
        <v>28581.991147022425</v>
      </c>
      <c r="J22" s="100">
        <v>2.0</v>
      </c>
    </row>
    <row r="23">
      <c r="A23" s="93">
        <v>44713.0</v>
      </c>
      <c r="B23" s="95">
        <v>0.0</v>
      </c>
      <c r="C23" s="95">
        <v>22050.0</v>
      </c>
      <c r="D23" s="96">
        <v>-0.1232628332688067</v>
      </c>
      <c r="E23" s="96">
        <v>0.5815273053170946</v>
      </c>
      <c r="F23" s="96">
        <v>0.12912027250277738</v>
      </c>
      <c r="G23" s="95">
        <v>-4244.006210125532</v>
      </c>
      <c r="H23" s="95">
        <v>8136.5362135616815</v>
      </c>
      <c r="I23" s="99">
        <v>30186.53621356168</v>
      </c>
      <c r="J23" s="100">
        <v>2.0</v>
      </c>
    </row>
    <row r="24">
      <c r="A24" s="93">
        <v>44682.0</v>
      </c>
      <c r="B24" s="95">
        <v>0.0</v>
      </c>
      <c r="C24" s="95">
        <v>22050.0</v>
      </c>
      <c r="D24" s="96">
        <v>-0.09031398034276159</v>
      </c>
      <c r="E24" s="96">
        <v>0.8716710342329653</v>
      </c>
      <c r="F24" s="96">
        <v>0.19726012717075003</v>
      </c>
      <c r="G24" s="95">
        <v>-3418.277586386517</v>
      </c>
      <c r="H24" s="95">
        <v>12063.598181318492</v>
      </c>
      <c r="I24" s="99">
        <v>34113.59818131849</v>
      </c>
      <c r="J24" s="100">
        <v>2.0</v>
      </c>
    </row>
    <row r="25">
      <c r="A25" s="93">
        <v>44652.0</v>
      </c>
      <c r="B25" s="95">
        <v>0.0</v>
      </c>
      <c r="C25" s="95">
        <v>22050.0</v>
      </c>
      <c r="D25" s="96">
        <v>-0.014442065533848804</v>
      </c>
      <c r="E25" s="96">
        <v>1.1065886520085044</v>
      </c>
      <c r="F25" s="96">
        <v>0.25516509163264284</v>
      </c>
      <c r="G25" s="95">
        <v>-554.6250705803686</v>
      </c>
      <c r="H25" s="95">
        <v>15140.048009066355</v>
      </c>
      <c r="I25" s="99">
        <v>37190.048009066355</v>
      </c>
      <c r="J25" s="100">
        <v>2.0</v>
      </c>
    </row>
    <row r="26">
      <c r="A26" s="93">
        <v>44621.0</v>
      </c>
      <c r="B26" s="95">
        <v>0.0</v>
      </c>
      <c r="C26" s="95">
        <v>22050.0</v>
      </c>
      <c r="D26" s="96">
        <v>-0.031352774564650306</v>
      </c>
      <c r="E26" s="96">
        <v>1.1569476924891544</v>
      </c>
      <c r="F26" s="96">
        <v>0.27210247564820583</v>
      </c>
      <c r="G26" s="95">
        <v>-1243.0268982379275</v>
      </c>
      <c r="H26" s="95">
        <v>15639.210572588687</v>
      </c>
      <c r="I26" s="99">
        <v>37689.21057258869</v>
      </c>
      <c r="J26" s="100">
        <v>2.0</v>
      </c>
    </row>
    <row r="27">
      <c r="A27" s="93">
        <v>44593.0</v>
      </c>
      <c r="B27" s="95">
        <v>0.0</v>
      </c>
      <c r="C27" s="95">
        <v>22050.0</v>
      </c>
      <c r="D27" s="96">
        <v>-0.0631011406015152</v>
      </c>
      <c r="E27" s="96">
        <v>1.2555581614597158</v>
      </c>
      <c r="F27" s="96">
        <v>0.30071647112994176</v>
      </c>
      <c r="G27" s="95">
        <v>-2670.2323069325575</v>
      </c>
      <c r="H27" s="95">
        <v>16757.934781002827</v>
      </c>
      <c r="I27" s="99">
        <v>38807.93478100283</v>
      </c>
      <c r="J27" s="100">
        <v>2.0</v>
      </c>
    </row>
    <row r="28">
      <c r="A28" s="93">
        <v>44562.0</v>
      </c>
      <c r="B28" s="95">
        <v>0.0</v>
      </c>
      <c r="C28" s="95">
        <v>22050.0</v>
      </c>
      <c r="D28" s="96">
        <v>-0.06169775680530666</v>
      </c>
      <c r="E28" s="96">
        <v>1.4320737006119078</v>
      </c>
      <c r="F28" s="96">
        <v>0.35011038764959795</v>
      </c>
      <c r="G28" s="95">
        <v>-2782.5210360145575</v>
      </c>
      <c r="H28" s="95">
        <v>18859.533857242124</v>
      </c>
      <c r="I28" s="99">
        <v>40909.533857242124</v>
      </c>
      <c r="J28" s="100">
        <v>2.0</v>
      </c>
    </row>
    <row r="29">
      <c r="A29" s="93">
        <v>44531.0</v>
      </c>
      <c r="B29" s="95">
        <v>0.0</v>
      </c>
      <c r="C29" s="95">
        <v>22050.0</v>
      </c>
      <c r="D29" s="96">
        <v>0.1156046108082369</v>
      </c>
      <c r="E29" s="96">
        <v>1.6453470259180925</v>
      </c>
      <c r="F29" s="96">
        <v>0.4107744369217931</v>
      </c>
      <c r="G29" s="95">
        <v>4673.410579853175</v>
      </c>
      <c r="H29" s="95">
        <v>21363.80278965523</v>
      </c>
      <c r="I29" s="99">
        <v>43413.80278965523</v>
      </c>
      <c r="J29" s="100">
        <v>2.0</v>
      </c>
    </row>
    <row r="30">
      <c r="A30" s="93">
        <v>44501.0</v>
      </c>
      <c r="B30" s="95">
        <v>0.0</v>
      </c>
      <c r="C30" s="95">
        <v>22050.0</v>
      </c>
      <c r="D30" s="96">
        <v>0.05159489909299921</v>
      </c>
      <c r="E30" s="96">
        <v>1.3413397597904297</v>
      </c>
      <c r="F30" s="96">
        <v>0.3418871927867791</v>
      </c>
      <c r="G30" s="95">
        <v>1983.4309144747822</v>
      </c>
      <c r="H30" s="95">
        <v>17157.73326778737</v>
      </c>
      <c r="I30" s="99">
        <v>39207.73326778737</v>
      </c>
      <c r="J30" s="100">
        <v>2.0</v>
      </c>
    </row>
    <row r="31">
      <c r="A31" s="93">
        <v>44470.0</v>
      </c>
      <c r="B31" s="95">
        <v>0.0</v>
      </c>
      <c r="C31" s="95">
        <v>22050.0</v>
      </c>
      <c r="D31" s="96">
        <v>-0.03016516429454329</v>
      </c>
      <c r="E31" s="96">
        <v>1.2209992065250157</v>
      </c>
      <c r="F31" s="96">
        <v>0.3180955493461212</v>
      </c>
      <c r="G31" s="95">
        <v>-1195.6889785127787</v>
      </c>
      <c r="H31" s="95">
        <v>15372.645444760063</v>
      </c>
      <c r="I31" s="99">
        <v>37422.64544476006</v>
      </c>
      <c r="J31" s="100">
        <v>2.0</v>
      </c>
    </row>
    <row r="32">
      <c r="A32" s="93">
        <v>44440.0</v>
      </c>
      <c r="B32" s="95">
        <v>0.0</v>
      </c>
      <c r="C32" s="95">
        <v>22050.0</v>
      </c>
      <c r="D32" s="96">
        <v>0.0013025817726574928</v>
      </c>
      <c r="E32" s="96">
        <v>1.328656342925813</v>
      </c>
      <c r="F32" s="96">
        <v>0.3537111729254032</v>
      </c>
      <c r="G32" s="95">
        <v>51.56466394902236</v>
      </c>
      <c r="H32" s="95">
        <v>16448.765525421564</v>
      </c>
      <c r="I32" s="99">
        <v>38498.765525421564</v>
      </c>
      <c r="J32" s="100">
        <v>2.0</v>
      </c>
    </row>
    <row r="33">
      <c r="A33" s="93">
        <v>44409.0</v>
      </c>
      <c r="B33" s="95">
        <v>0.0</v>
      </c>
      <c r="C33" s="95">
        <v>22050.0</v>
      </c>
      <c r="D33" s="96">
        <v>0.09837837222074323</v>
      </c>
      <c r="E33" s="96">
        <v>1.3488528594078453</v>
      </c>
      <c r="F33" s="96">
        <v>0.3673888940333449</v>
      </c>
      <c r="G33" s="95">
        <v>3545.6417673688993</v>
      </c>
      <c r="H33" s="95">
        <v>16402.357327867445</v>
      </c>
      <c r="I33" s="99">
        <v>38452.357327867445</v>
      </c>
      <c r="J33" s="100">
        <v>2.0</v>
      </c>
    </row>
    <row r="34">
      <c r="A34" s="93">
        <v>44378.0</v>
      </c>
      <c r="B34" s="95">
        <v>0.0</v>
      </c>
      <c r="C34" s="95">
        <v>22050.0</v>
      </c>
      <c r="D34" s="96">
        <v>0.14853606715471818</v>
      </c>
      <c r="E34" s="96">
        <v>1.1073782235889356</v>
      </c>
      <c r="F34" s="96">
        <v>0.3087556459281364</v>
      </c>
      <c r="G34" s="95">
        <v>4661.036515300319</v>
      </c>
      <c r="H34" s="95">
        <v>13211.27973723544</v>
      </c>
      <c r="I34" s="99">
        <v>35261.27973723544</v>
      </c>
      <c r="J34" s="100">
        <v>2.0</v>
      </c>
    </row>
    <row r="35">
      <c r="A35" s="93">
        <v>44348.0</v>
      </c>
      <c r="B35" s="95">
        <v>0.0</v>
      </c>
      <c r="C35" s="95">
        <v>22050.0</v>
      </c>
      <c r="D35" s="96">
        <v>-0.017263215616985603</v>
      </c>
      <c r="E35" s="96">
        <v>0.7713342879835754</v>
      </c>
      <c r="F35" s="96">
        <v>0.22010144428593822</v>
      </c>
      <c r="G35" s="95">
        <v>-551.232819912555</v>
      </c>
      <c r="H35" s="95">
        <v>9016.34687346515</v>
      </c>
      <c r="I35" s="99">
        <v>31066.34687346515</v>
      </c>
      <c r="J35" s="100">
        <v>2.0</v>
      </c>
    </row>
    <row r="36">
      <c r="A36" s="93">
        <v>44317.0</v>
      </c>
      <c r="B36" s="95">
        <v>0.0</v>
      </c>
      <c r="C36" s="95">
        <v>22050.0</v>
      </c>
      <c r="D36" s="96">
        <v>-0.020484672223953053</v>
      </c>
      <c r="E36" s="96">
        <v>0.8317566919745031</v>
      </c>
      <c r="F36" s="96">
        <v>0.24323389250895697</v>
      </c>
      <c r="G36" s="95">
        <v>-667.7765362114733</v>
      </c>
      <c r="H36" s="95">
        <v>9512.45641138645</v>
      </c>
      <c r="I36" s="99">
        <v>31562.45641138645</v>
      </c>
      <c r="J36" s="100">
        <v>2.0</v>
      </c>
    </row>
    <row r="37">
      <c r="A37" s="93">
        <v>44287.0</v>
      </c>
      <c r="B37" s="95">
        <v>-2000.0</v>
      </c>
      <c r="C37" s="95">
        <v>22050.0</v>
      </c>
      <c r="D37" s="96">
        <v>0.03734176083770821</v>
      </c>
      <c r="E37" s="96">
        <v>0.9053109807744679</v>
      </c>
      <c r="F37" s="96">
        <v>0.2712590941163859</v>
      </c>
      <c r="G37" s="95">
        <v>1245.473409077149</v>
      </c>
      <c r="H37" s="95">
        <v>10113.455293976775</v>
      </c>
      <c r="I37" s="99">
        <v>32163.455293976775</v>
      </c>
      <c r="J37" s="100">
        <v>2.0</v>
      </c>
    </row>
    <row r="38">
      <c r="A38" s="93">
        <v>44256.0</v>
      </c>
      <c r="B38" s="95">
        <v>24100.0</v>
      </c>
      <c r="C38" s="95">
        <v>24050.0</v>
      </c>
      <c r="D38" s="96">
        <v>-0.16492829612832205</v>
      </c>
      <c r="E38" s="96">
        <v>0.8255853102789223</v>
      </c>
      <c r="F38" s="96">
        <v>0.2538257866829768</v>
      </c>
      <c r="G38" s="95">
        <v>-1797.5005606715695</v>
      </c>
      <c r="H38" s="95">
        <v>8992.529225807339</v>
      </c>
      <c r="I38" s="99">
        <v>33042.52922580734</v>
      </c>
      <c r="J38" s="100">
        <v>2.0</v>
      </c>
    </row>
    <row r="39">
      <c r="A39" s="93">
        <v>44228.0</v>
      </c>
      <c r="B39" s="95">
        <v>25100.0</v>
      </c>
      <c r="C39" s="95">
        <v>-50.0</v>
      </c>
      <c r="D39" s="96">
        <v>-0.018855969057020045</v>
      </c>
      <c r="E39" s="96">
        <v>1.0063556575312458</v>
      </c>
      <c r="F39" s="96">
        <v>0.3168718999252479</v>
      </c>
      <c r="G39" s="95">
        <v>-212.3794139291531</v>
      </c>
      <c r="H39" s="95">
        <v>10613.079730411755</v>
      </c>
      <c r="I39" s="99">
        <v>10563.079730411755</v>
      </c>
      <c r="J39" s="100">
        <v>2.0</v>
      </c>
    </row>
    <row r="40">
      <c r="A40" s="93">
        <v>44197.0</v>
      </c>
      <c r="B40" s="95">
        <v>-1000.0</v>
      </c>
      <c r="C40" s="95">
        <v>-50.0</v>
      </c>
      <c r="D40" s="96">
        <v>-0.0736699238115559</v>
      </c>
      <c r="E40" s="96">
        <v>0.9800754603519855</v>
      </c>
      <c r="F40" s="96">
        <v>0.3170704711191875</v>
      </c>
      <c r="G40" s="95">
        <v>-975.281279962237</v>
      </c>
      <c r="H40" s="95">
        <v>10616.601202947993</v>
      </c>
      <c r="I40" s="99">
        <v>10566.601202947993</v>
      </c>
      <c r="J40" s="100">
        <v>2.0</v>
      </c>
    </row>
    <row r="41">
      <c r="A41" s="93">
        <v>44166.0</v>
      </c>
      <c r="B41" s="95">
        <v>-5500.0</v>
      </c>
      <c r="C41" s="95">
        <v>950.0</v>
      </c>
      <c r="D41" s="96">
        <v>0.03290429219744357</v>
      </c>
      <c r="E41" s="96">
        <v>1.032298258143705</v>
      </c>
      <c r="F41" s="96">
        <v>0.34339429762020784</v>
      </c>
      <c r="G41" s="95">
        <v>596.9362064065263</v>
      </c>
      <c r="H41" s="95">
        <v>11494.354354914005</v>
      </c>
      <c r="I41" s="99">
        <v>12444.354354914005</v>
      </c>
      <c r="J41" s="100">
        <v>2.0</v>
      </c>
    </row>
    <row r="42">
      <c r="A42" s="93">
        <v>44136.0</v>
      </c>
      <c r="B42" s="95">
        <v>-1000.0</v>
      </c>
      <c r="C42" s="95">
        <v>6450.0</v>
      </c>
      <c r="D42" s="96">
        <v>-0.016432831295333683</v>
      </c>
      <c r="E42" s="96">
        <v>0.958987026557101</v>
      </c>
      <c r="F42" s="96">
        <v>0.32796817551496366</v>
      </c>
      <c r="G42" s="95">
        <v>-319.80584879866</v>
      </c>
      <c r="H42" s="95">
        <v>10957.111769148134</v>
      </c>
      <c r="I42" s="99">
        <v>17407.111769148134</v>
      </c>
      <c r="J42" s="100">
        <v>2.0</v>
      </c>
    </row>
    <row r="43">
      <c r="A43" s="93">
        <v>44105.0</v>
      </c>
      <c r="B43" s="95">
        <v>-300.0</v>
      </c>
      <c r="C43" s="95">
        <v>7450.0</v>
      </c>
      <c r="D43" s="96">
        <v>-0.0030358834822477613</v>
      </c>
      <c r="E43" s="96">
        <v>0.9717317553037882</v>
      </c>
      <c r="F43" s="96">
        <v>0.3422613535435956</v>
      </c>
      <c r="G43" s="95">
        <v>-60.175985117264645</v>
      </c>
      <c r="H43" s="95">
        <v>11244.937033066926</v>
      </c>
      <c r="I43" s="99">
        <v>18694.937033066926</v>
      </c>
      <c r="J43" s="100">
        <v>2.0</v>
      </c>
    </row>
    <row r="44">
      <c r="A44" s="93">
        <v>44075.0</v>
      </c>
      <c r="B44" s="95">
        <v>0.0</v>
      </c>
      <c r="C44" s="95">
        <v>7750.0</v>
      </c>
      <c r="D44" s="96">
        <v>0.0695011442271417</v>
      </c>
      <c r="E44" s="96">
        <v>0.9659848415782158</v>
      </c>
      <c r="F44" s="96">
        <v>0.3503733499368851</v>
      </c>
      <c r="G44" s="95">
        <v>1288.0977170243823</v>
      </c>
      <c r="H44" s="95">
        <v>11299.095419672463</v>
      </c>
      <c r="I44" s="99">
        <v>19049.095419672463</v>
      </c>
      <c r="J44" s="100">
        <v>2.0</v>
      </c>
    </row>
    <row r="45">
      <c r="A45" s="93">
        <v>44044.0</v>
      </c>
      <c r="B45" s="95">
        <v>-2400.0</v>
      </c>
      <c r="C45" s="95">
        <v>7750.0</v>
      </c>
      <c r="D45" s="96">
        <v>-0.0011851593150153932</v>
      </c>
      <c r="E45" s="96">
        <v>0.8578290526879488</v>
      </c>
      <c r="F45" s="96">
        <v>0.3210267023506899</v>
      </c>
      <c r="G45" s="95">
        <v>-22.9366864857584</v>
      </c>
      <c r="H45" s="95">
        <v>10139.80747435052</v>
      </c>
      <c r="I45" s="99">
        <v>17889.80747435052</v>
      </c>
      <c r="J45" s="100">
        <v>2.0</v>
      </c>
    </row>
    <row r="46">
      <c r="A46" s="93">
        <v>44013.0</v>
      </c>
      <c r="B46" s="95">
        <v>1900.0</v>
      </c>
      <c r="C46" s="95">
        <v>10150.0</v>
      </c>
      <c r="D46" s="96">
        <v>0.01670595001387467</v>
      </c>
      <c r="E46" s="96">
        <v>0.8501321599401316</v>
      </c>
      <c r="F46" s="96">
        <v>0.3285828268974953</v>
      </c>
      <c r="G46" s="95">
        <v>344.3441691510925</v>
      </c>
      <c r="H46" s="95">
        <v>10160.450492187701</v>
      </c>
      <c r="I46" s="99">
        <v>20310.4504921877</v>
      </c>
      <c r="J46" s="100">
        <v>2.0</v>
      </c>
    </row>
    <row r="47">
      <c r="A47" s="93">
        <v>43983.0</v>
      </c>
      <c r="B47" s="95">
        <v>-300.0</v>
      </c>
      <c r="C47" s="95">
        <v>10150.0</v>
      </c>
      <c r="D47" s="96">
        <v>-0.00659387295460559</v>
      </c>
      <c r="E47" s="96">
        <v>0.8200810939324313</v>
      </c>
      <c r="F47" s="96">
        <v>0.32736023995499514</v>
      </c>
      <c r="G47" s="95">
        <v>-138.80679058184978</v>
      </c>
      <c r="H47" s="95">
        <v>9850.54073995172</v>
      </c>
      <c r="I47" s="99">
        <v>20000.54073995172</v>
      </c>
      <c r="J47" s="100">
        <v>2.0</v>
      </c>
    </row>
    <row r="48">
      <c r="A48" s="93">
        <v>43952.0</v>
      </c>
      <c r="B48" s="95">
        <v>-300.0</v>
      </c>
      <c r="C48" s="95">
        <v>10450.0</v>
      </c>
      <c r="D48" s="96">
        <v>0.17167870410952307</v>
      </c>
      <c r="E48" s="96">
        <v>0.8260666438971619</v>
      </c>
      <c r="F48" s="96">
        <v>0.3413131693251565</v>
      </c>
      <c r="G48" s="95">
        <v>3128.409191905088</v>
      </c>
      <c r="H48" s="95">
        <v>9975.466851475383</v>
      </c>
      <c r="I48" s="99">
        <v>20425.466851475383</v>
      </c>
      <c r="J48" s="100">
        <v>2.0</v>
      </c>
    </row>
    <row r="49">
      <c r="A49" s="93">
        <v>43922.0</v>
      </c>
      <c r="B49" s="95">
        <v>-300.0</v>
      </c>
      <c r="C49" s="95">
        <v>10750.0</v>
      </c>
      <c r="D49" s="96">
        <v>-0.09031985768405248</v>
      </c>
      <c r="E49" s="96">
        <v>0.5900725833857325</v>
      </c>
      <c r="F49" s="96">
        <v>0.2523700363953616</v>
      </c>
      <c r="G49" s="95">
        <v>-1839.0490600385892</v>
      </c>
      <c r="H49" s="95">
        <v>7159.898578760807</v>
      </c>
      <c r="I49" s="99">
        <v>17909.898578760807</v>
      </c>
      <c r="J49" s="100">
        <v>2.0</v>
      </c>
    </row>
    <row r="50">
      <c r="A50" s="93">
        <v>43891.0</v>
      </c>
      <c r="B50" s="95">
        <v>-300.0</v>
      </c>
      <c r="C50" s="95">
        <v>11050.0</v>
      </c>
      <c r="D50" s="96">
        <v>-6.988944889106389E-4</v>
      </c>
      <c r="E50" s="96">
        <v>0.7234229598342842</v>
      </c>
      <c r="F50" s="96">
        <v>0.32105739499328345</v>
      </c>
      <c r="G50" s="95">
        <v>-14.450317617618566</v>
      </c>
      <c r="H50" s="95">
        <v>8815.042732795537</v>
      </c>
      <c r="I50" s="99">
        <v>19865.042732795537</v>
      </c>
      <c r="J50" s="100">
        <v>2.0</v>
      </c>
    </row>
    <row r="51">
      <c r="A51" s="93">
        <v>43862.0</v>
      </c>
      <c r="B51" s="95">
        <v>0.0</v>
      </c>
      <c r="C51" s="95">
        <v>11350.0</v>
      </c>
      <c r="D51" s="96">
        <v>-0.013571483773815925</v>
      </c>
      <c r="E51" s="96">
        <v>0.7219035964300556</v>
      </c>
      <c r="F51" s="96">
        <v>0.33208474634266727</v>
      </c>
      <c r="G51" s="95">
        <v>-284.4641163868</v>
      </c>
      <c r="H51" s="95">
        <v>8828.048018651392</v>
      </c>
      <c r="I51" s="99">
        <v>20178.048018651392</v>
      </c>
      <c r="J51" s="100">
        <v>2.0</v>
      </c>
    </row>
    <row r="52">
      <c r="A52" s="93">
        <v>43831.0</v>
      </c>
      <c r="B52" s="95">
        <v>-1000.0</v>
      </c>
      <c r="C52" s="95">
        <v>11350.0</v>
      </c>
      <c r="D52" s="96">
        <v>0.06953970791992178</v>
      </c>
      <c r="E52" s="96">
        <v>0.7052662853391644</v>
      </c>
      <c r="F52" s="96">
        <v>0.33761272702507183</v>
      </c>
      <c r="G52" s="95">
        <v>1427.830849148777</v>
      </c>
      <c r="H52" s="95">
        <v>8649.385723399511</v>
      </c>
      <c r="I52" s="99">
        <v>19999.38572339951</v>
      </c>
      <c r="J52" s="100">
        <v>2.0</v>
      </c>
    </row>
    <row r="53">
      <c r="A53" s="93">
        <v>43800.0</v>
      </c>
      <c r="B53" s="95">
        <v>-700.0</v>
      </c>
      <c r="C53" s="95">
        <v>12350.0</v>
      </c>
      <c r="D53" s="96">
        <v>0.02764486097227171</v>
      </c>
      <c r="E53" s="96">
        <v>0.5986252701777297</v>
      </c>
      <c r="F53" s="96">
        <v>0.2986992895251582</v>
      </c>
      <c r="G53" s="95">
        <v>571.1819663431161</v>
      </c>
      <c r="H53" s="95">
        <v>7364.337959165612</v>
      </c>
      <c r="I53" s="99">
        <v>19714.337959165612</v>
      </c>
      <c r="J53" s="100">
        <v>2.0</v>
      </c>
    </row>
    <row r="54">
      <c r="A54" s="93">
        <v>43770.0</v>
      </c>
      <c r="B54" s="95">
        <v>-300.0</v>
      </c>
      <c r="C54" s="95">
        <v>13050.0</v>
      </c>
      <c r="D54" s="96">
        <v>-0.031204251937763165</v>
      </c>
      <c r="E54" s="96">
        <v>0.556932860931448</v>
      </c>
      <c r="F54" s="96">
        <v>0.2897716915316401</v>
      </c>
      <c r="G54" s="95">
        <v>-675.1529410040457</v>
      </c>
      <c r="H54" s="95">
        <v>6850.27418945681</v>
      </c>
      <c r="I54" s="99">
        <v>19900.27418945681</v>
      </c>
      <c r="J54" s="100">
        <v>2.0</v>
      </c>
    </row>
    <row r="55">
      <c r="A55" s="93">
        <v>43739.0</v>
      </c>
      <c r="B55" s="95">
        <v>-150.0</v>
      </c>
      <c r="C55" s="95">
        <v>13350.0</v>
      </c>
      <c r="D55" s="96">
        <v>-0.0017577640676155197</v>
      </c>
      <c r="E55" s="96">
        <v>0.6080194937925881</v>
      </c>
      <c r="F55" s="96">
        <v>0.3309673921128805</v>
      </c>
      <c r="G55" s="95">
        <v>-38.363080875005835</v>
      </c>
      <c r="H55" s="95">
        <v>7457.91183636045</v>
      </c>
      <c r="I55" s="99">
        <v>20807.91183636045</v>
      </c>
      <c r="J55" s="100">
        <v>2.0</v>
      </c>
    </row>
    <row r="56">
      <c r="A56" s="93">
        <v>43709.0</v>
      </c>
      <c r="B56" s="95">
        <v>0.0</v>
      </c>
      <c r="C56" s="95">
        <v>13500.0</v>
      </c>
      <c r="D56" s="96">
        <v>0.09663855056374034</v>
      </c>
      <c r="E56" s="96">
        <v>0.6134160264799494</v>
      </c>
      <c r="F56" s="96">
        <v>0.3495322990199712</v>
      </c>
      <c r="G56" s="95">
        <v>1923.267947360604</v>
      </c>
      <c r="H56" s="95">
        <v>7492.438609147954</v>
      </c>
      <c r="I56" s="99">
        <v>20992.438609147954</v>
      </c>
      <c r="J56" s="100">
        <v>2.0</v>
      </c>
    </row>
    <row r="57">
      <c r="A57" s="93">
        <v>43678.0</v>
      </c>
      <c r="B57" s="95">
        <v>-1000.0</v>
      </c>
      <c r="C57" s="95">
        <v>13500.0</v>
      </c>
      <c r="D57" s="96">
        <v>0.07804921004485675</v>
      </c>
      <c r="E57" s="96">
        <v>0.4741973215245606</v>
      </c>
      <c r="F57" s="96">
        <v>0.28393536342105863</v>
      </c>
      <c r="G57" s="95">
        <v>1513.2503564588296</v>
      </c>
      <c r="H57" s="95">
        <v>5761.4974565234115</v>
      </c>
      <c r="I57" s="99">
        <v>19261.49745652341</v>
      </c>
      <c r="J57" s="100">
        <v>2.0</v>
      </c>
    </row>
    <row r="58">
      <c r="A58" s="93">
        <v>43647.0</v>
      </c>
      <c r="B58" s="95">
        <v>0.0</v>
      </c>
      <c r="C58" s="95">
        <v>14500.0</v>
      </c>
      <c r="D58" s="96">
        <v>0.05571063566313939</v>
      </c>
      <c r="E58" s="96">
        <v>0.3642347301895372</v>
      </c>
      <c r="F58" s="96">
        <v>0.22976983627241532</v>
      </c>
      <c r="G58" s="95">
        <v>1023.1410039946932</v>
      </c>
      <c r="H58" s="95">
        <v>4399.572135710463</v>
      </c>
      <c r="I58" s="99">
        <v>18899.572135710463</v>
      </c>
      <c r="J58" s="100">
        <v>2.0</v>
      </c>
    </row>
    <row r="59">
      <c r="A59" s="93">
        <v>43617.0</v>
      </c>
      <c r="B59" s="95">
        <v>0.0</v>
      </c>
      <c r="C59" s="95">
        <v>14500.0</v>
      </c>
      <c r="D59" s="96">
        <v>0.03999771844904346</v>
      </c>
      <c r="E59" s="96">
        <v>0.2912437868747644</v>
      </c>
      <c r="F59" s="96">
        <v>0.19376465055739103</v>
      </c>
      <c r="G59" s="95">
        <v>706.3178936542245</v>
      </c>
      <c r="H59" s="95">
        <v>3478.7452321152414</v>
      </c>
      <c r="I59" s="99">
        <v>17978.74523211524</v>
      </c>
      <c r="J59" s="100">
        <v>2.0</v>
      </c>
    </row>
    <row r="60">
      <c r="A60" s="93">
        <v>43586.0</v>
      </c>
      <c r="B60" s="95">
        <v>-500.0</v>
      </c>
      <c r="C60" s="95">
        <v>14500.0</v>
      </c>
      <c r="D60" s="96">
        <v>0.026231385182183264</v>
      </c>
      <c r="E60" s="96">
        <v>0.24105738240922434</v>
      </c>
      <c r="F60" s="96">
        <v>0.16997337630302933</v>
      </c>
      <c r="G60" s="95">
        <v>464.1589987807747</v>
      </c>
      <c r="H60" s="95">
        <v>2843.05912782644</v>
      </c>
      <c r="I60" s="99">
        <v>17343.05912782644</v>
      </c>
      <c r="J60" s="100">
        <v>2.0</v>
      </c>
    </row>
    <row r="61">
      <c r="A61" s="93">
        <v>43556.0</v>
      </c>
      <c r="B61" s="95">
        <v>0.0</v>
      </c>
      <c r="C61" s="95">
        <v>15000.0</v>
      </c>
      <c r="D61" s="96">
        <v>0.10199738482836891</v>
      </c>
      <c r="E61" s="96">
        <v>0.20862933582139717</v>
      </c>
      <c r="F61" s="96">
        <v>0.15615136251796172</v>
      </c>
      <c r="G61" s="95">
        <v>1637.7741906332612</v>
      </c>
      <c r="H61" s="95">
        <v>2425.316028923742</v>
      </c>
      <c r="I61" s="99">
        <v>17425.316028923742</v>
      </c>
      <c r="J61" s="100">
        <v>2.0</v>
      </c>
    </row>
    <row r="62">
      <c r="A62" s="93">
        <v>43525.0</v>
      </c>
      <c r="B62" s="95">
        <v>0.0</v>
      </c>
      <c r="C62" s="95">
        <v>15000.0</v>
      </c>
      <c r="D62" s="96">
        <v>0.03449682927674902</v>
      </c>
      <c r="E62" s="96">
        <v>0.08344905766261466</v>
      </c>
      <c r="F62" s="96">
        <v>0.06669533547323853</v>
      </c>
      <c r="G62" s="95">
        <v>535.4451653706255</v>
      </c>
      <c r="H62" s="95">
        <v>951.3192573538072</v>
      </c>
      <c r="I62" s="99">
        <v>15951.319257353807</v>
      </c>
      <c r="J62" s="100">
        <v>2.0</v>
      </c>
    </row>
    <row r="63">
      <c r="A63" s="93">
        <v>43497.0</v>
      </c>
      <c r="B63" s="95">
        <v>0.0</v>
      </c>
      <c r="C63" s="95">
        <v>15000.0</v>
      </c>
      <c r="D63" s="96">
        <v>0.04107233145116107</v>
      </c>
      <c r="E63" s="96">
        <v>0.042127311021047505</v>
      </c>
      <c r="F63" s="96">
        <v>0.03586713368400373</v>
      </c>
      <c r="G63" s="95">
        <v>378.5762316891596</v>
      </c>
      <c r="H63" s="95">
        <v>469.41860852024365</v>
      </c>
      <c r="I63" s="99">
        <v>15469.418608520244</v>
      </c>
      <c r="J63" s="100">
        <v>2.0</v>
      </c>
    </row>
    <row r="64">
      <c r="A64" s="93">
        <v>43466.0</v>
      </c>
      <c r="B64" s="95">
        <v>-1000.0</v>
      </c>
      <c r="C64" s="95">
        <v>15000.0</v>
      </c>
      <c r="D64" s="96">
        <v>-0.024314741161841652</v>
      </c>
      <c r="E64" s="96">
        <v>0.011865957446808578</v>
      </c>
      <c r="F64" s="96">
        <v>0.010889550144338777</v>
      </c>
      <c r="G64" s="95">
        <v>-162.68840689716308</v>
      </c>
      <c r="H64" s="95">
        <v>128.70000000000073</v>
      </c>
      <c r="I64" s="99">
        <v>15128.7</v>
      </c>
      <c r="J64" s="100">
        <v>2.0</v>
      </c>
    </row>
    <row r="65">
      <c r="A65" s="93">
        <v>43435.0</v>
      </c>
      <c r="B65" s="95">
        <v>6000.0</v>
      </c>
      <c r="C65" s="95">
        <v>16000.0</v>
      </c>
      <c r="D65" s="96">
        <v>0.059176449934818486</v>
      </c>
      <c r="E65" s="96">
        <v>0.026201863448328193</v>
      </c>
      <c r="F65" s="96">
        <v>0.026076922682566412</v>
      </c>
      <c r="G65" s="95">
        <v>195.68840689716308</v>
      </c>
      <c r="H65" s="95">
        <v>275.11956620744604</v>
      </c>
      <c r="I65" s="99">
        <v>16275.119566207446</v>
      </c>
      <c r="J65" s="100">
        <v>2.0</v>
      </c>
    </row>
    <row r="66">
      <c r="A66" s="93">
        <v>43405.0</v>
      </c>
      <c r="B66" s="95">
        <v>7000.0</v>
      </c>
      <c r="C66" s="95">
        <v>10000.0</v>
      </c>
      <c r="D66" s="96">
        <v>-0.06412073646906129</v>
      </c>
      <c r="E66" s="96">
        <v>0.0099</v>
      </c>
      <c r="F66" s="96">
        <v>0.0099</v>
      </c>
      <c r="G66" s="95">
        <v>-279.4791990113172</v>
      </c>
      <c r="H66" s="95">
        <v>99.0</v>
      </c>
      <c r="I66" s="99">
        <v>10099.0</v>
      </c>
      <c r="J66" s="100">
        <v>2.0</v>
      </c>
    </row>
    <row r="67">
      <c r="A67" s="93">
        <v>43374.0</v>
      </c>
      <c r="B67" s="95">
        <v>0.0</v>
      </c>
      <c r="C67" s="95">
        <v>10000.0</v>
      </c>
      <c r="D67" s="96">
        <v>-0.028896114427261484</v>
      </c>
      <c r="E67" s="96">
        <v>0.0350531279110186</v>
      </c>
      <c r="F67" s="96">
        <v>0.0350531279110186</v>
      </c>
      <c r="G67" s="95">
        <v>-309.14877824551513</v>
      </c>
      <c r="H67" s="95">
        <v>350.531279110186</v>
      </c>
      <c r="I67" s="99">
        <v>10350.531279110186</v>
      </c>
      <c r="J67" s="100">
        <v>2.0</v>
      </c>
    </row>
    <row r="68">
      <c r="A68" s="93">
        <v>43344.0</v>
      </c>
      <c r="B68" s="95">
        <v>0.0</v>
      </c>
      <c r="C68" s="95">
        <v>10000.0</v>
      </c>
      <c r="D68" s="96">
        <v>0.08865378226331043</v>
      </c>
      <c r="E68" s="96">
        <v>0.06287651795311486</v>
      </c>
      <c r="F68" s="96">
        <v>0.06287651795311486</v>
      </c>
      <c r="G68" s="95">
        <v>618.6279772568323</v>
      </c>
      <c r="H68" s="95">
        <v>628.7651795311485</v>
      </c>
      <c r="I68" s="99">
        <v>10628.765179531149</v>
      </c>
      <c r="J68" s="100">
        <v>2.0</v>
      </c>
    </row>
    <row r="69">
      <c r="A69" s="93">
        <v>43313.0</v>
      </c>
      <c r="B69" s="95">
        <v>0.0</v>
      </c>
      <c r="C69" s="95">
        <v>10000.0</v>
      </c>
      <c r="D69" s="96">
        <v>-0.02448824447309521</v>
      </c>
      <c r="E69" s="96">
        <v>0.0072</v>
      </c>
      <c r="F69" s="96">
        <v>0.0072</v>
      </c>
      <c r="G69" s="95">
        <v>5.910774797372142</v>
      </c>
      <c r="H69" s="95">
        <v>72.0</v>
      </c>
      <c r="I69" s="99">
        <v>10072.0</v>
      </c>
      <c r="J69" s="100">
        <v>2.0</v>
      </c>
    </row>
    <row r="70">
      <c r="A70" s="93">
        <v>43282.0</v>
      </c>
      <c r="B70" s="95">
        <v>0.0</v>
      </c>
      <c r="C70" s="95">
        <v>10000.0</v>
      </c>
      <c r="D70" s="96">
        <v>0.010858996309905966</v>
      </c>
      <c r="E70" s="96">
        <v>0.006668030268236543</v>
      </c>
      <c r="F70" s="96">
        <v>0.006668030268236543</v>
      </c>
      <c r="G70" s="95">
        <v>14.089225202627858</v>
      </c>
      <c r="H70" s="95">
        <v>66.68030268236544</v>
      </c>
      <c r="I70" s="99">
        <v>10066.680302682365</v>
      </c>
      <c r="J70" s="100">
        <v>2.0</v>
      </c>
    </row>
    <row r="71">
      <c r="A71" s="93">
        <v>43252.0</v>
      </c>
      <c r="B71" s="95">
        <v>0.0</v>
      </c>
      <c r="C71" s="95">
        <v>10000.0</v>
      </c>
      <c r="D71" s="96">
        <v>0.12647428034130279</v>
      </c>
      <c r="E71" s="96">
        <v>0.0054</v>
      </c>
      <c r="F71" s="96">
        <v>0.0054</v>
      </c>
      <c r="G71" s="95">
        <v>10.0</v>
      </c>
      <c r="H71" s="95">
        <v>54.0</v>
      </c>
      <c r="I71" s="99">
        <v>10054.0</v>
      </c>
      <c r="J71" s="100">
        <v>2.0</v>
      </c>
    </row>
    <row r="72">
      <c r="A72" s="93">
        <v>43221.0</v>
      </c>
      <c r="B72" s="95">
        <v>0.0</v>
      </c>
      <c r="C72" s="95">
        <v>10000.0</v>
      </c>
      <c r="D72" s="96">
        <v>0.07661146740532812</v>
      </c>
      <c r="E72" s="96">
        <v>0.0045</v>
      </c>
      <c r="F72" s="96">
        <v>0.0045</v>
      </c>
      <c r="G72" s="95">
        <v>10.0</v>
      </c>
      <c r="H72" s="95">
        <v>45.0</v>
      </c>
      <c r="I72" s="99">
        <v>10045.0</v>
      </c>
      <c r="J72" s="100">
        <v>2.0</v>
      </c>
    </row>
    <row r="73">
      <c r="A73" s="93">
        <v>43191.0</v>
      </c>
      <c r="B73" s="95">
        <v>0.0</v>
      </c>
      <c r="C73" s="95">
        <v>10000.0</v>
      </c>
      <c r="D73" s="96">
        <v>-0.0394470506102503</v>
      </c>
      <c r="E73" s="96">
        <v>0.0036</v>
      </c>
      <c r="F73" s="96">
        <v>0.0036</v>
      </c>
      <c r="G73" s="95">
        <v>10.0</v>
      </c>
      <c r="H73" s="95">
        <v>36.0</v>
      </c>
      <c r="I73" s="99">
        <v>10036.0</v>
      </c>
      <c r="J73" s="100">
        <v>2.0</v>
      </c>
    </row>
    <row r="74">
      <c r="A74" s="93">
        <v>43160.0</v>
      </c>
      <c r="B74" s="95">
        <v>0.0</v>
      </c>
      <c r="C74" s="95">
        <v>10000.0</v>
      </c>
      <c r="D74" s="96">
        <v>-0.052153074609364886</v>
      </c>
      <c r="E74" s="96">
        <v>0.0027</v>
      </c>
      <c r="F74" s="96">
        <v>0.0027</v>
      </c>
      <c r="G74" s="95">
        <v>10.0</v>
      </c>
      <c r="H74" s="95">
        <v>27.0</v>
      </c>
      <c r="I74" s="99">
        <v>10027.0</v>
      </c>
      <c r="J74" s="100">
        <v>2.0</v>
      </c>
    </row>
    <row r="75">
      <c r="A75" s="93">
        <v>43132.0</v>
      </c>
      <c r="B75" s="95">
        <v>0.0</v>
      </c>
      <c r="C75" s="95">
        <v>10000.0</v>
      </c>
      <c r="D75" s="96">
        <v>-0.09834304329279307</v>
      </c>
      <c r="E75" s="96">
        <v>0.0018</v>
      </c>
      <c r="F75" s="96">
        <v>0.0018</v>
      </c>
      <c r="G75" s="95">
        <v>10.0</v>
      </c>
      <c r="H75" s="95">
        <v>18.0</v>
      </c>
      <c r="I75" s="99">
        <v>10018.0</v>
      </c>
      <c r="J75" s="100">
        <v>2.0</v>
      </c>
    </row>
    <row r="76">
      <c r="A76" s="93">
        <v>43101.0</v>
      </c>
      <c r="B76" s="95">
        <v>10000.0</v>
      </c>
      <c r="C76" s="95">
        <v>10000.0</v>
      </c>
      <c r="D76" s="96">
        <v>0.008702212643160052</v>
      </c>
      <c r="E76" s="96">
        <v>9.0E-4</v>
      </c>
      <c r="F76" s="96">
        <v>9.0E-4</v>
      </c>
      <c r="G76" s="95">
        <v>10.0</v>
      </c>
      <c r="H76" s="95">
        <v>9.0</v>
      </c>
      <c r="I76" s="99">
        <v>10009.0</v>
      </c>
      <c r="J76" s="100">
        <v>2.0</v>
      </c>
    </row>
    <row r="77">
      <c r="A77" s="93">
        <v>43070.0</v>
      </c>
      <c r="B77" s="95">
        <v>10000.0</v>
      </c>
      <c r="C77" s="95">
        <v>0.0</v>
      </c>
      <c r="D77" s="96">
        <v>0.0</v>
      </c>
      <c r="E77" s="96">
        <v>0.0</v>
      </c>
      <c r="F77" s="96">
        <v>0.0</v>
      </c>
      <c r="G77" s="95">
        <v>0.0</v>
      </c>
      <c r="H77" s="95">
        <v>0.0</v>
      </c>
      <c r="I77" s="99">
        <v>0.0</v>
      </c>
      <c r="J77" s="100">
        <v>2.0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622.2</v>
      </c>
      <c r="D2" s="96">
        <f t="array" ref="D2">IF(AND(INDEX($A:$A,ROW()+1),$I2&lt;&gt;0),$G2/$I2,0)</f>
        <v>0.0008581090844</v>
      </c>
      <c r="E2" s="96">
        <f>IF($C2&lt;&gt;0,H2/AVERAGEIF(C2:C58,"&lt;&gt;0"),0)</f>
        <v>0.05894954086</v>
      </c>
      <c r="F2" s="96">
        <f>$E2/MAX(1,(($A2-MINIFS(TransactionsView!$A:$A,TransactionsView!$B:$B,$J2))/365.25))</f>
        <v>0.0128179368</v>
      </c>
      <c r="G2" s="95">
        <f t="array" ref="G2">INDEX($H:$H,ROW())-IF(INDEX($H:$H,ROW()+1),INDEX($H:$H,ROW()+1),0)</f>
        <v>0.5585255026</v>
      </c>
      <c r="H2" s="95">
        <f>I2-C2</f>
        <v>28.6793727</v>
      </c>
      <c r="I2" s="99">
        <f t="array" ref="I2">IF(MAXIFS(Portfolio!$H:$H,Portfolio!$A:$A,$J2),MAXIFS(Portfolio!$H:$H,Portfolio!$A:$A,$J2),INDEX(I:I,ROW()+1))</f>
        <v>650.8793727</v>
      </c>
      <c r="J2" s="100">
        <v>3.0</v>
      </c>
    </row>
    <row r="3">
      <c r="A3" s="93">
        <v>45352.0</v>
      </c>
      <c r="B3" s="95">
        <v>22.2</v>
      </c>
      <c r="C3" s="95">
        <v>622.2</v>
      </c>
      <c r="D3" s="96">
        <v>-0.043453885356991004</v>
      </c>
      <c r="E3" s="96">
        <v>0.05809612261918076</v>
      </c>
      <c r="F3" s="96">
        <v>0.01265331472072497</v>
      </c>
      <c r="G3" s="95">
        <v>-28.258967539167998</v>
      </c>
      <c r="H3" s="95">
        <v>28.120847192588258</v>
      </c>
      <c r="I3" s="97">
        <v>650.3208471925883</v>
      </c>
      <c r="J3" s="100">
        <v>3.0</v>
      </c>
    </row>
    <row r="4">
      <c r="A4" s="93">
        <v>45323.0</v>
      </c>
      <c r="B4" s="95">
        <v>0.0</v>
      </c>
      <c r="C4" s="95">
        <v>600.0</v>
      </c>
      <c r="D4" s="96">
        <v>0.0350089018950069</v>
      </c>
      <c r="E4" s="96">
        <v>0.11709653828903223</v>
      </c>
      <c r="F4" s="96">
        <v>0.02595237294300305</v>
      </c>
      <c r="G4" s="95">
        <v>22.97913653980686</v>
      </c>
      <c r="H4" s="95">
        <v>56.379814731756255</v>
      </c>
      <c r="I4" s="97">
        <v>656.3798147317563</v>
      </c>
      <c r="J4" s="100">
        <v>3.0</v>
      </c>
    </row>
    <row r="5">
      <c r="A5" s="93">
        <v>45292.0</v>
      </c>
      <c r="B5" s="95">
        <v>0.0</v>
      </c>
      <c r="C5" s="95">
        <v>600.0</v>
      </c>
      <c r="D5" s="96">
        <v>0.005368285966159152</v>
      </c>
      <c r="E5" s="96">
        <v>0.06969432851076054</v>
      </c>
      <c r="F5" s="96">
        <v>0.015742642850065113</v>
      </c>
      <c r="G5" s="95">
        <v>3.4002759716935316</v>
      </c>
      <c r="H5" s="95">
        <v>33.400678191949396</v>
      </c>
      <c r="I5" s="97">
        <v>633.4006781919494</v>
      </c>
      <c r="J5" s="100">
        <v>3.0</v>
      </c>
    </row>
    <row r="6">
      <c r="A6" s="93">
        <v>45261.0</v>
      </c>
      <c r="B6" s="95">
        <v>0.0</v>
      </c>
      <c r="C6" s="95">
        <v>600.0</v>
      </c>
      <c r="D6" s="96">
        <v>0.0019457379926333257</v>
      </c>
      <c r="E6" s="96">
        <v>0.06290406917150423</v>
      </c>
      <c r="F6" s="96">
        <v>0.014486577090095789</v>
      </c>
      <c r="G6" s="95">
        <v>1.2258157179742284</v>
      </c>
      <c r="H6" s="95">
        <v>30.000402220255864</v>
      </c>
      <c r="I6" s="97">
        <v>630.0004022202559</v>
      </c>
      <c r="J6" s="100">
        <v>3.0</v>
      </c>
    </row>
    <row r="7">
      <c r="A7" s="93">
        <v>45231.0</v>
      </c>
      <c r="B7" s="95">
        <v>0.0</v>
      </c>
      <c r="C7" s="95">
        <v>600.0</v>
      </c>
      <c r="D7" s="96">
        <v>0.022543192435831434</v>
      </c>
      <c r="E7" s="96">
        <v>0.06064065750480841</v>
      </c>
      <c r="F7" s="96">
        <v>0.014234575934210328</v>
      </c>
      <c r="G7" s="95">
        <v>14.174586502281272</v>
      </c>
      <c r="H7" s="95">
        <v>28.774586502281636</v>
      </c>
      <c r="I7" s="97">
        <v>628.7745865022816</v>
      </c>
      <c r="J7" s="100">
        <v>3.0</v>
      </c>
    </row>
    <row r="8">
      <c r="A8" s="93">
        <v>45200.0</v>
      </c>
      <c r="B8" s="95">
        <v>0.0</v>
      </c>
      <c r="C8" s="95">
        <v>600.0</v>
      </c>
      <c r="D8" s="96">
        <v>0.0</v>
      </c>
      <c r="E8" s="96">
        <v>0.03093220338983128</v>
      </c>
      <c r="F8" s="96">
        <v>0.0074085162545153285</v>
      </c>
      <c r="G8" s="95">
        <v>0.0</v>
      </c>
      <c r="H8" s="95">
        <v>14.600000000000364</v>
      </c>
      <c r="I8" s="97">
        <v>614.6000000000004</v>
      </c>
      <c r="J8" s="100">
        <v>3.0</v>
      </c>
    </row>
    <row r="9">
      <c r="A9" s="93">
        <v>45170.0</v>
      </c>
      <c r="B9" s="95">
        <v>0.0</v>
      </c>
      <c r="C9" s="95">
        <v>600.0</v>
      </c>
      <c r="D9" s="96">
        <v>0.0</v>
      </c>
      <c r="E9" s="96">
        <v>0.03110434782608773</v>
      </c>
      <c r="F9" s="96">
        <v>0.007599239493965582</v>
      </c>
      <c r="G9" s="95">
        <v>0.0</v>
      </c>
      <c r="H9" s="95">
        <v>14.600000000000364</v>
      </c>
      <c r="I9" s="97">
        <v>614.6000000000004</v>
      </c>
      <c r="J9" s="100">
        <v>3.0</v>
      </c>
    </row>
    <row r="10">
      <c r="A10" s="93">
        <v>45139.0</v>
      </c>
      <c r="B10" s="95">
        <v>0.0</v>
      </c>
      <c r="C10" s="95">
        <v>600.0</v>
      </c>
      <c r="D10" s="96">
        <v>0.0</v>
      </c>
      <c r="E10" s="96">
        <v>0.03128571428571506</v>
      </c>
      <c r="F10" s="96">
        <v>0.007805401053864363</v>
      </c>
      <c r="G10" s="95">
        <v>0.0</v>
      </c>
      <c r="H10" s="95">
        <v>14.600000000000364</v>
      </c>
      <c r="I10" s="97">
        <v>614.6000000000004</v>
      </c>
      <c r="J10" s="100">
        <v>3.0</v>
      </c>
    </row>
    <row r="11">
      <c r="A11" s="93">
        <v>45108.0</v>
      </c>
      <c r="B11" s="95">
        <v>0.0</v>
      </c>
      <c r="C11" s="95">
        <v>600.0</v>
      </c>
      <c r="D11" s="96">
        <v>0.0</v>
      </c>
      <c r="E11" s="96">
        <v>0.03147706422018427</v>
      </c>
      <c r="F11" s="96">
        <v>0.00802302701076225</v>
      </c>
      <c r="G11" s="95">
        <v>0.0</v>
      </c>
      <c r="H11" s="95">
        <v>14.600000000000364</v>
      </c>
      <c r="I11" s="97">
        <v>614.6000000000004</v>
      </c>
      <c r="J11" s="100">
        <v>3.0</v>
      </c>
    </row>
    <row r="12">
      <c r="A12" s="93">
        <v>45078.0</v>
      </c>
      <c r="B12" s="95">
        <v>0.0</v>
      </c>
      <c r="C12" s="95">
        <v>600.0</v>
      </c>
      <c r="D12" s="96">
        <v>0.0</v>
      </c>
      <c r="E12" s="96">
        <v>0.03167924528301966</v>
      </c>
      <c r="F12" s="96">
        <v>0.008247216207856685</v>
      </c>
      <c r="G12" s="95">
        <v>0.0</v>
      </c>
      <c r="H12" s="95">
        <v>14.600000000000364</v>
      </c>
      <c r="I12" s="97">
        <v>614.6000000000004</v>
      </c>
      <c r="J12" s="100">
        <v>3.0</v>
      </c>
    </row>
    <row r="13">
      <c r="A13" s="93">
        <v>45047.0</v>
      </c>
      <c r="B13" s="95">
        <v>0.0</v>
      </c>
      <c r="C13" s="95">
        <v>600.0</v>
      </c>
      <c r="D13" s="96">
        <v>0.0</v>
      </c>
      <c r="E13" s="96">
        <v>0.03189320388349594</v>
      </c>
      <c r="F13" s="96">
        <v>0.008490519474086656</v>
      </c>
      <c r="G13" s="95">
        <v>0.0</v>
      </c>
      <c r="H13" s="95">
        <v>14.600000000000364</v>
      </c>
      <c r="I13" s="97">
        <v>614.6000000000004</v>
      </c>
      <c r="J13" s="100">
        <v>3.0</v>
      </c>
    </row>
    <row r="14">
      <c r="A14" s="93">
        <v>45017.0</v>
      </c>
      <c r="B14" s="95">
        <v>0.0</v>
      </c>
      <c r="C14" s="95">
        <v>600.0</v>
      </c>
      <c r="D14" s="96">
        <v>0.0</v>
      </c>
      <c r="E14" s="96">
        <v>0.0321200000000008</v>
      </c>
      <c r="F14" s="96">
        <v>0.008742049180328088</v>
      </c>
      <c r="G14" s="95">
        <v>0.0</v>
      </c>
      <c r="H14" s="95">
        <v>14.600000000000364</v>
      </c>
      <c r="I14" s="97">
        <v>614.6000000000004</v>
      </c>
      <c r="J14" s="100">
        <v>3.0</v>
      </c>
    </row>
    <row r="15">
      <c r="A15" s="93">
        <v>44986.0</v>
      </c>
      <c r="B15" s="95">
        <v>0.0</v>
      </c>
      <c r="C15" s="95">
        <v>600.0</v>
      </c>
      <c r="D15" s="96">
        <v>0.0</v>
      </c>
      <c r="E15" s="96">
        <v>0.03236082474226885</v>
      </c>
      <c r="F15" s="96">
        <v>0.009015859067211057</v>
      </c>
      <c r="G15" s="95">
        <v>0.0</v>
      </c>
      <c r="H15" s="95">
        <v>14.600000000000364</v>
      </c>
      <c r="I15" s="97">
        <v>614.6000000000004</v>
      </c>
      <c r="J15" s="100">
        <v>3.0</v>
      </c>
    </row>
    <row r="16">
      <c r="A16" s="93">
        <v>44958.0</v>
      </c>
      <c r="B16" s="95">
        <v>0.0</v>
      </c>
      <c r="C16" s="95">
        <v>600.0</v>
      </c>
      <c r="D16" s="96">
        <v>0.04044870524151893</v>
      </c>
      <c r="E16" s="96">
        <v>0.03261702127659656</v>
      </c>
      <c r="F16" s="96">
        <v>0.009285554965921195</v>
      </c>
      <c r="G16" s="95">
        <v>24.85977424143755</v>
      </c>
      <c r="H16" s="95">
        <v>14.600000000000364</v>
      </c>
      <c r="I16" s="97">
        <v>614.6000000000004</v>
      </c>
      <c r="J16" s="100">
        <v>3.0</v>
      </c>
    </row>
    <row r="17">
      <c r="A17" s="93">
        <v>44927.0</v>
      </c>
      <c r="B17" s="95">
        <v>0.0</v>
      </c>
      <c r="C17" s="95">
        <v>600.0</v>
      </c>
      <c r="D17" s="96">
        <v>-0.06891798301242277</v>
      </c>
      <c r="E17" s="96">
        <v>-0.02311267823620465</v>
      </c>
      <c r="F17" s="96">
        <v>-0.0067427362026946875</v>
      </c>
      <c r="G17" s="95">
        <v>-40.643706860571</v>
      </c>
      <c r="H17" s="95">
        <v>-10.259774241437185</v>
      </c>
      <c r="I17" s="97">
        <v>589.7402257585628</v>
      </c>
      <c r="J17" s="100">
        <v>3.0</v>
      </c>
    </row>
    <row r="18">
      <c r="A18" s="93">
        <v>44896.0</v>
      </c>
      <c r="B18" s="95">
        <v>0.0</v>
      </c>
      <c r="C18" s="95">
        <v>600.0</v>
      </c>
      <c r="D18" s="96">
        <v>5.875596463695944E-4</v>
      </c>
      <c r="E18" s="96">
        <v>0.06905439231621321</v>
      </c>
      <c r="F18" s="96">
        <v>0.020656934310808252</v>
      </c>
      <c r="G18" s="95">
        <v>0.3703881605267725</v>
      </c>
      <c r="H18" s="95">
        <v>30.383932619133816</v>
      </c>
      <c r="I18" s="99">
        <v>630.3839326191338</v>
      </c>
      <c r="J18" s="100">
        <v>3.0</v>
      </c>
    </row>
    <row r="19">
      <c r="A19" s="93">
        <v>44866.0</v>
      </c>
      <c r="B19" s="95">
        <v>0.0</v>
      </c>
      <c r="C19" s="95">
        <v>600.0</v>
      </c>
      <c r="D19" s="96">
        <v>0.0</v>
      </c>
      <c r="E19" s="96">
        <v>0.06885460199327498</v>
      </c>
      <c r="F19" s="96">
        <v>0.021115989402219718</v>
      </c>
      <c r="G19" s="95">
        <v>0.0</v>
      </c>
      <c r="H19" s="95">
        <v>30.013544458607043</v>
      </c>
      <c r="I19" s="99">
        <v>630.013544458607</v>
      </c>
      <c r="J19" s="100">
        <v>3.0</v>
      </c>
    </row>
    <row r="20">
      <c r="A20" s="93">
        <v>44835.0</v>
      </c>
      <c r="B20" s="95">
        <v>0.0</v>
      </c>
      <c r="C20" s="95">
        <v>600.0</v>
      </c>
      <c r="D20" s="96">
        <v>0.0</v>
      </c>
      <c r="E20" s="96">
        <v>0.06954357862360169</v>
      </c>
      <c r="F20" s="96">
        <v>0.02189723456230217</v>
      </c>
      <c r="G20" s="95">
        <v>0.0</v>
      </c>
      <c r="H20" s="95">
        <v>30.013544458607043</v>
      </c>
      <c r="I20" s="99">
        <v>630.013544458607</v>
      </c>
      <c r="J20" s="100">
        <v>3.0</v>
      </c>
    </row>
    <row r="21">
      <c r="A21" s="93">
        <v>44805.0</v>
      </c>
      <c r="B21" s="95">
        <v>0.0</v>
      </c>
      <c r="C21" s="95">
        <v>600.0</v>
      </c>
      <c r="D21" s="96">
        <v>0.024465417599636028</v>
      </c>
      <c r="E21" s="96">
        <v>0.07028488259294055</v>
      </c>
      <c r="F21" s="96">
        <v>0.02271818882041729</v>
      </c>
      <c r="G21" s="95">
        <v>15.41354445860668</v>
      </c>
      <c r="H21" s="95">
        <v>30.013544458607043</v>
      </c>
      <c r="I21" s="99">
        <v>630.013544458607</v>
      </c>
      <c r="J21" s="100">
        <v>3.0</v>
      </c>
    </row>
    <row r="22">
      <c r="A22" s="105">
        <v>44774.0</v>
      </c>
      <c r="B22" s="106">
        <v>0.0</v>
      </c>
      <c r="C22" s="106">
        <v>600.0</v>
      </c>
      <c r="D22" s="107">
        <v>-0.017598140054812684</v>
      </c>
      <c r="E22" s="107">
        <v>0.03457894736842192</v>
      </c>
      <c r="F22" s="107">
        <v>0.011492229778267611</v>
      </c>
      <c r="G22" s="106">
        <v>0.6000000000000227</v>
      </c>
      <c r="H22" s="106">
        <v>14.600000000000364</v>
      </c>
      <c r="I22" s="108">
        <v>614.6000000000004</v>
      </c>
      <c r="J22" s="110">
        <v>3.0</v>
      </c>
    </row>
    <row r="23">
      <c r="A23" s="93">
        <v>44743.0</v>
      </c>
      <c r="B23" s="95">
        <v>0.0</v>
      </c>
      <c r="C23" s="95">
        <v>600.0</v>
      </c>
      <c r="D23" s="96">
        <v>-0.05315432864464901</v>
      </c>
      <c r="E23" s="96">
        <v>0.03370547945205548</v>
      </c>
      <c r="F23" s="96">
        <v>0.011527084615976839</v>
      </c>
      <c r="G23" s="95">
        <v>0.6000000000000227</v>
      </c>
      <c r="H23" s="95">
        <v>14.060000000000286</v>
      </c>
      <c r="I23" s="99">
        <v>614.0600000000003</v>
      </c>
      <c r="J23" s="111">
        <v>3.0</v>
      </c>
    </row>
    <row r="24">
      <c r="A24" s="93">
        <v>44713.0</v>
      </c>
      <c r="B24" s="95">
        <v>0.0</v>
      </c>
      <c r="C24" s="95">
        <v>600.0</v>
      </c>
      <c r="D24" s="96">
        <v>-0.1232628332688067</v>
      </c>
      <c r="E24" s="96">
        <v>0.032834285714286225</v>
      </c>
      <c r="F24" s="96">
        <v>0.011553682906688867</v>
      </c>
      <c r="G24" s="95">
        <v>0.6000000000000227</v>
      </c>
      <c r="H24" s="95">
        <v>13.52000000000021</v>
      </c>
      <c r="I24" s="99">
        <v>613.5200000000002</v>
      </c>
      <c r="J24" s="111">
        <v>3.0</v>
      </c>
    </row>
    <row r="25">
      <c r="A25" s="93">
        <v>44682.0</v>
      </c>
      <c r="B25" s="95">
        <v>0.0</v>
      </c>
      <c r="C25" s="95">
        <v>600.0</v>
      </c>
      <c r="D25" s="96">
        <v>-0.09031398034276159</v>
      </c>
      <c r="E25" s="96">
        <v>0.03196567164179165</v>
      </c>
      <c r="F25" s="96">
        <v>0.01159430145696564</v>
      </c>
      <c r="G25" s="95">
        <v>0.6000000000000227</v>
      </c>
      <c r="H25" s="95">
        <v>12.980000000000246</v>
      </c>
      <c r="I25" s="99">
        <v>612.9800000000002</v>
      </c>
      <c r="J25" s="111">
        <v>3.0</v>
      </c>
    </row>
    <row r="26">
      <c r="A26" s="93">
        <v>44652.0</v>
      </c>
      <c r="B26" s="95">
        <v>0.0</v>
      </c>
      <c r="C26" s="95">
        <v>600.0</v>
      </c>
      <c r="D26" s="96">
        <v>-0.014442065533848804</v>
      </c>
      <c r="E26" s="96">
        <v>0.031100000000000703</v>
      </c>
      <c r="F26" s="96">
        <v>0.01162668884339842</v>
      </c>
      <c r="G26" s="95">
        <v>0.6000000000000227</v>
      </c>
      <c r="H26" s="95">
        <v>12.440000000000282</v>
      </c>
      <c r="I26" s="99">
        <v>612.4400000000003</v>
      </c>
      <c r="J26" s="111">
        <v>3.0</v>
      </c>
    </row>
    <row r="27">
      <c r="A27" s="93">
        <v>44621.0</v>
      </c>
      <c r="B27" s="95">
        <v>0.0</v>
      </c>
      <c r="C27" s="95">
        <v>600.0</v>
      </c>
      <c r="D27" s="96">
        <v>-0.031352774564650306</v>
      </c>
      <c r="E27" s="96">
        <v>0.030237704918033306</v>
      </c>
      <c r="F27" s="96">
        <v>0.011674758690604298</v>
      </c>
      <c r="G27" s="95">
        <v>-1.3212189492618336</v>
      </c>
      <c r="H27" s="95">
        <v>11.900000000000205</v>
      </c>
      <c r="I27" s="99">
        <v>611.9000000000002</v>
      </c>
      <c r="J27" s="111">
        <v>3.0</v>
      </c>
    </row>
    <row r="28">
      <c r="A28" s="93">
        <v>44593.0</v>
      </c>
      <c r="B28" s="95">
        <v>0.0</v>
      </c>
      <c r="C28" s="95">
        <v>600.0</v>
      </c>
      <c r="D28" s="96">
        <v>-0.0631011406015152</v>
      </c>
      <c r="E28" s="96">
        <v>0.034192807627401824</v>
      </c>
      <c r="F28" s="96">
        <v>0.01360449127005285</v>
      </c>
      <c r="G28" s="95">
        <v>-41.30110520317339</v>
      </c>
      <c r="H28" s="95">
        <v>13.221218949262038</v>
      </c>
      <c r="I28" s="99">
        <v>613.221218949262</v>
      </c>
      <c r="J28" s="111">
        <v>3.0</v>
      </c>
    </row>
    <row r="29">
      <c r="A29" s="93">
        <v>44562.0</v>
      </c>
      <c r="B29" s="95">
        <v>0.0</v>
      </c>
      <c r="C29" s="95">
        <v>600.0</v>
      </c>
      <c r="D29" s="96">
        <v>-0.06169775680530666</v>
      </c>
      <c r="E29" s="96">
        <v>0.12936660548896042</v>
      </c>
      <c r="F29" s="96">
        <v>0.053270747074230886</v>
      </c>
      <c r="G29" s="95">
        <v>-43.037901136960045</v>
      </c>
      <c r="H29" s="95">
        <v>49.07009173719189</v>
      </c>
      <c r="I29" s="99">
        <v>649.0700917371919</v>
      </c>
      <c r="J29" s="111">
        <v>3.0</v>
      </c>
    </row>
    <row r="30">
      <c r="A30" s="93">
        <v>44531.0</v>
      </c>
      <c r="B30" s="95">
        <v>0.0</v>
      </c>
      <c r="C30" s="95">
        <v>600.0</v>
      </c>
      <c r="D30" s="96">
        <v>0.1156046108082369</v>
      </c>
      <c r="E30" s="96">
        <v>0.23639593050891985</v>
      </c>
      <c r="F30" s="96">
        <v>0.10086870749811096</v>
      </c>
      <c r="G30" s="95">
        <v>72.28473025175424</v>
      </c>
      <c r="H30" s="95">
        <v>87.80420276045595</v>
      </c>
      <c r="I30" s="99">
        <v>687.804202760456</v>
      </c>
      <c r="J30" s="111">
        <v>3.0</v>
      </c>
    </row>
    <row r="31">
      <c r="A31" s="93">
        <v>44501.0</v>
      </c>
      <c r="B31" s="95">
        <v>0.0</v>
      </c>
      <c r="C31" s="95">
        <v>600.0</v>
      </c>
      <c r="D31" s="96">
        <v>0.05159489909299921</v>
      </c>
      <c r="E31" s="96">
        <v>0.06267291116476344</v>
      </c>
      <c r="F31" s="96">
        <v>0.027713415015653567</v>
      </c>
      <c r="G31" s="95">
        <v>16.375495037641144</v>
      </c>
      <c r="H31" s="95">
        <v>22.7479455338771</v>
      </c>
      <c r="I31" s="99">
        <v>622.7479455338771</v>
      </c>
      <c r="J31" s="111">
        <v>3.0</v>
      </c>
    </row>
    <row r="32">
      <c r="A32" s="93">
        <v>44470.0</v>
      </c>
      <c r="B32" s="95">
        <v>0.0</v>
      </c>
      <c r="C32" s="95">
        <v>600.0</v>
      </c>
      <c r="D32" s="96">
        <v>-0.03016516429454329</v>
      </c>
      <c r="E32" s="96">
        <v>0.022636956521739426</v>
      </c>
      <c r="F32" s="96">
        <v>0.010400186628384057</v>
      </c>
      <c r="G32" s="95">
        <v>-4.1913069856688026</v>
      </c>
      <c r="H32" s="95">
        <v>8.010000000000105</v>
      </c>
      <c r="I32" s="99">
        <v>608.0100000000001</v>
      </c>
      <c r="J32" s="111">
        <v>3.0</v>
      </c>
    </row>
    <row r="33">
      <c r="A33" s="93">
        <v>44440.0</v>
      </c>
      <c r="B33" s="95">
        <v>0.0</v>
      </c>
      <c r="C33" s="95">
        <v>600.0</v>
      </c>
      <c r="D33" s="96">
        <v>0.0013025817726574928</v>
      </c>
      <c r="E33" s="96">
        <v>0.03425051246250599</v>
      </c>
      <c r="F33" s="96">
        <v>0.01635294075415727</v>
      </c>
      <c r="G33" s="95">
        <v>0.7975626708566779</v>
      </c>
      <c r="H33" s="95">
        <v>11.782176287102061</v>
      </c>
      <c r="I33" s="99">
        <v>611.7821762871021</v>
      </c>
      <c r="J33" s="111">
        <v>3.0</v>
      </c>
    </row>
    <row r="34">
      <c r="A34" s="93">
        <v>44409.0</v>
      </c>
      <c r="B34" s="95">
        <v>0.0</v>
      </c>
      <c r="C34" s="95">
        <v>600.0</v>
      </c>
      <c r="D34" s="96">
        <v>0.09837837222074323</v>
      </c>
      <c r="E34" s="96">
        <v>0.03319310964999295</v>
      </c>
      <c r="F34" s="96">
        <v>0.016517415939591176</v>
      </c>
      <c r="G34" s="95">
        <v>5.193744314812193</v>
      </c>
      <c r="H34" s="95">
        <v>11.064369883330983</v>
      </c>
      <c r="I34" s="99">
        <v>611.064369883331</v>
      </c>
      <c r="J34" s="111">
        <v>3.0</v>
      </c>
    </row>
    <row r="35">
      <c r="A35" s="93">
        <v>44378.0</v>
      </c>
      <c r="B35" s="95">
        <v>0.0</v>
      </c>
      <c r="C35" s="95">
        <v>600.0</v>
      </c>
      <c r="D35" s="96">
        <v>0.14853606715471818</v>
      </c>
      <c r="E35" s="96">
        <v>0.01986081081081077</v>
      </c>
      <c r="F35" s="96">
        <v>0.010318863653838738</v>
      </c>
      <c r="G35" s="95">
        <v>0.6000000000000227</v>
      </c>
      <c r="H35" s="95">
        <v>6.389999999999986</v>
      </c>
      <c r="I35" s="99">
        <v>606.39</v>
      </c>
      <c r="J35" s="111">
        <v>3.0</v>
      </c>
    </row>
    <row r="36">
      <c r="A36" s="93">
        <v>44348.0</v>
      </c>
      <c r="B36" s="95">
        <v>0.0</v>
      </c>
      <c r="C36" s="95">
        <v>600.0</v>
      </c>
      <c r="D36" s="96">
        <v>-0.017263215616985603</v>
      </c>
      <c r="E36" s="96">
        <v>0.01892647058823537</v>
      </c>
      <c r="F36" s="96">
        <v>0.010271758369023729</v>
      </c>
      <c r="G36" s="95">
        <v>0.6000000000000227</v>
      </c>
      <c r="H36" s="95">
        <v>5.850000000000023</v>
      </c>
      <c r="I36" s="99">
        <v>605.85</v>
      </c>
      <c r="J36" s="111">
        <v>3.0</v>
      </c>
    </row>
    <row r="37">
      <c r="A37" s="93">
        <v>44317.0</v>
      </c>
      <c r="B37" s="95">
        <v>0.0</v>
      </c>
      <c r="C37" s="95">
        <v>600.0</v>
      </c>
      <c r="D37" s="96">
        <v>-0.020484672223953053</v>
      </c>
      <c r="E37" s="96">
        <v>0.01798548387096756</v>
      </c>
      <c r="F37" s="96">
        <v>0.010232395613506076</v>
      </c>
      <c r="G37" s="95">
        <v>0.6000000000000227</v>
      </c>
      <c r="H37" s="95">
        <v>5.309999999999945</v>
      </c>
      <c r="I37" s="99">
        <v>605.31</v>
      </c>
      <c r="J37" s="111">
        <v>3.0</v>
      </c>
    </row>
    <row r="38">
      <c r="A38" s="93">
        <v>44287.0</v>
      </c>
      <c r="B38" s="95">
        <v>0.0</v>
      </c>
      <c r="C38" s="95">
        <v>600.0</v>
      </c>
      <c r="D38" s="96">
        <v>0.03734176083770821</v>
      </c>
      <c r="E38" s="96">
        <v>0.01703571428571422</v>
      </c>
      <c r="F38" s="96">
        <v>0.010167148109243658</v>
      </c>
      <c r="G38" s="95">
        <v>0.6000000000000227</v>
      </c>
      <c r="H38" s="95">
        <v>4.769999999999982</v>
      </c>
      <c r="I38" s="99">
        <v>604.77</v>
      </c>
      <c r="J38" s="111">
        <v>3.0</v>
      </c>
    </row>
    <row r="39">
      <c r="A39" s="93">
        <v>44256.0</v>
      </c>
      <c r="B39" s="95">
        <v>0.0</v>
      </c>
      <c r="C39" s="95">
        <v>600.0</v>
      </c>
      <c r="D39" s="96">
        <v>-0.16492829612832205</v>
      </c>
      <c r="E39" s="96">
        <v>0.016073999999999637</v>
      </c>
      <c r="F39" s="96">
        <v>0.010105040447504076</v>
      </c>
      <c r="G39" s="95">
        <v>0.6000000000000227</v>
      </c>
      <c r="H39" s="95">
        <v>4.2299999999999045</v>
      </c>
      <c r="I39" s="99">
        <v>604.2299999999999</v>
      </c>
      <c r="J39" s="111">
        <v>3.0</v>
      </c>
    </row>
    <row r="40">
      <c r="A40" s="93">
        <v>44228.0</v>
      </c>
      <c r="B40" s="95">
        <v>0.0</v>
      </c>
      <c r="C40" s="95">
        <v>600.0</v>
      </c>
      <c r="D40" s="96">
        <v>-0.018855969057020045</v>
      </c>
      <c r="E40" s="96">
        <v>0.015095454545454303</v>
      </c>
      <c r="F40" s="96">
        <v>0.009970370294262539</v>
      </c>
      <c r="G40" s="95">
        <v>0.6000000000000227</v>
      </c>
      <c r="H40" s="95">
        <v>3.689999999999941</v>
      </c>
      <c r="I40" s="99">
        <v>603.6899999999999</v>
      </c>
      <c r="J40" s="111">
        <v>3.0</v>
      </c>
    </row>
    <row r="41">
      <c r="A41" s="93">
        <v>44197.0</v>
      </c>
      <c r="B41" s="95">
        <v>0.0</v>
      </c>
      <c r="C41" s="95">
        <v>600.0</v>
      </c>
      <c r="D41" s="96">
        <v>-0.0736699238115559</v>
      </c>
      <c r="E41" s="96">
        <v>0.014092105263157285</v>
      </c>
      <c r="F41" s="96">
        <v>0.009860424228674709</v>
      </c>
      <c r="G41" s="95">
        <v>-36.92842900129824</v>
      </c>
      <c r="H41" s="95">
        <v>3.1499999999998636</v>
      </c>
      <c r="I41" s="99">
        <v>603.1499999999999</v>
      </c>
      <c r="J41" s="111">
        <v>3.0</v>
      </c>
    </row>
    <row r="42">
      <c r="A42" s="93">
        <v>44166.0</v>
      </c>
      <c r="B42" s="95">
        <v>300.0</v>
      </c>
      <c r="C42" s="95">
        <v>600.0</v>
      </c>
      <c r="D42" s="96">
        <v>0.03290429219744357</v>
      </c>
      <c r="E42" s="96">
        <v>0.18192793050584158</v>
      </c>
      <c r="F42" s="96">
        <v>0.13533437192924366</v>
      </c>
      <c r="G42" s="95">
        <v>11.03834748901977</v>
      </c>
      <c r="H42" s="95">
        <v>36.385586101168315</v>
      </c>
      <c r="I42" s="99">
        <v>636.3855861011683</v>
      </c>
      <c r="J42" s="111">
        <v>3.0</v>
      </c>
    </row>
    <row r="43">
      <c r="A43" s="93">
        <v>44136.0</v>
      </c>
      <c r="B43" s="95">
        <v>200.0</v>
      </c>
      <c r="C43" s="95">
        <v>300.0</v>
      </c>
      <c r="D43" s="96">
        <v>-0.016432831295333683</v>
      </c>
      <c r="E43" s="96">
        <v>0.15260234631375305</v>
      </c>
      <c r="F43" s="96">
        <v>0.12090673967700283</v>
      </c>
      <c r="G43" s="95">
        <v>-5.503245545473021</v>
      </c>
      <c r="H43" s="95">
        <v>26.451073361050533</v>
      </c>
      <c r="I43" s="99">
        <v>326.45107336105053</v>
      </c>
      <c r="J43" s="111">
        <v>3.0</v>
      </c>
    </row>
    <row r="44">
      <c r="A44" s="93">
        <v>44105.0</v>
      </c>
      <c r="B44" s="95">
        <v>100.0</v>
      </c>
      <c r="C44" s="95">
        <v>300.0</v>
      </c>
      <c r="D44" s="96">
        <v>-0.0030358834822477613</v>
      </c>
      <c r="E44" s="96">
        <v>0.1911547482294205</v>
      </c>
      <c r="F44" s="96">
        <v>0.16237039951347867</v>
      </c>
      <c r="G44" s="95">
        <v>-0.7152802792899138</v>
      </c>
      <c r="H44" s="95">
        <v>31.403994351976223</v>
      </c>
      <c r="I44" s="99">
        <v>331.4039943519762</v>
      </c>
      <c r="J44" s="111">
        <v>3.0</v>
      </c>
    </row>
    <row r="45">
      <c r="A45" s="93">
        <v>44075.0</v>
      </c>
      <c r="B45" s="95">
        <v>0.0</v>
      </c>
      <c r="C45" s="95">
        <v>200.0</v>
      </c>
      <c r="D45" s="96">
        <v>0.0695011442271417</v>
      </c>
      <c r="E45" s="96">
        <v>0.20831035292169164</v>
      </c>
      <c r="F45" s="96">
        <v>0.1902133910116197</v>
      </c>
      <c r="G45" s="95">
        <v>15.310939953711681</v>
      </c>
      <c r="H45" s="95">
        <v>32.047746603337174</v>
      </c>
      <c r="I45" s="99">
        <v>232.04774660333717</v>
      </c>
      <c r="J45" s="111">
        <v>3.0</v>
      </c>
    </row>
    <row r="46">
      <c r="A46" s="93">
        <v>44044.0</v>
      </c>
      <c r="B46" s="95">
        <v>0.0</v>
      </c>
      <c r="C46" s="95">
        <v>200.0</v>
      </c>
      <c r="D46" s="96">
        <v>-0.0011851593150153932</v>
      </c>
      <c r="E46" s="96">
        <v>0.12178600429997763</v>
      </c>
      <c r="F46" s="96">
        <v>0.12054834165465264</v>
      </c>
      <c r="G46" s="95">
        <v>-0.2613976304121195</v>
      </c>
      <c r="H46" s="95">
        <v>18.267900644996644</v>
      </c>
      <c r="I46" s="99">
        <v>218.26790064499664</v>
      </c>
      <c r="J46" s="111">
        <v>3.0</v>
      </c>
    </row>
    <row r="47">
      <c r="A47" s="93">
        <v>44013.0</v>
      </c>
      <c r="B47" s="95">
        <v>0.0</v>
      </c>
      <c r="C47" s="95">
        <v>200.0</v>
      </c>
      <c r="D47" s="96">
        <v>0.01670595001387467</v>
      </c>
      <c r="E47" s="96">
        <v>0.1272092147725269</v>
      </c>
      <c r="F47" s="96">
        <v>0.1272092147725269</v>
      </c>
      <c r="G47" s="95">
        <v>3.624104604852789</v>
      </c>
      <c r="H47" s="95">
        <v>18.50315851236755</v>
      </c>
      <c r="I47" s="99">
        <v>218.50315851236755</v>
      </c>
      <c r="J47" s="111">
        <v>3.0</v>
      </c>
    </row>
    <row r="48">
      <c r="A48" s="93">
        <v>43983.0</v>
      </c>
      <c r="B48" s="95">
        <v>0.0</v>
      </c>
      <c r="C48" s="95">
        <v>200.0</v>
      </c>
      <c r="D48" s="96">
        <v>-0.00659387295460559</v>
      </c>
      <c r="E48" s="96">
        <v>0.1088676026285717</v>
      </c>
      <c r="F48" s="96">
        <v>0.1088676026285717</v>
      </c>
      <c r="G48" s="95">
        <v>-1.4399363255419644</v>
      </c>
      <c r="H48" s="95">
        <v>15.241464368000038</v>
      </c>
      <c r="I48" s="99">
        <v>215.24146436800004</v>
      </c>
      <c r="J48" s="111">
        <v>3.0</v>
      </c>
    </row>
    <row r="49">
      <c r="A49" s="93">
        <v>43952.0</v>
      </c>
      <c r="B49" s="95">
        <v>0.0</v>
      </c>
      <c r="C49" s="95">
        <v>200.0</v>
      </c>
      <c r="D49" s="96">
        <v>0.17167870410952307</v>
      </c>
      <c r="E49" s="96">
        <v>0.12403055295740863</v>
      </c>
      <c r="F49" s="96">
        <v>0.12403055295740863</v>
      </c>
      <c r="G49" s="95">
        <v>17.474896734430956</v>
      </c>
      <c r="H49" s="95">
        <v>16.537407060987817</v>
      </c>
      <c r="I49" s="99">
        <v>216.53740706098782</v>
      </c>
      <c r="J49" s="111">
        <v>3.0</v>
      </c>
    </row>
    <row r="50">
      <c r="A50" s="93">
        <v>43922.0</v>
      </c>
      <c r="B50" s="95">
        <v>0.0</v>
      </c>
      <c r="C50" s="95">
        <v>200.0</v>
      </c>
      <c r="D50" s="96">
        <v>-0.09031985768405248</v>
      </c>
      <c r="E50" s="96">
        <v>0.006479999999999563</v>
      </c>
      <c r="F50" s="96">
        <v>0.006479999999999563</v>
      </c>
      <c r="G50" s="95">
        <v>-3.982781588817545</v>
      </c>
      <c r="H50" s="95">
        <v>0.8099999999999454</v>
      </c>
      <c r="I50" s="99">
        <v>200.80999999999995</v>
      </c>
      <c r="J50" s="111">
        <v>3.0</v>
      </c>
    </row>
    <row r="51">
      <c r="A51" s="93">
        <v>43891.0</v>
      </c>
      <c r="B51" s="95">
        <v>100.0</v>
      </c>
      <c r="C51" s="95">
        <v>200.0</v>
      </c>
      <c r="D51" s="96">
        <v>-6.988944889106389E-4</v>
      </c>
      <c r="E51" s="96">
        <v>0.038451905011937834</v>
      </c>
      <c r="F51" s="96">
        <v>0.038451905011937834</v>
      </c>
      <c r="G51" s="95">
        <v>-0.0733532642261423</v>
      </c>
      <c r="H51" s="95">
        <v>4.394503429935753</v>
      </c>
      <c r="I51" s="99">
        <v>204.39450342993575</v>
      </c>
      <c r="J51" s="111">
        <v>3.0</v>
      </c>
    </row>
    <row r="52">
      <c r="A52" s="93">
        <v>43862.0</v>
      </c>
      <c r="B52" s="95">
        <v>0.0</v>
      </c>
      <c r="C52" s="95">
        <v>100.0</v>
      </c>
      <c r="D52" s="96">
        <v>-0.013571483773815925</v>
      </c>
      <c r="E52" s="96">
        <v>0.04460521367739276</v>
      </c>
      <c r="F52" s="96">
        <v>0.04460521367739276</v>
      </c>
      <c r="G52" s="95">
        <v>-1.444007809678837</v>
      </c>
      <c r="H52" s="95">
        <v>4.460521367739275</v>
      </c>
      <c r="I52" s="99">
        <v>104.46052136773928</v>
      </c>
      <c r="J52" s="111">
        <v>3.0</v>
      </c>
    </row>
    <row r="53">
      <c r="A53" s="93">
        <v>43831.0</v>
      </c>
      <c r="B53" s="95">
        <v>0.0</v>
      </c>
      <c r="C53" s="95">
        <v>100.0</v>
      </c>
      <c r="D53" s="96">
        <v>0.06953970791992178</v>
      </c>
      <c r="E53" s="96">
        <v>0.05760128396450227</v>
      </c>
      <c r="F53" s="96">
        <v>0.05760128396450227</v>
      </c>
      <c r="G53" s="95">
        <v>6.000142662722496</v>
      </c>
      <c r="H53" s="95">
        <v>5.760128396450227</v>
      </c>
      <c r="I53" s="99">
        <v>105.76012839645023</v>
      </c>
      <c r="J53" s="111">
        <v>3.0</v>
      </c>
    </row>
    <row r="54">
      <c r="A54" s="93">
        <v>43800.0</v>
      </c>
      <c r="B54" s="95">
        <v>0.0</v>
      </c>
      <c r="C54" s="95">
        <v>100.0</v>
      </c>
      <c r="D54" s="96">
        <v>0.02764486097227171</v>
      </c>
      <c r="E54" s="96">
        <v>0.003599999999999852</v>
      </c>
      <c r="F54" s="96">
        <v>0.003599999999999852</v>
      </c>
      <c r="G54" s="95">
        <v>0.09999999999999432</v>
      </c>
      <c r="H54" s="95">
        <v>0.3599999999999852</v>
      </c>
      <c r="I54" s="99">
        <v>100.35999999999999</v>
      </c>
      <c r="J54" s="111">
        <v>3.0</v>
      </c>
    </row>
    <row r="55">
      <c r="A55" s="93">
        <v>43770.0</v>
      </c>
      <c r="B55" s="95">
        <v>0.0</v>
      </c>
      <c r="C55" s="95">
        <v>100.0</v>
      </c>
      <c r="D55" s="96">
        <v>-0.031204251937763165</v>
      </c>
      <c r="E55" s="96">
        <v>0.002699999999999818</v>
      </c>
      <c r="F55" s="96">
        <v>0.002699999999999818</v>
      </c>
      <c r="G55" s="95">
        <v>0.09999999999999432</v>
      </c>
      <c r="H55" s="95">
        <v>0.2699999999999818</v>
      </c>
      <c r="I55" s="99">
        <v>100.26999999999998</v>
      </c>
      <c r="J55" s="111">
        <v>3.0</v>
      </c>
    </row>
    <row r="56">
      <c r="A56" s="93">
        <v>43739.0</v>
      </c>
      <c r="B56" s="95">
        <v>0.0</v>
      </c>
      <c r="C56" s="95">
        <v>100.0</v>
      </c>
      <c r="D56" s="96">
        <v>-0.0017577640676155197</v>
      </c>
      <c r="E56" s="96">
        <v>0.001799999999999926</v>
      </c>
      <c r="F56" s="96">
        <v>0.001799999999999926</v>
      </c>
      <c r="G56" s="95">
        <v>0.09999999999999432</v>
      </c>
      <c r="H56" s="95">
        <v>0.1799999999999926</v>
      </c>
      <c r="I56" s="99">
        <v>100.17999999999999</v>
      </c>
      <c r="J56" s="111">
        <v>3.0</v>
      </c>
    </row>
    <row r="57">
      <c r="A57" s="93">
        <v>43709.0</v>
      </c>
      <c r="B57" s="95">
        <v>100.0</v>
      </c>
      <c r="C57" s="95">
        <v>100.0</v>
      </c>
      <c r="D57" s="96">
        <v>0.09663855056374034</v>
      </c>
      <c r="E57" s="96">
        <v>8.99999999999892E-4</v>
      </c>
      <c r="F57" s="96">
        <v>8.99999999999892E-4</v>
      </c>
      <c r="G57" s="95">
        <v>0.09999999999999432</v>
      </c>
      <c r="H57" s="95">
        <v>0.0899999999999892</v>
      </c>
      <c r="I57" s="99">
        <v>100.08999999999999</v>
      </c>
      <c r="J57" s="111">
        <v>3.0</v>
      </c>
    </row>
    <row r="58">
      <c r="A58" s="93">
        <v>43678.0</v>
      </c>
      <c r="B58" s="95">
        <v>100.0</v>
      </c>
      <c r="C58" s="95">
        <v>0.0</v>
      </c>
      <c r="D58" s="96">
        <v>0.0</v>
      </c>
      <c r="E58" s="96">
        <v>0.0</v>
      </c>
      <c r="F58" s="96">
        <v>0.0</v>
      </c>
      <c r="G58" s="95">
        <v>0.0</v>
      </c>
      <c r="H58" s="95">
        <v>0.0</v>
      </c>
      <c r="I58" s="99">
        <v>0.0</v>
      </c>
      <c r="J58" s="111">
        <v>3.0</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112" t="s">
        <v>1</v>
      </c>
      <c r="B1" s="112" t="s">
        <v>71</v>
      </c>
      <c r="C1" s="112" t="s">
        <v>552</v>
      </c>
      <c r="D1" s="112" t="s">
        <v>560</v>
      </c>
      <c r="E1" s="112" t="s">
        <v>568</v>
      </c>
      <c r="F1" s="112" t="s">
        <v>572</v>
      </c>
      <c r="G1" s="112" t="s">
        <v>576</v>
      </c>
      <c r="H1" s="112" t="s">
        <v>580</v>
      </c>
      <c r="I1" s="112" t="s">
        <v>17</v>
      </c>
      <c r="J1" s="112" t="s">
        <v>771</v>
      </c>
    </row>
    <row r="2">
      <c r="A2" s="93">
        <f t="array" ref="A2">IF(ROW()=2,DateTime!$B$1,EOMONTH(INDEX($A:$A,ROW()-1)-1,-1)+1)</f>
        <v>45354.78046</v>
      </c>
      <c r="B2" s="95">
        <f>SUMIFS(TransactionsView!$D:$D,TransactionsView!$A:$A,"&gt;"&amp;EOMONTH($A2,IF(ROW()=2,-1,-2)),TransactionsView!$A:$A,"&lt;"&amp;$A2,TransactionsView!$B:$B,$J2)</f>
        <v>-312</v>
      </c>
      <c r="C2" s="95">
        <f t="array" ref="C2">INDEX($C:$C,ROW()+1)+$B2</f>
        <v>85918.09</v>
      </c>
      <c r="D2" s="96">
        <f t="array" ref="D2">IF(AND(INDEX($A:$A,ROW()+1),$I2&lt;&gt;0),$G2/$I2,0)</f>
        <v>0.03347447266</v>
      </c>
      <c r="E2" s="96">
        <f>IF($C2&lt;&gt;0,H2/AVERAGEIF(C2:C43,"&lt;&gt;0"),0)</f>
        <v>0.6865605478</v>
      </c>
      <c r="F2" s="96">
        <f>$E2/MAX(1,(($A2-MINIFS(TransactionsView!$A:$A,TransactionsView!$B:$B,$J2))/365.25))</f>
        <v>0.1985826102</v>
      </c>
      <c r="G2" s="95">
        <f t="array" ref="G2">INDEX($H:$H,ROW())-IF(INDEX($H:$H,ROW()+1),INDEX($H:$H,ROW()+1),0)</f>
        <v>4536.212304</v>
      </c>
      <c r="H2" s="95">
        <f>I2-C2</f>
        <v>49594.49448</v>
      </c>
      <c r="I2" s="99">
        <f t="array" ref="I2">IF(MAXIFS(Portfolio!$H:$H,Portfolio!$A:$A,$J2),MAXIFS(Portfolio!$H:$H,Portfolio!$A:$A,$J2),INDEX(I:I,ROW()+1))</f>
        <v>135512.5845</v>
      </c>
      <c r="J2" s="100">
        <v>4.0</v>
      </c>
    </row>
    <row r="3">
      <c r="A3" s="93">
        <v>45352.0</v>
      </c>
      <c r="B3" s="95">
        <v>8635.0</v>
      </c>
      <c r="C3" s="95">
        <v>86230.09000000001</v>
      </c>
      <c r="D3" s="96">
        <v>0.15376101632917324</v>
      </c>
      <c r="E3" s="96">
        <v>0.6266585119847923</v>
      </c>
      <c r="F3" s="96">
        <v>0.18165636627178205</v>
      </c>
      <c r="G3" s="95">
        <v>20187.033537402895</v>
      </c>
      <c r="H3" s="95">
        <v>45058.2821722174</v>
      </c>
      <c r="I3" s="97">
        <v>131288.3721722174</v>
      </c>
      <c r="J3" s="113">
        <v>4.0</v>
      </c>
    </row>
    <row r="4">
      <c r="A4" s="93">
        <v>45323.0</v>
      </c>
      <c r="B4" s="95">
        <v>-304.71</v>
      </c>
      <c r="C4" s="95">
        <v>77595.09000000001</v>
      </c>
      <c r="D4" s="96">
        <v>0.27836888460667225</v>
      </c>
      <c r="E4" s="96">
        <v>0.347634444319608</v>
      </c>
      <c r="F4" s="96">
        <v>0.10314661315007052</v>
      </c>
      <c r="G4" s="95">
        <v>28523.440395502883</v>
      </c>
      <c r="H4" s="95">
        <v>24871.248634814503</v>
      </c>
      <c r="I4" s="97">
        <v>102466.33863481451</v>
      </c>
      <c r="J4" s="113">
        <v>4.0</v>
      </c>
    </row>
    <row r="5">
      <c r="A5" s="93">
        <v>45292.0</v>
      </c>
      <c r="B5" s="95">
        <v>-300.2</v>
      </c>
      <c r="C5" s="95">
        <v>77899.80000000002</v>
      </c>
      <c r="D5" s="96">
        <v>-0.05984434458447069</v>
      </c>
      <c r="E5" s="96">
        <v>-0.05115894847325338</v>
      </c>
      <c r="F5" s="96">
        <v>-0.015571504941546497</v>
      </c>
      <c r="G5" s="95">
        <v>-4443.299452046151</v>
      </c>
      <c r="H5" s="95">
        <v>-3652.19176068838</v>
      </c>
      <c r="I5" s="103">
        <v>74247.60823931164</v>
      </c>
      <c r="J5" s="113">
        <v>4.0</v>
      </c>
    </row>
    <row r="6">
      <c r="A6" s="93">
        <v>45261.0</v>
      </c>
      <c r="B6" s="95">
        <v>0.0</v>
      </c>
      <c r="C6" s="95">
        <v>78200.00000000001</v>
      </c>
      <c r="D6" s="96">
        <v>0.14772366110902257</v>
      </c>
      <c r="E6" s="96">
        <v>0.011108289867726653</v>
      </c>
      <c r="F6" s="96">
        <v>0.003470746684505697</v>
      </c>
      <c r="G6" s="95">
        <v>11668.855623224445</v>
      </c>
      <c r="H6" s="95">
        <v>791.1076913577708</v>
      </c>
      <c r="I6" s="103">
        <v>78991.10769135779</v>
      </c>
      <c r="J6" s="113">
        <v>4.0</v>
      </c>
    </row>
    <row r="7">
      <c r="A7" s="93">
        <v>45231.0</v>
      </c>
      <c r="B7" s="95">
        <v>-600.0</v>
      </c>
      <c r="C7" s="95">
        <v>78200.00000000001</v>
      </c>
      <c r="D7" s="96">
        <v>0.027394754551301505</v>
      </c>
      <c r="E7" s="96">
        <v>-0.15314502174875408</v>
      </c>
      <c r="F7" s="96">
        <v>-0.04910993783470801</v>
      </c>
      <c r="G7" s="95">
        <v>1844.2765712473629</v>
      </c>
      <c r="H7" s="95">
        <v>-10877.747931866674</v>
      </c>
      <c r="I7" s="103">
        <v>67322.25206813334</v>
      </c>
      <c r="J7" s="113">
        <v>4.0</v>
      </c>
    </row>
    <row r="8">
      <c r="A8" s="93">
        <v>45200.0</v>
      </c>
      <c r="B8" s="95">
        <v>-300.0</v>
      </c>
      <c r="C8" s="95">
        <v>78800.00000000001</v>
      </c>
      <c r="D8" s="96">
        <v>-0.039611503525744114</v>
      </c>
      <c r="E8" s="96">
        <v>-0.17961382400695963</v>
      </c>
      <c r="F8" s="96">
        <v>-0.05920934044994766</v>
      </c>
      <c r="G8" s="95">
        <v>-2617.447959368932</v>
      </c>
      <c r="H8" s="95">
        <v>-12722.024503114037</v>
      </c>
      <c r="I8" s="103">
        <v>66077.97549688598</v>
      </c>
      <c r="J8" s="113">
        <v>4.0</v>
      </c>
    </row>
    <row r="9">
      <c r="A9" s="93">
        <v>45170.0</v>
      </c>
      <c r="B9" s="95">
        <v>-300.0</v>
      </c>
      <c r="C9" s="95">
        <v>79100.00000000001</v>
      </c>
      <c r="D9" s="96">
        <v>0.045088692624156816</v>
      </c>
      <c r="E9" s="96">
        <v>-0.1431199430190928</v>
      </c>
      <c r="F9" s="96">
        <v>-0.04849216993295329</v>
      </c>
      <c r="G9" s="95">
        <v>3110.913440692617</v>
      </c>
      <c r="H9" s="95">
        <v>-10104.576543745105</v>
      </c>
      <c r="I9" s="103">
        <v>68995.42345625491</v>
      </c>
      <c r="J9" s="113">
        <v>4.0</v>
      </c>
    </row>
    <row r="10">
      <c r="A10" s="93">
        <v>45139.0</v>
      </c>
      <c r="B10" s="95">
        <v>-300.0</v>
      </c>
      <c r="C10" s="95">
        <v>79400.00000000001</v>
      </c>
      <c r="D10" s="96">
        <v>-0.01711246962502536</v>
      </c>
      <c r="E10" s="96">
        <v>-0.1878475205890626</v>
      </c>
      <c r="F10" s="96">
        <v>-0.06553133418830479</v>
      </c>
      <c r="G10" s="95">
        <v>-1132.5804172884964</v>
      </c>
      <c r="H10" s="95">
        <v>-13215.489984437721</v>
      </c>
      <c r="I10" s="103">
        <v>66184.5100155623</v>
      </c>
      <c r="J10" s="113">
        <v>4.0</v>
      </c>
    </row>
    <row r="11">
      <c r="A11" s="93">
        <v>45108.0</v>
      </c>
      <c r="B11" s="95">
        <v>0.0</v>
      </c>
      <c r="C11" s="95">
        <v>79700.00000000001</v>
      </c>
      <c r="D11" s="96">
        <v>-0.021636864846260304</v>
      </c>
      <c r="E11" s="96">
        <v>-0.1724207588520914</v>
      </c>
      <c r="F11" s="96">
        <v>-0.06198492339638424</v>
      </c>
      <c r="G11" s="95">
        <v>-1463.0218469929532</v>
      </c>
      <c r="H11" s="95">
        <v>-12082.909567149225</v>
      </c>
      <c r="I11" s="103">
        <v>67617.09043285079</v>
      </c>
      <c r="J11" s="113">
        <v>4.0</v>
      </c>
    </row>
    <row r="12">
      <c r="A12" s="93">
        <v>45078.0</v>
      </c>
      <c r="B12" s="95">
        <v>-300.0</v>
      </c>
      <c r="C12" s="95">
        <v>79700.00000000001</v>
      </c>
      <c r="D12" s="96">
        <v>0.020288487502806478</v>
      </c>
      <c r="E12" s="96">
        <v>-0.1521967584546792</v>
      </c>
      <c r="F12" s="96">
        <v>-0.056379174468125334</v>
      </c>
      <c r="G12" s="95">
        <v>1401.530994682078</v>
      </c>
      <c r="H12" s="95">
        <v>-10619.887720156272</v>
      </c>
      <c r="I12" s="103">
        <v>69080.11227984374</v>
      </c>
      <c r="J12" s="113">
        <v>4.0</v>
      </c>
    </row>
    <row r="13">
      <c r="A13" s="93">
        <v>45047.0</v>
      </c>
      <c r="B13" s="95">
        <v>0.0</v>
      </c>
      <c r="C13" s="95">
        <v>80000.00000000001</v>
      </c>
      <c r="D13" s="96">
        <v>-0.014514573577191273</v>
      </c>
      <c r="E13" s="96">
        <v>-0.17307645711324837</v>
      </c>
      <c r="F13" s="96">
        <v>-0.06619494864985756</v>
      </c>
      <c r="G13" s="95">
        <v>-986.6801197365567</v>
      </c>
      <c r="H13" s="95">
        <v>-12021.41871483835</v>
      </c>
      <c r="I13" s="103">
        <v>67978.58128516166</v>
      </c>
      <c r="J13" s="113">
        <v>4.0</v>
      </c>
    </row>
    <row r="14">
      <c r="A14" s="93">
        <v>45017.0</v>
      </c>
      <c r="B14" s="95">
        <v>0.0</v>
      </c>
      <c r="C14" s="95">
        <v>80000.00000000001</v>
      </c>
      <c r="D14" s="96">
        <v>-0.014001576837698591</v>
      </c>
      <c r="E14" s="96">
        <v>-0.15967879431346046</v>
      </c>
      <c r="F14" s="96">
        <v>-0.06305154553836911</v>
      </c>
      <c r="G14" s="95">
        <v>-965.6224066926516</v>
      </c>
      <c r="H14" s="95">
        <v>-11034.738595101793</v>
      </c>
      <c r="I14" s="103">
        <v>68965.26140489822</v>
      </c>
      <c r="J14" s="113">
        <v>4.0</v>
      </c>
    </row>
    <row r="15">
      <c r="A15" s="93">
        <v>44986.0</v>
      </c>
      <c r="B15" s="95">
        <v>0.0</v>
      </c>
      <c r="C15" s="95">
        <v>80000.00000000001</v>
      </c>
      <c r="D15" s="96">
        <v>0.23255642411707414</v>
      </c>
      <c r="E15" s="96">
        <v>-0.14650208941658607</v>
      </c>
      <c r="F15" s="96">
        <v>-0.05985446102842065</v>
      </c>
      <c r="G15" s="95">
        <v>16262.87627457016</v>
      </c>
      <c r="H15" s="95">
        <v>-10069.116188409142</v>
      </c>
      <c r="I15" s="103">
        <v>69930.88381159087</v>
      </c>
      <c r="J15" s="113">
        <v>4.0</v>
      </c>
    </row>
    <row r="16">
      <c r="A16" s="93">
        <v>44958.0</v>
      </c>
      <c r="B16" s="95">
        <v>0.0</v>
      </c>
      <c r="C16" s="95">
        <v>80000.00000000001</v>
      </c>
      <c r="D16" s="96">
        <v>-0.22437295956521977</v>
      </c>
      <c r="E16" s="96">
        <v>-0.3853780295527209</v>
      </c>
      <c r="F16" s="96">
        <v>-0.16253963659830406</v>
      </c>
      <c r="G16" s="95">
        <v>-12041.649685049859</v>
      </c>
      <c r="H16" s="95">
        <v>-26331.992462979302</v>
      </c>
      <c r="I16" s="103">
        <v>53668.00753702071</v>
      </c>
      <c r="J16" s="113">
        <v>4.0</v>
      </c>
    </row>
    <row r="17">
      <c r="A17" s="93">
        <v>44927.0</v>
      </c>
      <c r="B17" s="95">
        <v>0.0</v>
      </c>
      <c r="C17" s="95">
        <v>80000.00000000001</v>
      </c>
      <c r="D17" s="96">
        <v>-0.21230498812357332</v>
      </c>
      <c r="E17" s="96">
        <v>-0.21047590011056277</v>
      </c>
      <c r="F17" s="96">
        <v>-0.0920674521142312</v>
      </c>
      <c r="G17" s="95">
        <v>-13950.487996135766</v>
      </c>
      <c r="H17" s="95">
        <v>-14290.342777929443</v>
      </c>
      <c r="I17" s="104">
        <v>65709.65722207057</v>
      </c>
      <c r="J17" s="113">
        <v>4.0</v>
      </c>
    </row>
    <row r="18">
      <c r="A18" s="93">
        <v>44896.0</v>
      </c>
      <c r="B18" s="95">
        <v>0.0</v>
      </c>
      <c r="C18" s="95">
        <v>80000.00000000001</v>
      </c>
      <c r="D18" s="96">
        <v>-0.027036865353195733</v>
      </c>
      <c r="E18" s="96">
        <v>-0.005040125491281758</v>
      </c>
      <c r="F18" s="96">
        <v>-0.0022896838752371417</v>
      </c>
      <c r="G18" s="95">
        <v>-2153.7606202806637</v>
      </c>
      <c r="H18" s="95">
        <v>-339.85478179367783</v>
      </c>
      <c r="I18" s="104">
        <v>79660.14521820634</v>
      </c>
      <c r="J18" s="113">
        <v>4.0</v>
      </c>
    </row>
    <row r="19">
      <c r="A19" s="93">
        <v>44866.0</v>
      </c>
      <c r="B19" s="95">
        <v>0.0</v>
      </c>
      <c r="C19" s="95">
        <v>80000.00000000001</v>
      </c>
      <c r="D19" s="96">
        <v>0.037409376387469585</v>
      </c>
      <c r="E19" s="96">
        <v>0.027102743882087922</v>
      </c>
      <c r="F19" s="96">
        <v>0.012789763828078313</v>
      </c>
      <c r="G19" s="95">
        <v>3060.6071972409554</v>
      </c>
      <c r="H19" s="95">
        <v>1813.9058384869859</v>
      </c>
      <c r="I19" s="104">
        <v>81813.905838487</v>
      </c>
      <c r="J19" s="113">
        <v>4.0</v>
      </c>
    </row>
    <row r="20">
      <c r="A20" s="93">
        <v>44835.0</v>
      </c>
      <c r="B20" s="95">
        <v>0.0</v>
      </c>
      <c r="C20" s="95">
        <v>80000.00000000001</v>
      </c>
      <c r="D20" s="96">
        <v>-0.034826494966872595</v>
      </c>
      <c r="E20" s="96">
        <v>-0.01878062609004489</v>
      </c>
      <c r="F20" s="96">
        <v>-0.009232333350456118</v>
      </c>
      <c r="G20" s="95">
        <v>-2742.7013587539695</v>
      </c>
      <c r="H20" s="95">
        <v>-1246.7013587539695</v>
      </c>
      <c r="I20" s="104">
        <v>78753.29864124605</v>
      </c>
      <c r="J20" s="113">
        <v>4.0</v>
      </c>
    </row>
    <row r="21">
      <c r="A21" s="114">
        <v>44774.0</v>
      </c>
      <c r="B21" s="115">
        <v>0.0</v>
      </c>
      <c r="C21" s="115">
        <v>80000.00000000001</v>
      </c>
      <c r="D21" s="116">
        <v>-0.017598140054812684</v>
      </c>
      <c r="E21" s="116">
        <v>0.022738936038521267</v>
      </c>
      <c r="F21" s="116">
        <v>0.012178000569017439</v>
      </c>
      <c r="G21" s="115">
        <v>80.0</v>
      </c>
      <c r="H21" s="115">
        <v>1496.0</v>
      </c>
      <c r="I21" s="117">
        <v>81496.00000000001</v>
      </c>
      <c r="J21" s="118">
        <v>4.0</v>
      </c>
    </row>
    <row r="22">
      <c r="A22" s="119">
        <v>44743.0</v>
      </c>
      <c r="B22" s="120">
        <v>0.0</v>
      </c>
      <c r="C22" s="120">
        <v>80000.00000000001</v>
      </c>
      <c r="D22" s="121">
        <v>-0.05315432864464901</v>
      </c>
      <c r="E22" s="121">
        <v>0.021859151844534092</v>
      </c>
      <c r="F22" s="121">
        <v>0.012264293719225924</v>
      </c>
      <c r="G22" s="120">
        <v>80.0</v>
      </c>
      <c r="H22" s="120">
        <v>1424.0</v>
      </c>
      <c r="I22" s="104">
        <v>81424.00000000001</v>
      </c>
      <c r="J22" s="113">
        <v>4.0</v>
      </c>
    </row>
    <row r="23">
      <c r="A23" s="119">
        <v>44713.0</v>
      </c>
      <c r="B23" s="120">
        <v>0.0</v>
      </c>
      <c r="C23" s="120">
        <v>80000.00000000001</v>
      </c>
      <c r="D23" s="121">
        <v>-0.1232628332688067</v>
      </c>
      <c r="E23" s="121">
        <v>0.020981757975421754</v>
      </c>
      <c r="F23" s="121">
        <v>0.012340719968635741</v>
      </c>
      <c r="G23" s="120">
        <v>80.0</v>
      </c>
      <c r="H23" s="120">
        <v>1352.0</v>
      </c>
      <c r="I23" s="104">
        <v>81352.00000000001</v>
      </c>
      <c r="J23" s="113">
        <v>4.0</v>
      </c>
    </row>
    <row r="24">
      <c r="A24" s="119">
        <v>44682.0</v>
      </c>
      <c r="B24" s="120">
        <v>0.0</v>
      </c>
      <c r="C24" s="120">
        <v>80000.00000000001</v>
      </c>
      <c r="D24" s="121">
        <v>-0.09031398034276159</v>
      </c>
      <c r="E24" s="121">
        <v>0.02010720501948726</v>
      </c>
      <c r="F24" s="121">
        <v>0.012447723107402917</v>
      </c>
      <c r="G24" s="120">
        <v>-2966.425898578571</v>
      </c>
      <c r="H24" s="120">
        <v>1280.0</v>
      </c>
      <c r="I24" s="104">
        <v>81280.00000000001</v>
      </c>
      <c r="J24" s="113">
        <v>4.0</v>
      </c>
    </row>
    <row r="25">
      <c r="A25" s="119">
        <v>44652.0</v>
      </c>
      <c r="B25" s="120">
        <v>0.0</v>
      </c>
      <c r="C25" s="120">
        <v>80000.00000000001</v>
      </c>
      <c r="D25" s="121">
        <v>-0.014442065533848804</v>
      </c>
      <c r="E25" s="121">
        <v>0.06761963749488516</v>
      </c>
      <c r="F25" s="121">
        <v>0.04410370106251215</v>
      </c>
      <c r="G25" s="120">
        <v>-1234.5214434084628</v>
      </c>
      <c r="H25" s="120">
        <v>4246.425898578571</v>
      </c>
      <c r="I25" s="104">
        <v>84246.42589857859</v>
      </c>
      <c r="J25" s="113">
        <v>4.0</v>
      </c>
    </row>
    <row r="26">
      <c r="A26" s="119">
        <v>44621.0</v>
      </c>
      <c r="B26" s="120">
        <v>0.0</v>
      </c>
      <c r="C26" s="120">
        <v>80000.00000000001</v>
      </c>
      <c r="D26" s="121">
        <v>-0.031352774564650306</v>
      </c>
      <c r="E26" s="121">
        <v>0.08862668617916407</v>
      </c>
      <c r="F26" s="121">
        <v>0.06119262216812793</v>
      </c>
      <c r="G26" s="120">
        <v>-2766.812107866761</v>
      </c>
      <c r="H26" s="120">
        <v>5480.947341987034</v>
      </c>
      <c r="I26" s="104">
        <v>85480.94734198705</v>
      </c>
      <c r="J26" s="113">
        <v>4.0</v>
      </c>
    </row>
    <row r="27">
      <c r="A27" s="119">
        <v>44593.0</v>
      </c>
      <c r="B27" s="120">
        <v>0.0</v>
      </c>
      <c r="C27" s="120">
        <v>80000.00000000001</v>
      </c>
      <c r="D27" s="121">
        <v>-0.0631011406015152</v>
      </c>
      <c r="E27" s="121">
        <v>0.1343626469629497</v>
      </c>
      <c r="F27" s="121">
        <v>0.0979560016032283</v>
      </c>
      <c r="G27" s="120">
        <v>-5943.5810183279245</v>
      </c>
      <c r="H27" s="120">
        <v>8165.893504868422</v>
      </c>
      <c r="I27" s="104">
        <v>88165.89350486844</v>
      </c>
      <c r="J27" s="113">
        <v>4.0</v>
      </c>
    </row>
    <row r="28">
      <c r="A28" s="119">
        <v>44562.0</v>
      </c>
      <c r="B28" s="120">
        <v>0.0</v>
      </c>
      <c r="C28" s="120">
        <v>80000.00000000001</v>
      </c>
      <c r="D28" s="121">
        <v>-0.06169775680530666</v>
      </c>
      <c r="E28" s="121">
        <v>0.21450953294770791</v>
      </c>
      <c r="F28" s="121">
        <v>0.1667012912960645</v>
      </c>
      <c r="G28" s="120">
        <v>-6193.52075466144</v>
      </c>
      <c r="H28" s="120">
        <v>12779.076421363541</v>
      </c>
      <c r="I28" s="104">
        <v>92779.07642136356</v>
      </c>
      <c r="J28" s="113">
        <v>4.0</v>
      </c>
    </row>
    <row r="29">
      <c r="A29" s="119">
        <v>44531.0</v>
      </c>
      <c r="B29" s="120">
        <v>0.0</v>
      </c>
      <c r="C29" s="120">
        <v>80000.00000000001</v>
      </c>
      <c r="D29" s="121">
        <v>0.1156046108082369</v>
      </c>
      <c r="E29" s="121">
        <v>0.3152844864746686</v>
      </c>
      <c r="F29" s="121">
        <v>0.2623181291227169</v>
      </c>
      <c r="G29" s="120">
        <v>10402.388713953114</v>
      </c>
      <c r="H29" s="120">
        <v>18353.245100558837</v>
      </c>
      <c r="I29" s="104">
        <v>98353.24510055885</v>
      </c>
      <c r="J29" s="113">
        <v>4.0</v>
      </c>
    </row>
    <row r="30">
      <c r="A30" s="119">
        <v>44501.0</v>
      </c>
      <c r="B30" s="120">
        <v>0.0</v>
      </c>
      <c r="C30" s="120">
        <v>80000.00000000001</v>
      </c>
      <c r="D30" s="121">
        <v>0.05159489909299921</v>
      </c>
      <c r="E30" s="121">
        <v>0.1586979678014931</v>
      </c>
      <c r="F30" s="121">
        <v>0.14172232943641894</v>
      </c>
      <c r="G30" s="120">
        <v>4414.852709193467</v>
      </c>
      <c r="H30" s="120">
        <v>8991.095258001034</v>
      </c>
      <c r="I30" s="104">
        <v>88991.09525800105</v>
      </c>
      <c r="J30" s="113">
        <v>4.0</v>
      </c>
    </row>
    <row r="31">
      <c r="A31" s="119">
        <v>44470.0</v>
      </c>
      <c r="B31" s="120">
        <v>0.0</v>
      </c>
      <c r="C31" s="120">
        <v>80000.00000000001</v>
      </c>
      <c r="D31" s="121">
        <v>-0.03016516429454329</v>
      </c>
      <c r="E31" s="121">
        <v>0.0914648152033301</v>
      </c>
      <c r="F31" s="121">
        <v>0.08837969246829713</v>
      </c>
      <c r="G31" s="120">
        <v>-2661.4442114500125</v>
      </c>
      <c r="H31" s="120">
        <v>5017.727819726919</v>
      </c>
      <c r="I31" s="104">
        <v>85017.72781972693</v>
      </c>
      <c r="J31" s="113">
        <v>4.0</v>
      </c>
    </row>
    <row r="32">
      <c r="A32" s="119">
        <v>44440.0</v>
      </c>
      <c r="B32" s="120">
        <v>3818.7699999999986</v>
      </c>
      <c r="C32" s="120">
        <v>80000.00000000001</v>
      </c>
      <c r="D32" s="121">
        <v>0.0013025817726574928</v>
      </c>
      <c r="E32" s="121">
        <v>0.14049238629744615</v>
      </c>
      <c r="F32" s="121">
        <v>0.14049238629744615</v>
      </c>
      <c r="G32" s="120">
        <v>113.62207835534355</v>
      </c>
      <c r="H32" s="120">
        <v>7413.0276100319315</v>
      </c>
      <c r="I32" s="104">
        <v>87413.02761003195</v>
      </c>
      <c r="J32" s="113">
        <v>4.0</v>
      </c>
    </row>
    <row r="33">
      <c r="A33" s="119">
        <v>44409.0</v>
      </c>
      <c r="B33" s="120">
        <v>3818.7699999999986</v>
      </c>
      <c r="C33" s="120">
        <v>76181.23000000001</v>
      </c>
      <c r="D33" s="121">
        <v>0.09837837222074323</v>
      </c>
      <c r="E33" s="121">
        <v>0.14537601710428982</v>
      </c>
      <c r="F33" s="121">
        <v>0.14537601710428982</v>
      </c>
      <c r="G33" s="120">
        <v>7553.67034549237</v>
      </c>
      <c r="H33" s="120">
        <v>7310.767739512128</v>
      </c>
      <c r="I33" s="104">
        <v>83491.99773951214</v>
      </c>
      <c r="J33" s="113">
        <v>4.0</v>
      </c>
    </row>
    <row r="34">
      <c r="A34" s="119">
        <v>44378.0</v>
      </c>
      <c r="B34" s="120">
        <v>3818.7699999999986</v>
      </c>
      <c r="C34" s="120">
        <v>76181.23000000001</v>
      </c>
      <c r="D34" s="121">
        <v>0.14853606715471818</v>
      </c>
      <c r="E34" s="121">
        <v>0.010743619028032822</v>
      </c>
      <c r="F34" s="121">
        <v>0.010743619028032822</v>
      </c>
      <c r="G34" s="120">
        <v>161.77158729887742</v>
      </c>
      <c r="H34" s="120">
        <v>512.4644285689865</v>
      </c>
      <c r="I34" s="104">
        <v>76693.694428569</v>
      </c>
      <c r="J34" s="113">
        <v>4.0</v>
      </c>
    </row>
    <row r="35">
      <c r="A35" s="119">
        <v>44348.0</v>
      </c>
      <c r="B35" s="120">
        <v>11316.369999999999</v>
      </c>
      <c r="C35" s="120">
        <v>76181.23000000001</v>
      </c>
      <c r="D35" s="121">
        <v>-0.017263215616985603</v>
      </c>
      <c r="E35" s="121">
        <v>0.008237831607258142</v>
      </c>
      <c r="F35" s="121">
        <v>0.008237831607258142</v>
      </c>
      <c r="G35" s="120">
        <v>80.0</v>
      </c>
      <c r="H35" s="120">
        <v>366.86999999999534</v>
      </c>
      <c r="I35" s="104">
        <v>76548.1</v>
      </c>
      <c r="J35" s="113">
        <v>4.0</v>
      </c>
    </row>
    <row r="36">
      <c r="A36" s="119">
        <v>44317.0</v>
      </c>
      <c r="B36" s="120">
        <v>33609.86</v>
      </c>
      <c r="C36" s="120">
        <v>68683.63</v>
      </c>
      <c r="D36" s="121">
        <v>-0.020484672223953053</v>
      </c>
      <c r="E36" s="121">
        <v>0.00726657159895337</v>
      </c>
      <c r="F36" s="121">
        <v>0.00726657159895337</v>
      </c>
      <c r="G36" s="120">
        <v>80.0</v>
      </c>
      <c r="H36" s="120">
        <v>294.86999999999534</v>
      </c>
      <c r="I36" s="104">
        <v>68978.5</v>
      </c>
      <c r="J36" s="113">
        <v>4.0</v>
      </c>
    </row>
    <row r="37">
      <c r="A37" s="119">
        <v>44287.0</v>
      </c>
      <c r="B37" s="120">
        <v>40000.0</v>
      </c>
      <c r="C37" s="120">
        <v>46390.14</v>
      </c>
      <c r="D37" s="121">
        <v>0.03734176083770821</v>
      </c>
      <c r="E37" s="121">
        <v>0.006095336344307945</v>
      </c>
      <c r="F37" s="121">
        <v>0.006095336344307945</v>
      </c>
      <c r="G37" s="120">
        <v>40.0</v>
      </c>
      <c r="H37" s="120">
        <v>222.87000000000262</v>
      </c>
      <c r="I37" s="104">
        <v>46613.01</v>
      </c>
      <c r="J37" s="113">
        <v>4.0</v>
      </c>
    </row>
    <row r="38">
      <c r="A38" s="119">
        <v>44256.0</v>
      </c>
      <c r="B38" s="120">
        <v>0.0</v>
      </c>
      <c r="C38" s="120">
        <v>40000.0</v>
      </c>
      <c r="D38" s="121">
        <v>-0.16492829612832205</v>
      </c>
      <c r="E38" s="121">
        <v>0.005350404184044587</v>
      </c>
      <c r="F38" s="121">
        <v>0.005350404184044587</v>
      </c>
      <c r="G38" s="120">
        <v>40.0</v>
      </c>
      <c r="H38" s="120">
        <v>186.87000000000262</v>
      </c>
      <c r="I38" s="104">
        <v>40186.87</v>
      </c>
      <c r="J38" s="113">
        <v>4.0</v>
      </c>
    </row>
    <row r="39">
      <c r="A39" s="119">
        <v>44228.0</v>
      </c>
      <c r="B39" s="120">
        <v>0.0</v>
      </c>
      <c r="C39" s="120">
        <v>40000.0</v>
      </c>
      <c r="D39" s="121">
        <v>-0.018855969057020045</v>
      </c>
      <c r="E39" s="121">
        <v>0.00444892013352371</v>
      </c>
      <c r="F39" s="121">
        <v>0.00444892013352371</v>
      </c>
      <c r="G39" s="120">
        <v>40.0</v>
      </c>
      <c r="H39" s="120">
        <v>150.87000000000262</v>
      </c>
      <c r="I39" s="104">
        <v>40150.87</v>
      </c>
      <c r="J39" s="113">
        <v>4.0</v>
      </c>
    </row>
    <row r="40">
      <c r="A40" s="119">
        <v>44197.0</v>
      </c>
      <c r="B40" s="120">
        <v>0.0</v>
      </c>
      <c r="C40" s="120">
        <v>40000.0</v>
      </c>
      <c r="D40" s="121">
        <v>-0.0736699238115559</v>
      </c>
      <c r="E40" s="121">
        <v>0.0033344139304404205</v>
      </c>
      <c r="F40" s="121">
        <v>0.0033344139304404205</v>
      </c>
      <c r="G40" s="120">
        <v>-1065.3822461359887</v>
      </c>
      <c r="H40" s="120">
        <v>108.0</v>
      </c>
      <c r="I40" s="104">
        <v>40108.0</v>
      </c>
      <c r="J40" s="113">
        <v>4.0</v>
      </c>
    </row>
    <row r="41">
      <c r="A41" s="119">
        <v>44166.0</v>
      </c>
      <c r="B41" s="120">
        <v>0.0</v>
      </c>
      <c r="C41" s="120">
        <v>40000.0</v>
      </c>
      <c r="D41" s="121">
        <v>0.03290429219744357</v>
      </c>
      <c r="E41" s="121">
        <v>0.035736975642233715</v>
      </c>
      <c r="F41" s="121">
        <v>0.035736975642233715</v>
      </c>
      <c r="G41" s="120">
        <v>1145.3822461359887</v>
      </c>
      <c r="H41" s="120">
        <v>1066.844021522389</v>
      </c>
      <c r="I41" s="104">
        <v>41066.84402152239</v>
      </c>
      <c r="J41" s="113">
        <v>4.0</v>
      </c>
    </row>
    <row r="42">
      <c r="A42" s="119">
        <v>44136.0</v>
      </c>
      <c r="B42" s="120">
        <v>30442.0</v>
      </c>
      <c r="C42" s="120">
        <v>40000.0</v>
      </c>
      <c r="D42" s="121">
        <v>-0.016432831295333683</v>
      </c>
      <c r="E42" s="121">
        <v>0.0014528431332983575</v>
      </c>
      <c r="F42" s="121">
        <v>0.0014528431332983575</v>
      </c>
      <c r="G42" s="120">
        <v>40.0</v>
      </c>
      <c r="H42" s="120">
        <v>36.0</v>
      </c>
      <c r="I42" s="104">
        <v>40036.0</v>
      </c>
      <c r="J42" s="113">
        <v>4.0</v>
      </c>
    </row>
    <row r="43">
      <c r="A43" s="119">
        <v>44105.0</v>
      </c>
      <c r="B43" s="120">
        <v>40000.0</v>
      </c>
      <c r="C43" s="120">
        <v>9558.0</v>
      </c>
      <c r="D43" s="121">
        <v>0.0</v>
      </c>
      <c r="E43" s="121">
        <v>0.0</v>
      </c>
      <c r="F43" s="121">
        <v>0.0</v>
      </c>
      <c r="G43" s="120">
        <v>0.0</v>
      </c>
      <c r="H43" s="120">
        <v>0.0</v>
      </c>
      <c r="I43" s="104">
        <v>9558.0</v>
      </c>
      <c r="J43" s="113">
        <v>4.0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6845.5</v>
      </c>
      <c r="D2" s="96">
        <f t="array" ref="D2">IF(AND(INDEX($A:$A,ROW()+1),$I2&lt;&gt;0),$G2/$I2,0)</f>
        <v>0.03179902767</v>
      </c>
      <c r="E2" s="96">
        <f>IF($C2&lt;&gt;0,H2/AVERAGEIF(C2:C42,"&lt;&gt;0"),0)</f>
        <v>1.161134004</v>
      </c>
      <c r="F2" s="96">
        <f>$E2/MAX(1,(($A2-MINIFS(TransactionsView!$A:$A,TransactionsView!$B:$B,$J2))/365.25))</f>
        <v>0.3555593076</v>
      </c>
      <c r="G2" s="95">
        <f t="array" ref="G2">INDEX($H:$H,ROW())-IF(INDEX($H:$H,ROW()+1),INDEX($H:$H,ROW()+1),0)</f>
        <v>417.6668454</v>
      </c>
      <c r="H2" s="95">
        <f>I2-C2</f>
        <v>6289.079135</v>
      </c>
      <c r="I2" s="99">
        <f t="array" ref="I2">IF(MAXIFS(Portfolio!$H:$H,Portfolio!$A:$A,$J2),MAXIFS(Portfolio!$H:$H,Portfolio!$A:$A,$J2),INDEX(I:I,ROW()+1))</f>
        <v>13134.57913</v>
      </c>
      <c r="J2" s="100">
        <v>5.0</v>
      </c>
    </row>
    <row r="3">
      <c r="A3" s="93">
        <v>45352.0</v>
      </c>
      <c r="B3" s="95">
        <v>846.5</v>
      </c>
      <c r="C3" s="95">
        <v>6845.5</v>
      </c>
      <c r="D3" s="96">
        <v>0.14723214466562015</v>
      </c>
      <c r="E3" s="96">
        <v>1.0914055945964727</v>
      </c>
      <c r="F3" s="96">
        <v>0.3349881457364383</v>
      </c>
      <c r="G3" s="95">
        <v>1872.3382698993591</v>
      </c>
      <c r="H3" s="95">
        <v>5871.412289443575</v>
      </c>
      <c r="I3" s="97">
        <v>12716.912289443575</v>
      </c>
      <c r="J3" s="113">
        <v>5.0</v>
      </c>
    </row>
    <row r="4">
      <c r="A4" s="93">
        <v>45323.0</v>
      </c>
      <c r="B4" s="95">
        <v>0.0</v>
      </c>
      <c r="C4" s="95">
        <v>5999.0</v>
      </c>
      <c r="D4" s="96">
        <v>5.156892407257946E-4</v>
      </c>
      <c r="E4" s="96">
        <v>0.7487352940091259</v>
      </c>
      <c r="F4" s="96">
        <v>0.23555173655196662</v>
      </c>
      <c r="G4" s="95">
        <v>5.15589919985905</v>
      </c>
      <c r="H4" s="95">
        <v>3999.074019544216</v>
      </c>
      <c r="I4" s="97">
        <v>9998.074019544216</v>
      </c>
      <c r="J4" s="113">
        <v>5.0</v>
      </c>
    </row>
    <row r="5">
      <c r="A5" s="93">
        <v>45292.0</v>
      </c>
      <c r="B5" s="95">
        <v>0.0</v>
      </c>
      <c r="C5" s="95">
        <v>5999.0</v>
      </c>
      <c r="D5" s="96">
        <v>0.26262181287674946</v>
      </c>
      <c r="E5" s="96">
        <v>0.7502676667838183</v>
      </c>
      <c r="F5" s="96">
        <v>0.24250908432990234</v>
      </c>
      <c r="G5" s="95">
        <v>2624.3582726937548</v>
      </c>
      <c r="H5" s="95">
        <v>3993.918120344357</v>
      </c>
      <c r="I5" s="97">
        <v>9992.918120344357</v>
      </c>
      <c r="J5" s="113">
        <v>5.0</v>
      </c>
    </row>
    <row r="6">
      <c r="A6" s="93">
        <v>45261.0</v>
      </c>
      <c r="B6" s="95">
        <v>0.0</v>
      </c>
      <c r="C6" s="95">
        <v>5999.0</v>
      </c>
      <c r="D6" s="96">
        <v>0.17965473604973076</v>
      </c>
      <c r="E6" s="96">
        <v>0.2581855978897681</v>
      </c>
      <c r="F6" s="96">
        <v>0.08580736090012538</v>
      </c>
      <c r="G6" s="95">
        <v>1323.7966744963132</v>
      </c>
      <c r="H6" s="95">
        <v>1369.559847650602</v>
      </c>
      <c r="I6" s="97">
        <v>7368.559847650602</v>
      </c>
      <c r="J6" s="113">
        <v>5.0</v>
      </c>
    </row>
    <row r="7">
      <c r="A7" s="93">
        <v>45231.0</v>
      </c>
      <c r="B7" s="95">
        <v>0.0</v>
      </c>
      <c r="C7" s="95">
        <v>5999.0</v>
      </c>
      <c r="D7" s="96">
        <v>0.03634375713392614</v>
      </c>
      <c r="E7" s="96">
        <v>0.008659535914362757</v>
      </c>
      <c r="F7" s="96">
        <v>0.002958742275697846</v>
      </c>
      <c r="G7" s="95">
        <v>219.6894046972202</v>
      </c>
      <c r="H7" s="95">
        <v>45.76317315428878</v>
      </c>
      <c r="I7" s="103">
        <v>6044.763173154289</v>
      </c>
      <c r="J7" s="113">
        <v>5.0</v>
      </c>
    </row>
    <row r="8">
      <c r="A8" s="93">
        <v>45200.0</v>
      </c>
      <c r="B8" s="95">
        <v>0.0</v>
      </c>
      <c r="C8" s="95">
        <v>5999.0</v>
      </c>
      <c r="D8" s="96">
        <v>0.029001581398261513</v>
      </c>
      <c r="E8" s="96">
        <v>-0.03304254368125604</v>
      </c>
      <c r="F8" s="96">
        <v>-0.011626964431193418</v>
      </c>
      <c r="G8" s="95">
        <v>168.9363510467856</v>
      </c>
      <c r="H8" s="95">
        <v>-173.92623154293142</v>
      </c>
      <c r="I8" s="103">
        <v>5825.073768457069</v>
      </c>
      <c r="J8" s="113">
        <v>5.0</v>
      </c>
    </row>
    <row r="9">
      <c r="A9" s="93">
        <v>45170.0</v>
      </c>
      <c r="B9" s="95">
        <v>0.0</v>
      </c>
      <c r="C9" s="95">
        <v>5999.0</v>
      </c>
      <c r="D9" s="96">
        <v>-0.04778989880891274</v>
      </c>
      <c r="E9" s="96">
        <v>-0.06541401091225876</v>
      </c>
      <c r="F9" s="96">
        <v>-0.023702844727879476</v>
      </c>
      <c r="G9" s="95">
        <v>-270.30623482734245</v>
      </c>
      <c r="H9" s="95">
        <v>-342.862582589717</v>
      </c>
      <c r="I9" s="103">
        <v>5656.137417410283</v>
      </c>
      <c r="J9" s="113">
        <v>5.0</v>
      </c>
    </row>
    <row r="10">
      <c r="A10" s="93">
        <v>45139.0</v>
      </c>
      <c r="B10" s="95">
        <v>0.0</v>
      </c>
      <c r="C10" s="95">
        <v>5999.0</v>
      </c>
      <c r="D10" s="96">
        <v>0.05025828922346165</v>
      </c>
      <c r="E10" s="96">
        <v>-0.013905677305807019</v>
      </c>
      <c r="F10" s="96">
        <v>-0.0051986168228720705</v>
      </c>
      <c r="G10" s="95">
        <v>297.85291914070694</v>
      </c>
      <c r="H10" s="95">
        <v>-72.55634776237457</v>
      </c>
      <c r="I10" s="103">
        <v>5926.443652237625</v>
      </c>
      <c r="J10" s="113">
        <v>5.0</v>
      </c>
    </row>
    <row r="11">
      <c r="A11" s="93">
        <v>45108.0</v>
      </c>
      <c r="B11" s="95">
        <v>0.0</v>
      </c>
      <c r="C11" s="95">
        <v>5999.0</v>
      </c>
      <c r="D11" s="96">
        <v>-0.02129617447609155</v>
      </c>
      <c r="E11" s="96">
        <v>-0.07133477423600523</v>
      </c>
      <c r="F11" s="96">
        <v>-0.027542311088478766</v>
      </c>
      <c r="G11" s="95">
        <v>-119.86745030654401</v>
      </c>
      <c r="H11" s="95">
        <v>-370.4092669030815</v>
      </c>
      <c r="I11" s="103">
        <v>5628.5907330969185</v>
      </c>
      <c r="J11" s="113">
        <v>5.0</v>
      </c>
    </row>
    <row r="12">
      <c r="A12" s="93">
        <v>45078.0</v>
      </c>
      <c r="B12" s="95">
        <v>0.0</v>
      </c>
      <c r="C12" s="95">
        <v>5999.0</v>
      </c>
      <c r="D12" s="96">
        <v>-0.020482643412777293</v>
      </c>
      <c r="E12" s="96">
        <v>-0.04850135186098035</v>
      </c>
      <c r="F12" s="96">
        <v>-0.019339649309195493</v>
      </c>
      <c r="G12" s="95">
        <v>-117.74361914391466</v>
      </c>
      <c r="H12" s="95">
        <v>-250.5418165965375</v>
      </c>
      <c r="I12" s="103">
        <v>5748.4581834034625</v>
      </c>
      <c r="J12" s="113">
        <v>5.0</v>
      </c>
    </row>
    <row r="13">
      <c r="A13" s="93">
        <v>45047.0</v>
      </c>
      <c r="B13" s="95">
        <v>0.0</v>
      </c>
      <c r="C13" s="95">
        <v>5999.0</v>
      </c>
      <c r="D13" s="96">
        <v>0.018533150072326515</v>
      </c>
      <c r="E13" s="96">
        <v>-0.025851660565654137</v>
      </c>
      <c r="F13" s="96">
        <v>-0.010669287030062343</v>
      </c>
      <c r="G13" s="95">
        <v>108.71919836116285</v>
      </c>
      <c r="H13" s="95">
        <v>-132.79819745262284</v>
      </c>
      <c r="I13" s="103">
        <v>5866.201802547377</v>
      </c>
      <c r="J13" s="113">
        <v>5.0</v>
      </c>
    </row>
    <row r="14">
      <c r="A14" s="93">
        <v>45017.0</v>
      </c>
      <c r="B14" s="95">
        <v>0.0</v>
      </c>
      <c r="C14" s="95">
        <v>5999.0</v>
      </c>
      <c r="D14" s="96">
        <v>-0.013023016714462994</v>
      </c>
      <c r="E14" s="96">
        <v>-0.04729938087727667</v>
      </c>
      <c r="F14" s="96">
        <v>-0.020205963585292756</v>
      </c>
      <c r="G14" s="95">
        <v>-74.97979218754699</v>
      </c>
      <c r="H14" s="95">
        <v>-241.5173958137857</v>
      </c>
      <c r="I14" s="103">
        <v>5757.482604186214</v>
      </c>
      <c r="J14" s="113">
        <v>5.0</v>
      </c>
    </row>
    <row r="15">
      <c r="A15" s="93">
        <v>44986.0</v>
      </c>
      <c r="B15" s="95">
        <v>0.0</v>
      </c>
      <c r="C15" s="95">
        <v>5999.0</v>
      </c>
      <c r="D15" s="96">
        <v>-0.026897078515072757</v>
      </c>
      <c r="E15" s="96">
        <v>-0.032827749249183746</v>
      </c>
      <c r="F15" s="96">
        <v>-0.014551377928718887</v>
      </c>
      <c r="G15" s="95">
        <v>-156.87619901147445</v>
      </c>
      <c r="H15" s="95">
        <v>-166.5376036262387</v>
      </c>
      <c r="I15" s="103">
        <v>5832.462396373761</v>
      </c>
      <c r="J15" s="113">
        <v>5.0</v>
      </c>
    </row>
    <row r="16">
      <c r="A16" s="93">
        <v>44958.0</v>
      </c>
      <c r="B16" s="95">
        <v>1000.0</v>
      </c>
      <c r="C16" s="95">
        <v>5999.0</v>
      </c>
      <c r="D16" s="96">
        <v>0.12180517470465474</v>
      </c>
      <c r="E16" s="96">
        <v>-0.0019179113410590692</v>
      </c>
      <c r="F16" s="96">
        <v>-8.800466298012877E-4</v>
      </c>
      <c r="G16" s="95">
        <v>729.5324339762301</v>
      </c>
      <c r="H16" s="95">
        <v>-9.661404614764251</v>
      </c>
      <c r="I16" s="103">
        <v>5989.338595385236</v>
      </c>
      <c r="J16" s="113">
        <v>5.0</v>
      </c>
    </row>
    <row r="17">
      <c r="A17" s="93">
        <v>44927.0</v>
      </c>
      <c r="B17" s="95">
        <v>0.0</v>
      </c>
      <c r="C17" s="95">
        <v>4999.0</v>
      </c>
      <c r="D17" s="96">
        <v>-0.18958697269671818</v>
      </c>
      <c r="E17" s="96">
        <v>-0.14786834138647617</v>
      </c>
      <c r="F17" s="96">
        <v>-0.07059988456393519</v>
      </c>
      <c r="G17" s="95">
        <v>-807.603754416361</v>
      </c>
      <c r="H17" s="95">
        <v>-739.1938385909943</v>
      </c>
      <c r="I17" s="103">
        <v>4259.806161409006</v>
      </c>
      <c r="J17" s="113">
        <v>5.0</v>
      </c>
    </row>
    <row r="18">
      <c r="A18" s="93">
        <v>44896.0</v>
      </c>
      <c r="B18" s="95">
        <v>0.0</v>
      </c>
      <c r="C18" s="95">
        <v>4999.0</v>
      </c>
      <c r="D18" s="96">
        <v>-0.008546041655190954</v>
      </c>
      <c r="E18" s="96">
        <v>0.013684720109095144</v>
      </c>
      <c r="F18" s="96">
        <v>0.00680973299706676</v>
      </c>
      <c r="G18" s="95">
        <v>-43.30629622457127</v>
      </c>
      <c r="H18" s="95">
        <v>68.40991582536662</v>
      </c>
      <c r="I18" s="104">
        <v>5067.409915825367</v>
      </c>
      <c r="J18" s="113">
        <v>5.0</v>
      </c>
    </row>
    <row r="19">
      <c r="A19" s="93">
        <v>44866.0</v>
      </c>
      <c r="B19" s="95">
        <v>0.0</v>
      </c>
      <c r="C19" s="95">
        <v>4999.0</v>
      </c>
      <c r="D19" s="96">
        <v>-0.02554714146701043</v>
      </c>
      <c r="E19" s="96">
        <v>0.022347711952378054</v>
      </c>
      <c r="F19" s="96">
        <v>0.011594462770747278</v>
      </c>
      <c r="G19" s="95">
        <v>-130.56419006698343</v>
      </c>
      <c r="H19" s="95">
        <v>111.7162120499379</v>
      </c>
      <c r="I19" s="104">
        <v>5110.716212049938</v>
      </c>
      <c r="J19" s="113">
        <v>5.0</v>
      </c>
    </row>
    <row r="20">
      <c r="A20" s="93">
        <v>44835.0</v>
      </c>
      <c r="B20" s="95">
        <v>0.0</v>
      </c>
      <c r="C20" s="95">
        <v>4999.0</v>
      </c>
      <c r="D20" s="96">
        <v>0.035399477160146284</v>
      </c>
      <c r="E20" s="96">
        <v>0.048465773578099884</v>
      </c>
      <c r="F20" s="96">
        <v>0.026303304308173823</v>
      </c>
      <c r="G20" s="95">
        <v>185.53858588466028</v>
      </c>
      <c r="H20" s="95">
        <v>242.28040211692132</v>
      </c>
      <c r="I20" s="104">
        <v>5241.280402116921</v>
      </c>
      <c r="J20" s="113">
        <v>5.0</v>
      </c>
    </row>
    <row r="21">
      <c r="A21" s="93">
        <v>44805.0</v>
      </c>
      <c r="B21" s="95">
        <v>0.0</v>
      </c>
      <c r="C21" s="95">
        <v>4999.0</v>
      </c>
      <c r="D21" s="96">
        <v>-0.008057904309301749</v>
      </c>
      <c r="E21" s="96">
        <v>0.011350633373126834</v>
      </c>
      <c r="F21" s="96">
        <v>0.0064476187240040065</v>
      </c>
      <c r="G21" s="95">
        <v>-40.73868376773498</v>
      </c>
      <c r="H21" s="95">
        <v>56.741816232261044</v>
      </c>
      <c r="I21" s="104">
        <v>5055.741816232261</v>
      </c>
      <c r="J21" s="113">
        <v>5.0</v>
      </c>
    </row>
    <row r="22">
      <c r="A22" s="114">
        <v>44774.0</v>
      </c>
      <c r="B22" s="115">
        <v>0.0</v>
      </c>
      <c r="C22" s="115">
        <v>4999.0</v>
      </c>
      <c r="D22" s="116">
        <v>-0.017598140054812684</v>
      </c>
      <c r="E22" s="116">
        <v>0.019499999999999205</v>
      </c>
      <c r="F22" s="116">
        <v>0.01163786764705835</v>
      </c>
      <c r="G22" s="115">
        <v>4.998999999999796</v>
      </c>
      <c r="H22" s="115">
        <v>97.48049999999603</v>
      </c>
      <c r="I22" s="117">
        <v>5096.480499999996</v>
      </c>
      <c r="J22" s="118">
        <v>5.0</v>
      </c>
    </row>
    <row r="23">
      <c r="A23" s="119">
        <v>44743.0</v>
      </c>
      <c r="B23" s="120">
        <v>0.0</v>
      </c>
      <c r="C23" s="120">
        <v>4999.0</v>
      </c>
      <c r="D23" s="121">
        <v>-0.05315432864464901</v>
      </c>
      <c r="E23" s="121">
        <v>0.018599999999999204</v>
      </c>
      <c r="F23" s="121">
        <v>0.01169302925989623</v>
      </c>
      <c r="G23" s="120">
        <v>4.998999999999796</v>
      </c>
      <c r="H23" s="120">
        <v>92.98139999999603</v>
      </c>
      <c r="I23" s="104">
        <v>5091.981399999996</v>
      </c>
      <c r="J23" s="113">
        <v>5.0</v>
      </c>
    </row>
    <row r="24">
      <c r="A24" s="119">
        <v>44713.0</v>
      </c>
      <c r="B24" s="120">
        <v>0.0</v>
      </c>
      <c r="C24" s="120">
        <v>4999.0</v>
      </c>
      <c r="D24" s="121">
        <v>-0.1232628332688067</v>
      </c>
      <c r="E24" s="121">
        <v>0.017699999999999206</v>
      </c>
      <c r="F24" s="121">
        <v>0.011733076225044846</v>
      </c>
      <c r="G24" s="120">
        <v>4.998999999999796</v>
      </c>
      <c r="H24" s="120">
        <v>88.48229999999603</v>
      </c>
      <c r="I24" s="104">
        <v>5087.482299999996</v>
      </c>
      <c r="J24" s="113">
        <v>5.0</v>
      </c>
    </row>
    <row r="25">
      <c r="A25" s="119">
        <v>44682.0</v>
      </c>
      <c r="B25" s="120">
        <v>0.0</v>
      </c>
      <c r="C25" s="120">
        <v>4999.0</v>
      </c>
      <c r="D25" s="121">
        <v>-0.09031398034276159</v>
      </c>
      <c r="E25" s="121">
        <v>0.01679999999999939</v>
      </c>
      <c r="F25" s="121">
        <v>0.011800384615384187</v>
      </c>
      <c r="G25" s="120">
        <v>4.998999999999796</v>
      </c>
      <c r="H25" s="120">
        <v>83.98319999999694</v>
      </c>
      <c r="I25" s="104">
        <v>5082.983199999997</v>
      </c>
      <c r="J25" s="113">
        <v>5.0</v>
      </c>
    </row>
    <row r="26">
      <c r="A26" s="119">
        <v>44652.0</v>
      </c>
      <c r="B26" s="120">
        <v>0.0</v>
      </c>
      <c r="C26" s="120">
        <v>4999.0</v>
      </c>
      <c r="D26" s="121">
        <v>-0.014442065533848804</v>
      </c>
      <c r="E26" s="121">
        <v>0.015899999999999387</v>
      </c>
      <c r="F26" s="121">
        <v>0.01185198979591791</v>
      </c>
      <c r="G26" s="120">
        <v>4.998999999999796</v>
      </c>
      <c r="H26" s="120">
        <v>79.48409999999694</v>
      </c>
      <c r="I26" s="104">
        <v>5078.484099999997</v>
      </c>
      <c r="J26" s="113">
        <v>5.0</v>
      </c>
    </row>
    <row r="27">
      <c r="A27" s="119">
        <v>44621.0</v>
      </c>
      <c r="B27" s="120">
        <v>0.0</v>
      </c>
      <c r="C27" s="120">
        <v>4999.0</v>
      </c>
      <c r="D27" s="121">
        <v>-0.031352774564650306</v>
      </c>
      <c r="E27" s="121">
        <v>0.014999999999999389</v>
      </c>
      <c r="F27" s="121">
        <v>0.011936274509803436</v>
      </c>
      <c r="G27" s="120">
        <v>-98.48548341086553</v>
      </c>
      <c r="H27" s="120">
        <v>74.98499999999694</v>
      </c>
      <c r="I27" s="104">
        <v>5073.984999999997</v>
      </c>
      <c r="J27" s="113">
        <v>5.0</v>
      </c>
    </row>
    <row r="28">
      <c r="A28" s="119">
        <v>44593.0</v>
      </c>
      <c r="B28" s="120">
        <v>0.0</v>
      </c>
      <c r="C28" s="120">
        <v>4999.0</v>
      </c>
      <c r="D28" s="121">
        <v>-0.0631011406015152</v>
      </c>
      <c r="E28" s="121">
        <v>0.0347010368895504</v>
      </c>
      <c r="F28" s="121">
        <v>0.029407317224845207</v>
      </c>
      <c r="G28" s="120">
        <v>-348.3714212657351</v>
      </c>
      <c r="H28" s="120">
        <v>173.47048341086247</v>
      </c>
      <c r="I28" s="104">
        <v>5172.4704834108625</v>
      </c>
      <c r="J28" s="113">
        <v>5.0</v>
      </c>
    </row>
    <row r="29">
      <c r="A29" s="119">
        <v>44562.0</v>
      </c>
      <c r="B29" s="120">
        <v>0.0</v>
      </c>
      <c r="C29" s="120">
        <v>4999.0</v>
      </c>
      <c r="D29" s="121">
        <v>-0.06169775680530666</v>
      </c>
      <c r="E29" s="121">
        <v>0.09395033290836931</v>
      </c>
      <c r="F29" s="121">
        <v>0.08578839773695472</v>
      </c>
      <c r="G29" s="120">
        <v>-363.0211519430468</v>
      </c>
      <c r="H29" s="120">
        <v>469.65771420893816</v>
      </c>
      <c r="I29" s="104">
        <v>5468.657714208938</v>
      </c>
      <c r="J29" s="113">
        <v>5.0</v>
      </c>
    </row>
    <row r="30">
      <c r="A30" s="119">
        <v>44531.0</v>
      </c>
      <c r="B30" s="120">
        <v>0.0</v>
      </c>
      <c r="C30" s="120">
        <v>4999.0</v>
      </c>
      <c r="D30" s="121">
        <v>0.1156046108082369</v>
      </c>
      <c r="E30" s="121">
        <v>0.1593072116338628</v>
      </c>
      <c r="F30" s="121">
        <v>0.15768823590587638</v>
      </c>
      <c r="G30" s="120">
        <v>609.7157470662323</v>
      </c>
      <c r="H30" s="120">
        <v>796.3767509576801</v>
      </c>
      <c r="I30" s="104">
        <v>5795.37675095768</v>
      </c>
      <c r="J30" s="113">
        <v>5.0</v>
      </c>
    </row>
    <row r="31">
      <c r="A31" s="119">
        <v>44501.0</v>
      </c>
      <c r="B31" s="120">
        <v>0.0</v>
      </c>
      <c r="C31" s="120">
        <v>4999.0</v>
      </c>
      <c r="D31" s="121">
        <v>0.05159489909299921</v>
      </c>
      <c r="E31" s="121">
        <v>0.049536423004214986</v>
      </c>
      <c r="F31" s="121">
        <v>0.049536423004214986</v>
      </c>
      <c r="G31" s="120">
        <v>225.15730955341405</v>
      </c>
      <c r="H31" s="120">
        <v>247.63257859807072</v>
      </c>
      <c r="I31" s="104">
        <v>5246.632578598071</v>
      </c>
      <c r="J31" s="113">
        <v>5.0</v>
      </c>
    </row>
    <row r="32">
      <c r="A32" s="119">
        <v>44470.0</v>
      </c>
      <c r="B32" s="120">
        <v>0.0</v>
      </c>
      <c r="C32" s="120">
        <v>4999.0</v>
      </c>
      <c r="D32" s="121">
        <v>-0.03016516429454329</v>
      </c>
      <c r="E32" s="121">
        <v>0.008999999999999633</v>
      </c>
      <c r="F32" s="121">
        <v>0.008999999999999633</v>
      </c>
      <c r="G32" s="120">
        <v>-122.38468669613394</v>
      </c>
      <c r="H32" s="120">
        <v>44.99099999999817</v>
      </c>
      <c r="I32" s="104">
        <v>5043.990999999998</v>
      </c>
      <c r="J32" s="113">
        <v>5.0</v>
      </c>
    </row>
    <row r="33">
      <c r="A33" s="119">
        <v>44440.0</v>
      </c>
      <c r="B33" s="120">
        <v>0.0</v>
      </c>
      <c r="C33" s="120">
        <v>4999.0</v>
      </c>
      <c r="D33" s="121">
        <v>0.0013025817726574928</v>
      </c>
      <c r="E33" s="121">
        <v>0.031033650335370852</v>
      </c>
      <c r="F33" s="121">
        <v>0.031033650335370852</v>
      </c>
      <c r="G33" s="120">
        <v>6.727375449833744</v>
      </c>
      <c r="H33" s="120">
        <v>155.1372180265189</v>
      </c>
      <c r="I33" s="104">
        <v>5154.137218026519</v>
      </c>
      <c r="J33" s="113">
        <v>5.0</v>
      </c>
    </row>
    <row r="34">
      <c r="A34" s="119">
        <v>44409.0</v>
      </c>
      <c r="B34" s="120">
        <v>0.0</v>
      </c>
      <c r="C34" s="120">
        <v>4999.0</v>
      </c>
      <c r="D34" s="121">
        <v>0.09837837222074323</v>
      </c>
      <c r="E34" s="121">
        <v>0.029822480520437848</v>
      </c>
      <c r="F34" s="121">
        <v>0.029822480520437848</v>
      </c>
      <c r="G34" s="120">
        <v>130.65431124629959</v>
      </c>
      <c r="H34" s="120">
        <v>149.0825801216688</v>
      </c>
      <c r="I34" s="104">
        <v>5148.082580121669</v>
      </c>
      <c r="J34" s="113">
        <v>5.0</v>
      </c>
    </row>
    <row r="35">
      <c r="A35" s="119">
        <v>44378.0</v>
      </c>
      <c r="B35" s="120">
        <v>0.0</v>
      </c>
      <c r="C35" s="120">
        <v>4999.0</v>
      </c>
      <c r="D35" s="121">
        <v>0.14853606715471818</v>
      </c>
      <c r="E35" s="121">
        <v>0.006299999999999816</v>
      </c>
      <c r="F35" s="121">
        <v>0.006299999999999816</v>
      </c>
      <c r="G35" s="120">
        <v>4.998999999999796</v>
      </c>
      <c r="H35" s="120">
        <v>31.49369999999908</v>
      </c>
      <c r="I35" s="104">
        <v>5030.493699999999</v>
      </c>
      <c r="J35" s="113">
        <v>5.0</v>
      </c>
    </row>
    <row r="36">
      <c r="A36" s="119">
        <v>44348.0</v>
      </c>
      <c r="B36" s="120">
        <v>0.0</v>
      </c>
      <c r="C36" s="120">
        <v>4999.0</v>
      </c>
      <c r="D36" s="121">
        <v>-0.017263215616985603</v>
      </c>
      <c r="E36" s="121">
        <v>0.005399999999999816</v>
      </c>
      <c r="F36" s="121">
        <v>0.005399999999999816</v>
      </c>
      <c r="G36" s="120">
        <v>4.998999999999796</v>
      </c>
      <c r="H36" s="120">
        <v>26.99459999999908</v>
      </c>
      <c r="I36" s="104">
        <v>5025.994599999999</v>
      </c>
      <c r="J36" s="113">
        <v>5.0</v>
      </c>
    </row>
    <row r="37">
      <c r="A37" s="119">
        <v>44317.0</v>
      </c>
      <c r="B37" s="120">
        <v>0.0</v>
      </c>
      <c r="C37" s="120">
        <v>4999.0</v>
      </c>
      <c r="D37" s="121">
        <v>-0.020484672223953053</v>
      </c>
      <c r="E37" s="121">
        <v>0.004499999999999817</v>
      </c>
      <c r="F37" s="121">
        <v>0.004499999999999817</v>
      </c>
      <c r="G37" s="120">
        <v>4.998999999999796</v>
      </c>
      <c r="H37" s="120">
        <v>22.495499999999083</v>
      </c>
      <c r="I37" s="104">
        <v>5021.495499999999</v>
      </c>
      <c r="J37" s="113">
        <v>5.0</v>
      </c>
    </row>
    <row r="38">
      <c r="A38" s="119">
        <v>44287.0</v>
      </c>
      <c r="B38" s="120">
        <v>0.0</v>
      </c>
      <c r="C38" s="120">
        <v>4999.0</v>
      </c>
      <c r="D38" s="121">
        <v>0.03734176083770821</v>
      </c>
      <c r="E38" s="121">
        <v>0.003599999999999817</v>
      </c>
      <c r="F38" s="121">
        <v>0.003599999999999817</v>
      </c>
      <c r="G38" s="120">
        <v>4.998999999999796</v>
      </c>
      <c r="H38" s="120">
        <v>17.996399999999085</v>
      </c>
      <c r="I38" s="104">
        <v>5016.996399999999</v>
      </c>
      <c r="J38" s="113">
        <v>5.0</v>
      </c>
    </row>
    <row r="39">
      <c r="A39" s="119">
        <v>44256.0</v>
      </c>
      <c r="B39" s="120">
        <v>0.0</v>
      </c>
      <c r="C39" s="120">
        <v>4999.0</v>
      </c>
      <c r="D39" s="121">
        <v>-0.16492829612832205</v>
      </c>
      <c r="E39" s="121">
        <v>0.002699999999999817</v>
      </c>
      <c r="F39" s="121">
        <v>0.002699999999999817</v>
      </c>
      <c r="G39" s="120">
        <v>4.998999999999796</v>
      </c>
      <c r="H39" s="120">
        <v>13.497299999999086</v>
      </c>
      <c r="I39" s="104">
        <v>5012.497299999999</v>
      </c>
      <c r="J39" s="113">
        <v>5.0</v>
      </c>
    </row>
    <row r="40">
      <c r="A40" s="119">
        <v>44228.0</v>
      </c>
      <c r="B40" s="120">
        <v>0.0</v>
      </c>
      <c r="C40" s="120">
        <v>4999.0</v>
      </c>
      <c r="D40" s="121">
        <v>-0.018855969057020045</v>
      </c>
      <c r="E40" s="121">
        <v>0.0017999999999999995</v>
      </c>
      <c r="F40" s="121">
        <v>0.0017999999999999995</v>
      </c>
      <c r="G40" s="120">
        <v>4.998999999999796</v>
      </c>
      <c r="H40" s="120">
        <v>8.998199999999997</v>
      </c>
      <c r="I40" s="104">
        <v>5007.9982</v>
      </c>
      <c r="J40" s="113">
        <v>5.0</v>
      </c>
    </row>
    <row r="41">
      <c r="A41" s="119">
        <v>44197.0</v>
      </c>
      <c r="B41" s="120">
        <v>4999.0</v>
      </c>
      <c r="C41" s="120">
        <v>4999.0</v>
      </c>
      <c r="D41" s="121">
        <v>-0.0736699238115559</v>
      </c>
      <c r="E41" s="121">
        <v>8.999999999999998E-4</v>
      </c>
      <c r="F41" s="121">
        <v>8.999999999999998E-4</v>
      </c>
      <c r="G41" s="120">
        <v>4.998999999999796</v>
      </c>
      <c r="H41" s="120">
        <v>4.4990999999999985</v>
      </c>
      <c r="I41" s="104">
        <v>5003.4991</v>
      </c>
      <c r="J41" s="113">
        <v>5.0</v>
      </c>
    </row>
    <row r="42">
      <c r="A42" s="119">
        <v>44166.0</v>
      </c>
      <c r="B42" s="120">
        <v>4999.0</v>
      </c>
      <c r="C42" s="120">
        <v>0.0</v>
      </c>
      <c r="D42" s="121">
        <v>0.0</v>
      </c>
      <c r="E42" s="121">
        <v>0.0</v>
      </c>
      <c r="F42" s="121">
        <v>0.0</v>
      </c>
      <c r="G42" s="120">
        <v>0.0</v>
      </c>
      <c r="H42" s="120">
        <v>0.0</v>
      </c>
      <c r="I42" s="104">
        <v>0.0</v>
      </c>
      <c r="J42" s="113">
        <v>5.0</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6845.5</v>
      </c>
      <c r="D2" s="96">
        <f t="array" ref="D2">IF(AND(INDEX($A:$A,ROW()+1),$I2&lt;&gt;0),$G2/$I2,0)</f>
        <v>0.03179902767</v>
      </c>
      <c r="E2" s="96">
        <f>IF($C2&lt;&gt;0,H2/AVERAGEIF(C2:C42,"&lt;&gt;0"),0)</f>
        <v>1.161134004</v>
      </c>
      <c r="F2" s="96">
        <f>$E2/MAX(1,(($A2-MINIFS(TransactionsView!$A:$A,TransactionsView!$B:$B,$J2))/365.25))</f>
        <v>0.3555593076</v>
      </c>
      <c r="G2" s="95">
        <f t="array" ref="G2">INDEX($H:$H,ROW())-IF(INDEX($H:$H,ROW()+1),INDEX($H:$H,ROW()+1),0)</f>
        <v>417.6668454</v>
      </c>
      <c r="H2" s="95">
        <f>I2-C2</f>
        <v>6289.079135</v>
      </c>
      <c r="I2" s="99">
        <f t="array" ref="I2">IF(MAXIFS(Portfolio!$H:$H,Portfolio!$A:$A,$J2),MAXIFS(Portfolio!$H:$H,Portfolio!$A:$A,$J2),INDEX(I:I,ROW()+1))</f>
        <v>13134.57913</v>
      </c>
      <c r="J2" s="100">
        <v>6.0</v>
      </c>
    </row>
    <row r="3">
      <c r="A3" s="93">
        <v>45352.0</v>
      </c>
      <c r="B3" s="95">
        <v>846.5</v>
      </c>
      <c r="C3" s="95">
        <v>6845.5</v>
      </c>
      <c r="D3" s="96">
        <v>0.14723214466562015</v>
      </c>
      <c r="E3" s="96">
        <v>1.0914055945964727</v>
      </c>
      <c r="F3" s="96">
        <v>0.3349881457364383</v>
      </c>
      <c r="G3" s="95">
        <v>1872.3382698993591</v>
      </c>
      <c r="H3" s="95">
        <v>5871.412289443575</v>
      </c>
      <c r="I3" s="97">
        <v>12716.912289443575</v>
      </c>
      <c r="J3" s="111">
        <v>6.0</v>
      </c>
    </row>
    <row r="4">
      <c r="A4" s="93">
        <v>45323.0</v>
      </c>
      <c r="B4" s="95">
        <v>0.0</v>
      </c>
      <c r="C4" s="95">
        <v>5999.0</v>
      </c>
      <c r="D4" s="96">
        <v>5.156892407257946E-4</v>
      </c>
      <c r="E4" s="96">
        <v>0.7487352940091259</v>
      </c>
      <c r="F4" s="96">
        <v>0.23555173655196662</v>
      </c>
      <c r="G4" s="95">
        <v>5.15589919985905</v>
      </c>
      <c r="H4" s="95">
        <v>3999.074019544216</v>
      </c>
      <c r="I4" s="97">
        <v>9998.074019544216</v>
      </c>
      <c r="J4" s="111">
        <v>6.0</v>
      </c>
    </row>
    <row r="5">
      <c r="A5" s="93">
        <v>45292.0</v>
      </c>
      <c r="B5" s="95">
        <v>0.0</v>
      </c>
      <c r="C5" s="95">
        <v>5999.0</v>
      </c>
      <c r="D5" s="96">
        <v>0.26262181287674946</v>
      </c>
      <c r="E5" s="96">
        <v>0.7502676667838183</v>
      </c>
      <c r="F5" s="96">
        <v>0.24250908432990234</v>
      </c>
      <c r="G5" s="95">
        <v>2624.3582726937548</v>
      </c>
      <c r="H5" s="95">
        <v>3993.918120344357</v>
      </c>
      <c r="I5" s="97">
        <v>9992.918120344357</v>
      </c>
      <c r="J5" s="111">
        <v>6.0</v>
      </c>
    </row>
    <row r="6">
      <c r="A6" s="93">
        <v>45261.0</v>
      </c>
      <c r="B6" s="95">
        <v>0.0</v>
      </c>
      <c r="C6" s="95">
        <v>5999.0</v>
      </c>
      <c r="D6" s="96">
        <v>0.17965473604973076</v>
      </c>
      <c r="E6" s="96">
        <v>0.2581855978897681</v>
      </c>
      <c r="F6" s="96">
        <v>0.08580736090012538</v>
      </c>
      <c r="G6" s="95">
        <v>1323.7966744963132</v>
      </c>
      <c r="H6" s="95">
        <v>1369.559847650602</v>
      </c>
      <c r="I6" s="97">
        <v>7368.559847650602</v>
      </c>
      <c r="J6" s="111">
        <v>6.0</v>
      </c>
    </row>
    <row r="7">
      <c r="A7" s="93">
        <v>45231.0</v>
      </c>
      <c r="B7" s="95">
        <v>0.0</v>
      </c>
      <c r="C7" s="95">
        <v>5999.0</v>
      </c>
      <c r="D7" s="96">
        <v>0.03634375713392614</v>
      </c>
      <c r="E7" s="96">
        <v>0.008659535914362757</v>
      </c>
      <c r="F7" s="96">
        <v>0.002958742275697846</v>
      </c>
      <c r="G7" s="95">
        <v>219.6894046972202</v>
      </c>
      <c r="H7" s="95">
        <v>45.76317315428878</v>
      </c>
      <c r="I7" s="97">
        <v>6044.763173154289</v>
      </c>
      <c r="J7" s="111">
        <v>6.0</v>
      </c>
    </row>
    <row r="8">
      <c r="A8" s="93">
        <v>45200.0</v>
      </c>
      <c r="B8" s="95">
        <v>0.0</v>
      </c>
      <c r="C8" s="95">
        <v>5999.0</v>
      </c>
      <c r="D8" s="96">
        <v>0.029001581398261513</v>
      </c>
      <c r="E8" s="96">
        <v>-0.03304254368125604</v>
      </c>
      <c r="F8" s="96">
        <v>-0.011626964431193418</v>
      </c>
      <c r="G8" s="95">
        <v>168.9363510467856</v>
      </c>
      <c r="H8" s="95">
        <v>-173.92623154293142</v>
      </c>
      <c r="I8" s="97">
        <v>5825.073768457069</v>
      </c>
      <c r="J8" s="111">
        <v>6.0</v>
      </c>
    </row>
    <row r="9">
      <c r="A9" s="93">
        <v>45170.0</v>
      </c>
      <c r="B9" s="95">
        <v>0.0</v>
      </c>
      <c r="C9" s="95">
        <v>5999.0</v>
      </c>
      <c r="D9" s="96">
        <v>-0.04778989880891274</v>
      </c>
      <c r="E9" s="96">
        <v>-0.06541401091225876</v>
      </c>
      <c r="F9" s="96">
        <v>-0.023702844727879476</v>
      </c>
      <c r="G9" s="95">
        <v>-270.30623482734245</v>
      </c>
      <c r="H9" s="95">
        <v>-342.862582589717</v>
      </c>
      <c r="I9" s="97">
        <v>5656.137417410283</v>
      </c>
      <c r="J9" s="111">
        <v>6.0</v>
      </c>
    </row>
    <row r="10">
      <c r="A10" s="93">
        <v>45139.0</v>
      </c>
      <c r="B10" s="95">
        <v>0.0</v>
      </c>
      <c r="C10" s="95">
        <v>5999.0</v>
      </c>
      <c r="D10" s="96">
        <v>0.05025828922346165</v>
      </c>
      <c r="E10" s="96">
        <v>-0.013905677305807019</v>
      </c>
      <c r="F10" s="96">
        <v>-0.0051986168228720705</v>
      </c>
      <c r="G10" s="95">
        <v>297.85291914070694</v>
      </c>
      <c r="H10" s="95">
        <v>-72.55634776237457</v>
      </c>
      <c r="I10" s="97">
        <v>5926.443652237625</v>
      </c>
      <c r="J10" s="111">
        <v>6.0</v>
      </c>
    </row>
    <row r="11">
      <c r="A11" s="93">
        <v>45108.0</v>
      </c>
      <c r="B11" s="95">
        <v>0.0</v>
      </c>
      <c r="C11" s="95">
        <v>5999.0</v>
      </c>
      <c r="D11" s="96">
        <v>-0.02129617447609155</v>
      </c>
      <c r="E11" s="96">
        <v>-0.07133477423600523</v>
      </c>
      <c r="F11" s="96">
        <v>-0.027542311088478766</v>
      </c>
      <c r="G11" s="95">
        <v>-119.86745030654401</v>
      </c>
      <c r="H11" s="95">
        <v>-370.4092669030815</v>
      </c>
      <c r="I11" s="97">
        <v>5628.5907330969185</v>
      </c>
      <c r="J11" s="111">
        <v>6.0</v>
      </c>
    </row>
    <row r="12">
      <c r="A12" s="93">
        <v>45078.0</v>
      </c>
      <c r="B12" s="95">
        <v>0.0</v>
      </c>
      <c r="C12" s="95">
        <v>5999.0</v>
      </c>
      <c r="D12" s="96">
        <v>-0.020482643412777293</v>
      </c>
      <c r="E12" s="96">
        <v>-0.04850135186098035</v>
      </c>
      <c r="F12" s="96">
        <v>-0.019339649309195493</v>
      </c>
      <c r="G12" s="95">
        <v>-117.74361914391466</v>
      </c>
      <c r="H12" s="95">
        <v>-250.5418165965375</v>
      </c>
      <c r="I12" s="97">
        <v>5748.4581834034625</v>
      </c>
      <c r="J12" s="111">
        <v>6.0</v>
      </c>
    </row>
    <row r="13">
      <c r="A13" s="93">
        <v>45047.0</v>
      </c>
      <c r="B13" s="95">
        <v>0.0</v>
      </c>
      <c r="C13" s="95">
        <v>5999.0</v>
      </c>
      <c r="D13" s="96">
        <v>0.018533150072326515</v>
      </c>
      <c r="E13" s="96">
        <v>-0.025851660565654137</v>
      </c>
      <c r="F13" s="96">
        <v>-0.010669287030062343</v>
      </c>
      <c r="G13" s="95">
        <v>108.71919836116285</v>
      </c>
      <c r="H13" s="95">
        <v>-132.79819745262284</v>
      </c>
      <c r="I13" s="97">
        <v>5866.201802547377</v>
      </c>
      <c r="J13" s="111">
        <v>6.0</v>
      </c>
    </row>
    <row r="14">
      <c r="A14" s="93">
        <v>45017.0</v>
      </c>
      <c r="B14" s="95">
        <v>0.0</v>
      </c>
      <c r="C14" s="95">
        <v>5999.0</v>
      </c>
      <c r="D14" s="96">
        <v>-0.013023016714462994</v>
      </c>
      <c r="E14" s="96">
        <v>-0.04729938087727667</v>
      </c>
      <c r="F14" s="96">
        <v>-0.020205963585292756</v>
      </c>
      <c r="G14" s="95">
        <v>-74.97979218754699</v>
      </c>
      <c r="H14" s="95">
        <v>-241.5173958137857</v>
      </c>
      <c r="I14" s="97">
        <v>5757.482604186214</v>
      </c>
      <c r="J14" s="111">
        <v>6.0</v>
      </c>
    </row>
    <row r="15">
      <c r="A15" s="93">
        <v>44986.0</v>
      </c>
      <c r="B15" s="95">
        <v>0.0</v>
      </c>
      <c r="C15" s="95">
        <v>5999.0</v>
      </c>
      <c r="D15" s="96">
        <v>-0.026897078515072757</v>
      </c>
      <c r="E15" s="96">
        <v>-0.032827749249183746</v>
      </c>
      <c r="F15" s="96">
        <v>-0.014551377928718887</v>
      </c>
      <c r="G15" s="95">
        <v>-156.87619901147445</v>
      </c>
      <c r="H15" s="95">
        <v>-166.5376036262387</v>
      </c>
      <c r="I15" s="97">
        <v>5832.462396373761</v>
      </c>
      <c r="J15" s="111">
        <v>6.0</v>
      </c>
    </row>
    <row r="16">
      <c r="A16" s="93">
        <v>44958.0</v>
      </c>
      <c r="B16" s="95">
        <v>1000.0</v>
      </c>
      <c r="C16" s="95">
        <v>5999.0</v>
      </c>
      <c r="D16" s="96">
        <v>0.12180517470465474</v>
      </c>
      <c r="E16" s="96">
        <v>-0.0019179113410590692</v>
      </c>
      <c r="F16" s="96">
        <v>-8.800466298012877E-4</v>
      </c>
      <c r="G16" s="95">
        <v>729.5324339762301</v>
      </c>
      <c r="H16" s="95">
        <v>-9.661404614764251</v>
      </c>
      <c r="I16" s="97">
        <v>5989.338595385236</v>
      </c>
      <c r="J16" s="111">
        <v>6.0</v>
      </c>
    </row>
    <row r="17">
      <c r="A17" s="93">
        <v>44927.0</v>
      </c>
      <c r="B17" s="95">
        <v>0.0</v>
      </c>
      <c r="C17" s="95">
        <v>4999.0</v>
      </c>
      <c r="D17" s="96">
        <v>-0.18958697269671818</v>
      </c>
      <c r="E17" s="96">
        <v>-0.14786834138647617</v>
      </c>
      <c r="F17" s="96">
        <v>-0.07059988456393519</v>
      </c>
      <c r="G17" s="95">
        <v>-807.603754416361</v>
      </c>
      <c r="H17" s="95">
        <v>-739.1938385909943</v>
      </c>
      <c r="I17" s="97">
        <v>4259.806161409006</v>
      </c>
      <c r="J17" s="111">
        <v>6.0</v>
      </c>
    </row>
    <row r="18">
      <c r="A18" s="93">
        <v>44896.0</v>
      </c>
      <c r="B18" s="95">
        <v>0.0</v>
      </c>
      <c r="C18" s="95">
        <v>4999.0</v>
      </c>
      <c r="D18" s="96">
        <v>-0.008546041655190954</v>
      </c>
      <c r="E18" s="96">
        <v>0.013684720109095144</v>
      </c>
      <c r="F18" s="96">
        <v>0.00680973299706676</v>
      </c>
      <c r="G18" s="95">
        <v>-43.30629622457127</v>
      </c>
      <c r="H18" s="95">
        <v>68.40991582536662</v>
      </c>
      <c r="I18" s="99">
        <v>5067.409915825367</v>
      </c>
      <c r="J18" s="111">
        <v>6.0</v>
      </c>
    </row>
    <row r="19">
      <c r="A19" s="93">
        <v>44866.0</v>
      </c>
      <c r="B19" s="95">
        <v>0.0</v>
      </c>
      <c r="C19" s="95">
        <v>4999.0</v>
      </c>
      <c r="D19" s="96">
        <v>-0.02554714146701043</v>
      </c>
      <c r="E19" s="96">
        <v>0.022347711952378054</v>
      </c>
      <c r="F19" s="96">
        <v>0.011594462770747278</v>
      </c>
      <c r="G19" s="95">
        <v>-130.56419006698343</v>
      </c>
      <c r="H19" s="95">
        <v>111.7162120499379</v>
      </c>
      <c r="I19" s="99">
        <v>5110.716212049938</v>
      </c>
      <c r="J19" s="111">
        <v>6.0</v>
      </c>
    </row>
    <row r="20">
      <c r="A20" s="93">
        <v>44835.0</v>
      </c>
      <c r="B20" s="95">
        <v>0.0</v>
      </c>
      <c r="C20" s="95">
        <v>4999.0</v>
      </c>
      <c r="D20" s="96">
        <v>0.035399477160146284</v>
      </c>
      <c r="E20" s="96">
        <v>0.048465773578099884</v>
      </c>
      <c r="F20" s="96">
        <v>0.026303304308173823</v>
      </c>
      <c r="G20" s="95">
        <v>185.53858588466028</v>
      </c>
      <c r="H20" s="95">
        <v>242.28040211692132</v>
      </c>
      <c r="I20" s="99">
        <v>5241.280402116921</v>
      </c>
      <c r="J20" s="111">
        <v>6.0</v>
      </c>
    </row>
    <row r="21">
      <c r="A21" s="93">
        <v>44805.0</v>
      </c>
      <c r="B21" s="95">
        <v>0.0</v>
      </c>
      <c r="C21" s="95">
        <v>4999.0</v>
      </c>
      <c r="D21" s="96">
        <v>-0.008057904309301749</v>
      </c>
      <c r="E21" s="96">
        <v>0.011350633373126834</v>
      </c>
      <c r="F21" s="96">
        <v>0.0064476187240040065</v>
      </c>
      <c r="G21" s="95">
        <v>-40.73868376773498</v>
      </c>
      <c r="H21" s="95">
        <v>56.741816232261044</v>
      </c>
      <c r="I21" s="99">
        <v>5055.741816232261</v>
      </c>
      <c r="J21" s="111">
        <v>6.0</v>
      </c>
    </row>
    <row r="22">
      <c r="A22" s="105">
        <v>44774.0</v>
      </c>
      <c r="B22" s="106">
        <v>0.0</v>
      </c>
      <c r="C22" s="106">
        <v>4999.0</v>
      </c>
      <c r="D22" s="107">
        <v>-0.017598140054812684</v>
      </c>
      <c r="E22" s="107">
        <v>0.019499999999999205</v>
      </c>
      <c r="F22" s="107">
        <v>0.01163786764705835</v>
      </c>
      <c r="G22" s="106">
        <v>4.998999999999796</v>
      </c>
      <c r="H22" s="106">
        <v>97.48049999999603</v>
      </c>
      <c r="I22" s="108">
        <v>5096.480499999996</v>
      </c>
      <c r="J22" s="110">
        <v>6.0</v>
      </c>
    </row>
    <row r="23">
      <c r="A23" s="93">
        <v>44743.0</v>
      </c>
      <c r="B23" s="95">
        <v>0.0</v>
      </c>
      <c r="C23" s="95">
        <v>4999.0</v>
      </c>
      <c r="D23" s="96">
        <v>-0.05315432864464901</v>
      </c>
      <c r="E23" s="96">
        <v>0.018599999999999204</v>
      </c>
      <c r="F23" s="96">
        <v>0.01169302925989623</v>
      </c>
      <c r="G23" s="95">
        <v>4.998999999999796</v>
      </c>
      <c r="H23" s="95">
        <v>92.98139999999603</v>
      </c>
      <c r="I23" s="99">
        <v>5091.981399999996</v>
      </c>
      <c r="J23" s="111">
        <v>6.0</v>
      </c>
    </row>
    <row r="24">
      <c r="A24" s="93">
        <v>44713.0</v>
      </c>
      <c r="B24" s="95">
        <v>0.0</v>
      </c>
      <c r="C24" s="95">
        <v>4999.0</v>
      </c>
      <c r="D24" s="96">
        <v>-0.1232628332688067</v>
      </c>
      <c r="E24" s="96">
        <v>0.017699999999999206</v>
      </c>
      <c r="F24" s="96">
        <v>0.011733076225044846</v>
      </c>
      <c r="G24" s="95">
        <v>4.998999999999796</v>
      </c>
      <c r="H24" s="95">
        <v>88.48229999999603</v>
      </c>
      <c r="I24" s="99">
        <v>5087.482299999996</v>
      </c>
      <c r="J24" s="111">
        <v>6.0</v>
      </c>
    </row>
    <row r="25">
      <c r="A25" s="93">
        <v>44682.0</v>
      </c>
      <c r="B25" s="95">
        <v>0.0</v>
      </c>
      <c r="C25" s="95">
        <v>4999.0</v>
      </c>
      <c r="D25" s="96">
        <v>-0.09031398034276159</v>
      </c>
      <c r="E25" s="96">
        <v>0.01679999999999939</v>
      </c>
      <c r="F25" s="96">
        <v>0.011800384615384187</v>
      </c>
      <c r="G25" s="95">
        <v>4.998999999999796</v>
      </c>
      <c r="H25" s="95">
        <v>83.98319999999694</v>
      </c>
      <c r="I25" s="99">
        <v>5082.983199999997</v>
      </c>
      <c r="J25" s="111">
        <v>6.0</v>
      </c>
    </row>
    <row r="26">
      <c r="A26" s="93">
        <v>44652.0</v>
      </c>
      <c r="B26" s="95">
        <v>0.0</v>
      </c>
      <c r="C26" s="95">
        <v>4999.0</v>
      </c>
      <c r="D26" s="96">
        <v>-0.014442065533848804</v>
      </c>
      <c r="E26" s="96">
        <v>0.015899999999999387</v>
      </c>
      <c r="F26" s="96">
        <v>0.01185198979591791</v>
      </c>
      <c r="G26" s="95">
        <v>4.998999999999796</v>
      </c>
      <c r="H26" s="95">
        <v>79.48409999999694</v>
      </c>
      <c r="I26" s="99">
        <v>5078.484099999997</v>
      </c>
      <c r="J26" s="111">
        <v>6.0</v>
      </c>
    </row>
    <row r="27">
      <c r="A27" s="93">
        <v>44621.0</v>
      </c>
      <c r="B27" s="95">
        <v>0.0</v>
      </c>
      <c r="C27" s="95">
        <v>4999.0</v>
      </c>
      <c r="D27" s="96">
        <v>-0.031352774564650306</v>
      </c>
      <c r="E27" s="96">
        <v>0.014999999999999389</v>
      </c>
      <c r="F27" s="96">
        <v>0.011936274509803436</v>
      </c>
      <c r="G27" s="95">
        <v>-98.48548341086553</v>
      </c>
      <c r="H27" s="95">
        <v>74.98499999999694</v>
      </c>
      <c r="I27" s="99">
        <v>5073.984999999997</v>
      </c>
      <c r="J27" s="111">
        <v>6.0</v>
      </c>
    </row>
    <row r="28">
      <c r="A28" s="93">
        <v>44593.0</v>
      </c>
      <c r="B28" s="95">
        <v>0.0</v>
      </c>
      <c r="C28" s="95">
        <v>4999.0</v>
      </c>
      <c r="D28" s="96">
        <v>-0.0631011406015152</v>
      </c>
      <c r="E28" s="96">
        <v>0.0347010368895504</v>
      </c>
      <c r="F28" s="96">
        <v>0.029407317224845207</v>
      </c>
      <c r="G28" s="95">
        <v>-348.3714212657351</v>
      </c>
      <c r="H28" s="95">
        <v>173.47048341086247</v>
      </c>
      <c r="I28" s="99">
        <v>5172.4704834108625</v>
      </c>
      <c r="J28" s="111">
        <v>6.0</v>
      </c>
    </row>
    <row r="29">
      <c r="A29" s="93">
        <v>44562.0</v>
      </c>
      <c r="B29" s="95">
        <v>0.0</v>
      </c>
      <c r="C29" s="95">
        <v>4999.0</v>
      </c>
      <c r="D29" s="96">
        <v>-0.06169775680530666</v>
      </c>
      <c r="E29" s="96">
        <v>0.09395033290836931</v>
      </c>
      <c r="F29" s="96">
        <v>0.08578839773695472</v>
      </c>
      <c r="G29" s="95">
        <v>-363.0211519430468</v>
      </c>
      <c r="H29" s="95">
        <v>469.65771420893816</v>
      </c>
      <c r="I29" s="99">
        <v>5468.657714208938</v>
      </c>
      <c r="J29" s="111">
        <v>6.0</v>
      </c>
    </row>
    <row r="30">
      <c r="A30" s="93">
        <v>44531.0</v>
      </c>
      <c r="B30" s="95">
        <v>0.0</v>
      </c>
      <c r="C30" s="95">
        <v>4999.0</v>
      </c>
      <c r="D30" s="96">
        <v>0.1156046108082369</v>
      </c>
      <c r="E30" s="96">
        <v>0.1593072116338628</v>
      </c>
      <c r="F30" s="96">
        <v>0.15768823590587638</v>
      </c>
      <c r="G30" s="95">
        <v>609.7157470662323</v>
      </c>
      <c r="H30" s="95">
        <v>796.3767509576801</v>
      </c>
      <c r="I30" s="99">
        <v>5795.37675095768</v>
      </c>
      <c r="J30" s="111">
        <v>6.0</v>
      </c>
    </row>
    <row r="31">
      <c r="A31" s="93">
        <v>44501.0</v>
      </c>
      <c r="B31" s="95">
        <v>0.0</v>
      </c>
      <c r="C31" s="95">
        <v>4999.0</v>
      </c>
      <c r="D31" s="96">
        <v>0.05159489909299921</v>
      </c>
      <c r="E31" s="96">
        <v>0.049536423004214986</v>
      </c>
      <c r="F31" s="96">
        <v>0.049536423004214986</v>
      </c>
      <c r="G31" s="95">
        <v>225.15730955341405</v>
      </c>
      <c r="H31" s="95">
        <v>247.63257859807072</v>
      </c>
      <c r="I31" s="99">
        <v>5246.632578598071</v>
      </c>
      <c r="J31" s="111">
        <v>6.0</v>
      </c>
    </row>
    <row r="32">
      <c r="A32" s="93">
        <v>44470.0</v>
      </c>
      <c r="B32" s="95">
        <v>0.0</v>
      </c>
      <c r="C32" s="95">
        <v>4999.0</v>
      </c>
      <c r="D32" s="96">
        <v>-0.03016516429454329</v>
      </c>
      <c r="E32" s="96">
        <v>0.008999999999999633</v>
      </c>
      <c r="F32" s="96">
        <v>0.008999999999999633</v>
      </c>
      <c r="G32" s="95">
        <v>-122.38468669613394</v>
      </c>
      <c r="H32" s="95">
        <v>44.99099999999817</v>
      </c>
      <c r="I32" s="99">
        <v>5043.990999999998</v>
      </c>
      <c r="J32" s="111">
        <v>6.0</v>
      </c>
    </row>
    <row r="33">
      <c r="A33" s="93">
        <v>44440.0</v>
      </c>
      <c r="B33" s="95">
        <v>0.0</v>
      </c>
      <c r="C33" s="95">
        <v>4999.0</v>
      </c>
      <c r="D33" s="96">
        <v>0.0013025817726574928</v>
      </c>
      <c r="E33" s="96">
        <v>0.031033650335370852</v>
      </c>
      <c r="F33" s="96">
        <v>0.031033650335370852</v>
      </c>
      <c r="G33" s="95">
        <v>6.727375449833744</v>
      </c>
      <c r="H33" s="95">
        <v>155.1372180265189</v>
      </c>
      <c r="I33" s="99">
        <v>5154.137218026519</v>
      </c>
      <c r="J33" s="111">
        <v>6.0</v>
      </c>
    </row>
    <row r="34">
      <c r="A34" s="93">
        <v>44409.0</v>
      </c>
      <c r="B34" s="95">
        <v>0.0</v>
      </c>
      <c r="C34" s="95">
        <v>4999.0</v>
      </c>
      <c r="D34" s="96">
        <v>0.09837837222074323</v>
      </c>
      <c r="E34" s="96">
        <v>0.029822480520437848</v>
      </c>
      <c r="F34" s="96">
        <v>0.029822480520437848</v>
      </c>
      <c r="G34" s="95">
        <v>130.65431124629959</v>
      </c>
      <c r="H34" s="95">
        <v>149.0825801216688</v>
      </c>
      <c r="I34" s="99">
        <v>5148.082580121669</v>
      </c>
      <c r="J34" s="111">
        <v>6.0</v>
      </c>
    </row>
    <row r="35">
      <c r="A35" s="93">
        <v>44378.0</v>
      </c>
      <c r="B35" s="95">
        <v>0.0</v>
      </c>
      <c r="C35" s="95">
        <v>4999.0</v>
      </c>
      <c r="D35" s="96">
        <v>0.14853606715471818</v>
      </c>
      <c r="E35" s="96">
        <v>0.006299999999999816</v>
      </c>
      <c r="F35" s="96">
        <v>0.006299999999999816</v>
      </c>
      <c r="G35" s="95">
        <v>4.998999999999796</v>
      </c>
      <c r="H35" s="95">
        <v>31.49369999999908</v>
      </c>
      <c r="I35" s="99">
        <v>5030.493699999999</v>
      </c>
      <c r="J35" s="111">
        <v>6.0</v>
      </c>
    </row>
    <row r="36">
      <c r="A36" s="93">
        <v>44348.0</v>
      </c>
      <c r="B36" s="95">
        <v>0.0</v>
      </c>
      <c r="C36" s="95">
        <v>4999.0</v>
      </c>
      <c r="D36" s="96">
        <v>-0.017263215616985603</v>
      </c>
      <c r="E36" s="96">
        <v>0.005399999999999816</v>
      </c>
      <c r="F36" s="96">
        <v>0.005399999999999816</v>
      </c>
      <c r="G36" s="95">
        <v>4.998999999999796</v>
      </c>
      <c r="H36" s="95">
        <v>26.99459999999908</v>
      </c>
      <c r="I36" s="99">
        <v>5025.994599999999</v>
      </c>
      <c r="J36" s="111">
        <v>6.0</v>
      </c>
    </row>
    <row r="37">
      <c r="A37" s="93">
        <v>44317.0</v>
      </c>
      <c r="B37" s="95">
        <v>0.0</v>
      </c>
      <c r="C37" s="95">
        <v>4999.0</v>
      </c>
      <c r="D37" s="96">
        <v>-0.020484672223953053</v>
      </c>
      <c r="E37" s="96">
        <v>0.004499999999999817</v>
      </c>
      <c r="F37" s="96">
        <v>0.004499999999999817</v>
      </c>
      <c r="G37" s="95">
        <v>4.998999999999796</v>
      </c>
      <c r="H37" s="95">
        <v>22.495499999999083</v>
      </c>
      <c r="I37" s="99">
        <v>5021.495499999999</v>
      </c>
      <c r="J37" s="111">
        <v>6.0</v>
      </c>
    </row>
    <row r="38">
      <c r="A38" s="93">
        <v>44287.0</v>
      </c>
      <c r="B38" s="95">
        <v>0.0</v>
      </c>
      <c r="C38" s="95">
        <v>4999.0</v>
      </c>
      <c r="D38" s="96">
        <v>0.03734176083770821</v>
      </c>
      <c r="E38" s="96">
        <v>0.003599999999999817</v>
      </c>
      <c r="F38" s="96">
        <v>0.003599999999999817</v>
      </c>
      <c r="G38" s="95">
        <v>4.998999999999796</v>
      </c>
      <c r="H38" s="95">
        <v>17.996399999999085</v>
      </c>
      <c r="I38" s="99">
        <v>5016.996399999999</v>
      </c>
      <c r="J38" s="111">
        <v>6.0</v>
      </c>
    </row>
    <row r="39">
      <c r="A39" s="93">
        <v>44256.0</v>
      </c>
      <c r="B39" s="95">
        <v>0.0</v>
      </c>
      <c r="C39" s="95">
        <v>4999.0</v>
      </c>
      <c r="D39" s="96">
        <v>-0.16492829612832205</v>
      </c>
      <c r="E39" s="96">
        <v>0.002699999999999817</v>
      </c>
      <c r="F39" s="96">
        <v>0.002699999999999817</v>
      </c>
      <c r="G39" s="95">
        <v>4.998999999999796</v>
      </c>
      <c r="H39" s="95">
        <v>13.497299999999086</v>
      </c>
      <c r="I39" s="99">
        <v>5012.497299999999</v>
      </c>
      <c r="J39" s="111">
        <v>6.0</v>
      </c>
    </row>
    <row r="40">
      <c r="A40" s="93">
        <v>44228.0</v>
      </c>
      <c r="B40" s="95">
        <v>0.0</v>
      </c>
      <c r="C40" s="95">
        <v>4999.0</v>
      </c>
      <c r="D40" s="96">
        <v>-0.018855969057020045</v>
      </c>
      <c r="E40" s="96">
        <v>0.0017999999999999995</v>
      </c>
      <c r="F40" s="96">
        <v>0.0017999999999999995</v>
      </c>
      <c r="G40" s="95">
        <v>4.998999999999796</v>
      </c>
      <c r="H40" s="95">
        <v>8.998199999999997</v>
      </c>
      <c r="I40" s="99">
        <v>5007.9982</v>
      </c>
      <c r="J40" s="111">
        <v>6.0</v>
      </c>
    </row>
    <row r="41">
      <c r="A41" s="93">
        <v>44197.0</v>
      </c>
      <c r="B41" s="95">
        <v>4999.0</v>
      </c>
      <c r="C41" s="95">
        <v>4999.0</v>
      </c>
      <c r="D41" s="96">
        <v>-0.0736699238115559</v>
      </c>
      <c r="E41" s="96">
        <v>8.999999999999998E-4</v>
      </c>
      <c r="F41" s="96">
        <v>8.999999999999998E-4</v>
      </c>
      <c r="G41" s="95">
        <v>4.998999999999796</v>
      </c>
      <c r="H41" s="95">
        <v>4.4990999999999985</v>
      </c>
      <c r="I41" s="99">
        <v>5003.4991</v>
      </c>
      <c r="J41" s="111">
        <v>6.0</v>
      </c>
    </row>
    <row r="42">
      <c r="A42" s="93">
        <v>44166.0</v>
      </c>
      <c r="B42" s="95">
        <v>4999.0</v>
      </c>
      <c r="C42" s="95">
        <v>0.0</v>
      </c>
      <c r="D42" s="96">
        <v>0.0</v>
      </c>
      <c r="E42" s="96">
        <v>0.0</v>
      </c>
      <c r="F42" s="96">
        <v>0.0</v>
      </c>
      <c r="G42" s="95">
        <v>0.0</v>
      </c>
      <c r="H42" s="95">
        <v>0.0</v>
      </c>
      <c r="I42" s="99">
        <v>0.0</v>
      </c>
      <c r="J42" s="111">
        <v>6.0</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5609</v>
      </c>
      <c r="D2" s="96">
        <f t="array" ref="D2">IF(AND(INDEX($A:$A,ROW()+1),$I2&lt;&gt;0),$G2/$I2,0)</f>
        <v>0.03527042325</v>
      </c>
      <c r="E2" s="96">
        <f>IF($C2&lt;&gt;0,H2/AVERAGEIF(C2:C37,"&lt;&gt;0"),0)</f>
        <v>0.9908245047</v>
      </c>
      <c r="F2" s="96">
        <f>$E2/MAX(1,(($A2-MINIFS(TransactionsView!$A:$A,TransactionsView!$B:$B,$J2))/365.25))</f>
        <v>0.3336146467</v>
      </c>
      <c r="G2" s="95">
        <f t="array" ref="G2">INDEX($H:$H,ROW())-IF(INDEX($H:$H,ROW()+1),INDEX($H:$H,ROW()+1),0)</f>
        <v>372.9715734</v>
      </c>
      <c r="H2" s="95">
        <f>I2-C2</f>
        <v>4965.627097</v>
      </c>
      <c r="I2" s="99">
        <f t="array" ref="I2">IF(MAXIFS(Portfolio!$H:$H,Portfolio!$A:$A,$J2),MAXIFS(Portfolio!$H:$H,Portfolio!$A:$A,$J2),INDEX(I:I,ROW()+1))</f>
        <v>10574.6271</v>
      </c>
      <c r="J2" s="100">
        <v>7.0</v>
      </c>
    </row>
    <row r="3">
      <c r="A3" s="93">
        <v>45352.0</v>
      </c>
      <c r="B3" s="95">
        <v>709.0</v>
      </c>
      <c r="C3" s="95">
        <v>5609.0</v>
      </c>
      <c r="D3" s="96">
        <v>0.1660444560688969</v>
      </c>
      <c r="E3" s="96">
        <v>0.9195347111862436</v>
      </c>
      <c r="F3" s="96">
        <v>0.3104067035681844</v>
      </c>
      <c r="G3" s="95">
        <v>1693.9283424267505</v>
      </c>
      <c r="H3" s="95">
        <v>4592.655523650174</v>
      </c>
      <c r="I3" s="97">
        <v>10201.655523650174</v>
      </c>
      <c r="J3" s="111">
        <v>7.0</v>
      </c>
    </row>
    <row r="4">
      <c r="A4" s="93">
        <v>45323.0</v>
      </c>
      <c r="B4" s="95">
        <v>0.0</v>
      </c>
      <c r="C4" s="95">
        <v>4900.0</v>
      </c>
      <c r="D4" s="96">
        <v>0.30053160839514853</v>
      </c>
      <c r="E4" s="96">
        <v>0.5824865494184184</v>
      </c>
      <c r="F4" s="96">
        <v>0.20204483587376765</v>
      </c>
      <c r="G4" s="95">
        <v>2343.7640232080385</v>
      </c>
      <c r="H4" s="95">
        <v>2898.727181223423</v>
      </c>
      <c r="I4" s="97">
        <v>7798.727181223423</v>
      </c>
      <c r="J4" s="111">
        <v>7.0</v>
      </c>
    </row>
    <row r="5">
      <c r="A5" s="93">
        <v>45292.0</v>
      </c>
      <c r="B5" s="95">
        <v>0.0</v>
      </c>
      <c r="C5" s="95">
        <v>4900.0</v>
      </c>
      <c r="D5" s="96">
        <v>0.0872532305403413</v>
      </c>
      <c r="E5" s="96">
        <v>0.11146551560868953</v>
      </c>
      <c r="F5" s="96">
        <v>0.03983637923294897</v>
      </c>
      <c r="G5" s="95">
        <v>475.9631580153846</v>
      </c>
      <c r="H5" s="95">
        <v>554.9631580153846</v>
      </c>
      <c r="I5" s="97">
        <v>5454.963158015385</v>
      </c>
      <c r="J5" s="111">
        <v>7.0</v>
      </c>
    </row>
    <row r="6">
      <c r="A6" s="93">
        <v>45261.0</v>
      </c>
      <c r="B6" s="95">
        <v>0.0</v>
      </c>
      <c r="C6" s="95">
        <v>4900.0</v>
      </c>
      <c r="D6" s="96">
        <v>0.20655528246772478</v>
      </c>
      <c r="E6" s="96">
        <v>0.015859473023839398</v>
      </c>
      <c r="F6" s="96">
        <v>0.005845280042338385</v>
      </c>
      <c r="G6" s="95">
        <v>1028.4387514068017</v>
      </c>
      <c r="H6" s="95">
        <v>79.0</v>
      </c>
      <c r="I6" s="97">
        <v>4979.0</v>
      </c>
      <c r="J6" s="111">
        <v>7.0</v>
      </c>
    </row>
    <row r="7">
      <c r="A7" s="93">
        <v>45231.0</v>
      </c>
      <c r="B7" s="95">
        <v>0.0</v>
      </c>
      <c r="C7" s="95">
        <v>4900.0</v>
      </c>
      <c r="D7" s="96">
        <v>0.032183454451227334</v>
      </c>
      <c r="E7" s="96">
        <v>-0.19050227374505405</v>
      </c>
      <c r="F7" s="96">
        <v>-0.0724047403593975</v>
      </c>
      <c r="G7" s="95">
        <v>127.14270800088298</v>
      </c>
      <c r="H7" s="95">
        <v>-949.4387514068017</v>
      </c>
      <c r="I7" s="97">
        <v>3950.5612485931983</v>
      </c>
      <c r="J7" s="111">
        <v>7.0</v>
      </c>
    </row>
    <row r="8">
      <c r="A8" s="93">
        <v>45200.0</v>
      </c>
      <c r="B8" s="95">
        <v>0.0</v>
      </c>
      <c r="C8" s="95">
        <v>4900.0</v>
      </c>
      <c r="D8" s="96">
        <v>-0.05636280369851666</v>
      </c>
      <c r="E8" s="96">
        <v>-0.21589200389191535</v>
      </c>
      <c r="F8" s="96">
        <v>-0.08478984346400224</v>
      </c>
      <c r="G8" s="95">
        <v>-215.4985886606737</v>
      </c>
      <c r="H8" s="95">
        <v>-1076.5814594076846</v>
      </c>
      <c r="I8" s="97">
        <v>3823.4185405923154</v>
      </c>
      <c r="J8" s="111">
        <v>7.0</v>
      </c>
    </row>
    <row r="9">
      <c r="A9" s="93">
        <v>45170.0</v>
      </c>
      <c r="B9" s="95">
        <v>0.0</v>
      </c>
      <c r="C9" s="95">
        <v>4900.0</v>
      </c>
      <c r="D9" s="96">
        <v>0.06341461489939616</v>
      </c>
      <c r="E9" s="96">
        <v>-0.17257362302462553</v>
      </c>
      <c r="F9" s="96">
        <v>-0.07003612867749386</v>
      </c>
      <c r="G9" s="95">
        <v>256.126374362153</v>
      </c>
      <c r="H9" s="95">
        <v>-861.0828707470109</v>
      </c>
      <c r="I9" s="97">
        <v>4038.917129252989</v>
      </c>
      <c r="J9" s="111">
        <v>7.0</v>
      </c>
    </row>
    <row r="10">
      <c r="A10" s="93">
        <v>45139.0</v>
      </c>
      <c r="B10" s="95">
        <v>0.0</v>
      </c>
      <c r="C10" s="95">
        <v>4900.0</v>
      </c>
      <c r="D10" s="96">
        <v>-0.05761529063689771</v>
      </c>
      <c r="E10" s="96">
        <v>-0.22376150831943195</v>
      </c>
      <c r="F10" s="96">
        <v>-0.09404935663253455</v>
      </c>
      <c r="G10" s="95">
        <v>-217.9465887616052</v>
      </c>
      <c r="H10" s="95">
        <v>-1117.209245109164</v>
      </c>
      <c r="I10" s="97">
        <v>3782.790754890836</v>
      </c>
      <c r="J10" s="111">
        <v>7.0</v>
      </c>
    </row>
    <row r="11">
      <c r="A11" s="93">
        <v>45108.0</v>
      </c>
      <c r="B11" s="95">
        <v>-100.0</v>
      </c>
      <c r="C11" s="95">
        <v>4900.0</v>
      </c>
      <c r="D11" s="96">
        <v>0.0010614519316685075</v>
      </c>
      <c r="E11" s="96">
        <v>-0.17998585412441873</v>
      </c>
      <c r="F11" s="96">
        <v>-0.0784484883280954</v>
      </c>
      <c r="G11" s="95">
        <v>4.246590381518217</v>
      </c>
      <c r="H11" s="95">
        <v>-899.2626563475587</v>
      </c>
      <c r="I11" s="97">
        <v>4000.7373436524413</v>
      </c>
      <c r="J11" s="111">
        <v>7.0</v>
      </c>
    </row>
    <row r="12">
      <c r="A12" s="93">
        <v>45078.0</v>
      </c>
      <c r="B12" s="95">
        <v>0.0</v>
      </c>
      <c r="C12" s="95">
        <v>5000.0</v>
      </c>
      <c r="D12" s="96">
        <v>0.022138649134857306</v>
      </c>
      <c r="E12" s="96">
        <v>-0.1807018493458154</v>
      </c>
      <c r="F12" s="96">
        <v>-0.08168483969499886</v>
      </c>
      <c r="G12" s="95">
        <v>90.69077147085227</v>
      </c>
      <c r="H12" s="95">
        <v>-903.509246729077</v>
      </c>
      <c r="I12" s="97">
        <v>4096.490753270923</v>
      </c>
      <c r="J12" s="111">
        <v>7.0</v>
      </c>
    </row>
    <row r="13">
      <c r="A13" s="93">
        <v>45047.0</v>
      </c>
      <c r="B13" s="95">
        <v>0.0</v>
      </c>
      <c r="C13" s="95">
        <v>5000.0</v>
      </c>
      <c r="D13" s="96">
        <v>-0.02027932484957933</v>
      </c>
      <c r="E13" s="96">
        <v>-0.19884000363998586</v>
      </c>
      <c r="F13" s="96">
        <v>-0.09347015615122886</v>
      </c>
      <c r="G13" s="95">
        <v>-81.2349191133626</v>
      </c>
      <c r="H13" s="95">
        <v>-994.2000181999292</v>
      </c>
      <c r="I13" s="97">
        <v>4005.799981800071</v>
      </c>
      <c r="J13" s="111">
        <v>7.0</v>
      </c>
    </row>
    <row r="14">
      <c r="A14" s="93">
        <v>45017.0</v>
      </c>
      <c r="B14" s="95">
        <v>0.0</v>
      </c>
      <c r="C14" s="95">
        <v>5000.0</v>
      </c>
      <c r="D14" s="96">
        <v>-0.019452049359893687</v>
      </c>
      <c r="E14" s="96">
        <v>-0.18259301981731332</v>
      </c>
      <c r="F14" s="96">
        <v>-0.08927992033236104</v>
      </c>
      <c r="G14" s="95">
        <v>-79.50120462817631</v>
      </c>
      <c r="H14" s="95">
        <v>-912.9650990865666</v>
      </c>
      <c r="I14" s="97">
        <v>4087.0349009134334</v>
      </c>
      <c r="J14" s="111">
        <v>7.0</v>
      </c>
    </row>
    <row r="15">
      <c r="A15" s="93">
        <v>44986.0</v>
      </c>
      <c r="B15" s="95">
        <v>0.0</v>
      </c>
      <c r="C15" s="95">
        <v>5000.0</v>
      </c>
      <c r="D15" s="96">
        <v>0.2622327623075943</v>
      </c>
      <c r="E15" s="96">
        <v>-0.16669277889167805</v>
      </c>
      <c r="F15" s="96">
        <v>-0.08503427023768911</v>
      </c>
      <c r="G15" s="95">
        <v>1092.6022722105026</v>
      </c>
      <c r="H15" s="95">
        <v>-833.4638944583903</v>
      </c>
      <c r="I15" s="97">
        <v>4166.53610554161</v>
      </c>
      <c r="J15" s="111">
        <v>7.0</v>
      </c>
    </row>
    <row r="16">
      <c r="A16" s="93">
        <v>44958.0</v>
      </c>
      <c r="B16" s="95">
        <v>0.0</v>
      </c>
      <c r="C16" s="95">
        <v>5000.0</v>
      </c>
      <c r="D16" s="96">
        <v>-0.25045564072512577</v>
      </c>
      <c r="E16" s="96">
        <v>-0.3852132333337786</v>
      </c>
      <c r="F16" s="96">
        <v>-0.20450455446971313</v>
      </c>
      <c r="G16" s="95">
        <v>-769.8840677735843</v>
      </c>
      <c r="H16" s="95">
        <v>-1926.066166668893</v>
      </c>
      <c r="I16" s="97">
        <v>3073.933833331107</v>
      </c>
      <c r="J16" s="111">
        <v>7.0</v>
      </c>
    </row>
    <row r="17">
      <c r="A17" s="93">
        <v>44927.0</v>
      </c>
      <c r="B17" s="95">
        <v>0.0</v>
      </c>
      <c r="C17" s="95">
        <v>5000.0</v>
      </c>
      <c r="D17" s="96">
        <v>-0.28470553973829094</v>
      </c>
      <c r="E17" s="96">
        <v>-0.23123641977906173</v>
      </c>
      <c r="F17" s="96">
        <v>-0.12855266716027747</v>
      </c>
      <c r="G17" s="95">
        <v>-1094.3562501897159</v>
      </c>
      <c r="H17" s="95">
        <v>-1156.1820988953086</v>
      </c>
      <c r="I17" s="99">
        <v>3843.8179011046914</v>
      </c>
      <c r="J17" s="111">
        <v>7.0</v>
      </c>
    </row>
    <row r="18">
      <c r="A18" s="93">
        <v>44896.0</v>
      </c>
      <c r="B18" s="95">
        <v>0.0</v>
      </c>
      <c r="C18" s="95">
        <v>5000.0</v>
      </c>
      <c r="D18" s="96">
        <v>-0.029950864352774456</v>
      </c>
      <c r="E18" s="96">
        <v>-0.012365169741118552</v>
      </c>
      <c r="F18" s="96">
        <v>-0.0072146617379289955</v>
      </c>
      <c r="G18" s="95">
        <v>-147.90258415579592</v>
      </c>
      <c r="H18" s="95">
        <v>-61.82584870559276</v>
      </c>
      <c r="I18" s="99">
        <v>4938.174151294407</v>
      </c>
      <c r="J18" s="111">
        <v>7.0</v>
      </c>
    </row>
    <row r="19">
      <c r="A19" s="93">
        <v>44866.0</v>
      </c>
      <c r="B19" s="95">
        <v>0.0</v>
      </c>
      <c r="C19" s="95">
        <v>5000.0</v>
      </c>
      <c r="D19" s="96">
        <v>0.04132406319530605</v>
      </c>
      <c r="E19" s="96">
        <v>0.017215347090040634</v>
      </c>
      <c r="F19" s="96">
        <v>0.01055017705476064</v>
      </c>
      <c r="G19" s="95">
        <v>210.1773564319201</v>
      </c>
      <c r="H19" s="95">
        <v>86.07673545020316</v>
      </c>
      <c r="I19" s="99">
        <v>5086.076735450203</v>
      </c>
      <c r="J19" s="111">
        <v>7.0</v>
      </c>
    </row>
    <row r="20">
      <c r="A20" s="93">
        <v>44835.0</v>
      </c>
      <c r="B20" s="95">
        <v>0.0</v>
      </c>
      <c r="C20" s="95">
        <v>5000.0</v>
      </c>
      <c r="D20" s="96">
        <v>-0.04165398118256684</v>
      </c>
      <c r="E20" s="96">
        <v>-0.024820124196343385</v>
      </c>
      <c r="F20" s="96">
        <v>-0.016045221880910482</v>
      </c>
      <c r="G20" s="95">
        <v>-203.10062098171693</v>
      </c>
      <c r="H20" s="95">
        <v>-124.10062098171693</v>
      </c>
      <c r="I20" s="99">
        <v>4875.899379018283</v>
      </c>
      <c r="J20" s="111">
        <v>7.0</v>
      </c>
    </row>
    <row r="21">
      <c r="A21" s="105">
        <v>44774.0</v>
      </c>
      <c r="B21" s="106">
        <v>0.0</v>
      </c>
      <c r="C21" s="106">
        <v>5000.0</v>
      </c>
      <c r="D21" s="107">
        <v>-0.017598140054812684</v>
      </c>
      <c r="E21" s="107">
        <v>0.0158</v>
      </c>
      <c r="F21" s="107">
        <v>0.01145029761904762</v>
      </c>
      <c r="G21" s="106">
        <v>5.0</v>
      </c>
      <c r="H21" s="106">
        <v>79.0</v>
      </c>
      <c r="I21" s="108">
        <v>5079.0</v>
      </c>
      <c r="J21" s="110">
        <v>7.0</v>
      </c>
    </row>
    <row r="22">
      <c r="A22" s="93">
        <v>44743.0</v>
      </c>
      <c r="B22" s="95">
        <v>0.0</v>
      </c>
      <c r="C22" s="95">
        <v>5000.0</v>
      </c>
      <c r="D22" s="96">
        <v>-0.05315432864464901</v>
      </c>
      <c r="E22" s="96">
        <v>0.0149</v>
      </c>
      <c r="F22" s="96">
        <v>0.011505761099365752</v>
      </c>
      <c r="G22" s="95">
        <v>5.0</v>
      </c>
      <c r="H22" s="95">
        <v>74.5</v>
      </c>
      <c r="I22" s="99">
        <v>5074.5</v>
      </c>
      <c r="J22" s="111">
        <v>7.0</v>
      </c>
    </row>
    <row r="23">
      <c r="A23" s="93">
        <v>44713.0</v>
      </c>
      <c r="B23" s="95">
        <v>0.0</v>
      </c>
      <c r="C23" s="95">
        <v>5000.0</v>
      </c>
      <c r="D23" s="96">
        <v>-0.1232628332688067</v>
      </c>
      <c r="E23" s="96">
        <v>0.014</v>
      </c>
      <c r="F23" s="96">
        <v>0.011542889390519187</v>
      </c>
      <c r="G23" s="95">
        <v>-210.9460784856501</v>
      </c>
      <c r="H23" s="95">
        <v>70.0</v>
      </c>
      <c r="I23" s="99">
        <v>5070.0</v>
      </c>
      <c r="J23" s="111">
        <v>7.0</v>
      </c>
    </row>
    <row r="24">
      <c r="A24" s="93">
        <v>44682.0</v>
      </c>
      <c r="B24" s="95">
        <v>0.0</v>
      </c>
      <c r="C24" s="95">
        <v>5000.0</v>
      </c>
      <c r="D24" s="96">
        <v>-0.09031398034276159</v>
      </c>
      <c r="E24" s="96">
        <v>0.05618921569713002</v>
      </c>
      <c r="F24" s="96">
        <v>0.04981337629460374</v>
      </c>
      <c r="G24" s="95">
        <v>-524.2943719232326</v>
      </c>
      <c r="H24" s="95">
        <v>280.9460784856501</v>
      </c>
      <c r="I24" s="99">
        <v>5280.94607848565</v>
      </c>
      <c r="J24" s="111">
        <v>7.0</v>
      </c>
    </row>
    <row r="25">
      <c r="A25" s="93">
        <v>44652.0</v>
      </c>
      <c r="B25" s="95">
        <v>0.0</v>
      </c>
      <c r="C25" s="95">
        <v>5000.0</v>
      </c>
      <c r="D25" s="96">
        <v>-0.014442065533848804</v>
      </c>
      <c r="E25" s="96">
        <v>0.15956528107359882</v>
      </c>
      <c r="F25" s="96">
        <v>0.1525686358956334</v>
      </c>
      <c r="G25" s="95">
        <v>-85.06822388880482</v>
      </c>
      <c r="H25" s="95">
        <v>797.8264053679941</v>
      </c>
      <c r="I25" s="99">
        <v>5797.826405367994</v>
      </c>
      <c r="J25" s="111">
        <v>7.0</v>
      </c>
    </row>
    <row r="26">
      <c r="A26" s="93">
        <v>44621.0</v>
      </c>
      <c r="B26" s="95">
        <v>0.0</v>
      </c>
      <c r="C26" s="95">
        <v>5000.0</v>
      </c>
      <c r="D26" s="96">
        <v>-0.031352774564650306</v>
      </c>
      <c r="E26" s="96">
        <v>0.17487756137358373</v>
      </c>
      <c r="F26" s="96">
        <v>0.17487756137358373</v>
      </c>
      <c r="G26" s="95">
        <v>-190.6550859095869</v>
      </c>
      <c r="H26" s="95">
        <v>874.3878068679187</v>
      </c>
      <c r="I26" s="99">
        <v>5874.387806867919</v>
      </c>
      <c r="J26" s="111">
        <v>7.0</v>
      </c>
    </row>
    <row r="27">
      <c r="A27" s="93">
        <v>44593.0</v>
      </c>
      <c r="B27" s="95">
        <v>0.0</v>
      </c>
      <c r="C27" s="95">
        <v>5000.0</v>
      </c>
      <c r="D27" s="96">
        <v>-0.0631011406015152</v>
      </c>
      <c r="E27" s="96">
        <v>0.20919547683730944</v>
      </c>
      <c r="F27" s="96">
        <v>0.20919547683730944</v>
      </c>
      <c r="G27" s="95">
        <v>-409.5594154868686</v>
      </c>
      <c r="H27" s="95">
        <v>1045.9773841865472</v>
      </c>
      <c r="I27" s="99">
        <v>6045.977384186547</v>
      </c>
      <c r="J27" s="111">
        <v>7.0</v>
      </c>
    </row>
    <row r="28">
      <c r="A28" s="93">
        <v>44562.0</v>
      </c>
      <c r="B28" s="95">
        <v>0.0</v>
      </c>
      <c r="C28" s="95">
        <v>5000.0</v>
      </c>
      <c r="D28" s="96">
        <v>-0.06169775680530666</v>
      </c>
      <c r="E28" s="96">
        <v>0.26829417162494573</v>
      </c>
      <c r="F28" s="96">
        <v>0.26829417162494573</v>
      </c>
      <c r="G28" s="95">
        <v>-426.78222644949165</v>
      </c>
      <c r="H28" s="95">
        <v>1341.4708581247287</v>
      </c>
      <c r="I28" s="99">
        <v>6341.470858124729</v>
      </c>
      <c r="J28" s="111">
        <v>7.0</v>
      </c>
    </row>
    <row r="29">
      <c r="A29" s="93">
        <v>44531.0</v>
      </c>
      <c r="B29" s="95">
        <v>0.0</v>
      </c>
      <c r="C29" s="95">
        <v>5000.0</v>
      </c>
      <c r="D29" s="96">
        <v>0.1156046108082369</v>
      </c>
      <c r="E29" s="96">
        <v>0.34511497238585415</v>
      </c>
      <c r="F29" s="96">
        <v>0.34511497238585415</v>
      </c>
      <c r="G29" s="95">
        <v>716.806287020614</v>
      </c>
      <c r="H29" s="95">
        <v>1725.5748619292708</v>
      </c>
      <c r="I29" s="99">
        <v>6725.574861929271</v>
      </c>
      <c r="J29" s="111">
        <v>7.0</v>
      </c>
    </row>
    <row r="30">
      <c r="A30" s="93">
        <v>44501.0</v>
      </c>
      <c r="B30" s="95">
        <v>0.0</v>
      </c>
      <c r="C30" s="95">
        <v>5000.0</v>
      </c>
      <c r="D30" s="96">
        <v>0.05159489909299921</v>
      </c>
      <c r="E30" s="96">
        <v>0.2160898407221437</v>
      </c>
      <c r="F30" s="96">
        <v>0.2160898407221437</v>
      </c>
      <c r="G30" s="95">
        <v>304.2180277281004</v>
      </c>
      <c r="H30" s="95">
        <v>1080.4492036107185</v>
      </c>
      <c r="I30" s="99">
        <v>6080.4492036107185</v>
      </c>
      <c r="J30" s="111">
        <v>7.0</v>
      </c>
    </row>
    <row r="31">
      <c r="A31" s="93">
        <v>44470.0</v>
      </c>
      <c r="B31" s="95">
        <v>0.0</v>
      </c>
      <c r="C31" s="95">
        <v>5000.0</v>
      </c>
      <c r="D31" s="96">
        <v>-0.03016516429454329</v>
      </c>
      <c r="E31" s="96">
        <v>0.16133059573108566</v>
      </c>
      <c r="F31" s="96">
        <v>0.16133059573108566</v>
      </c>
      <c r="G31" s="95">
        <v>-183.39441024378084</v>
      </c>
      <c r="H31" s="95">
        <v>806.6529786554283</v>
      </c>
      <c r="I31" s="99">
        <v>5806.652978655428</v>
      </c>
      <c r="J31" s="111">
        <v>7.0</v>
      </c>
    </row>
    <row r="32">
      <c r="A32" s="93">
        <v>44440.0</v>
      </c>
      <c r="B32" s="95">
        <v>0.0</v>
      </c>
      <c r="C32" s="95">
        <v>5000.0</v>
      </c>
      <c r="D32" s="96">
        <v>0.0013025817726574928</v>
      </c>
      <c r="E32" s="96">
        <v>0.1943415895749662</v>
      </c>
      <c r="F32" s="96">
        <v>0.1943415895749662</v>
      </c>
      <c r="G32" s="95">
        <v>7.908972403603002</v>
      </c>
      <c r="H32" s="95">
        <v>971.707947874831</v>
      </c>
      <c r="I32" s="99">
        <v>5971.707947874831</v>
      </c>
      <c r="J32" s="111">
        <v>7.0</v>
      </c>
    </row>
    <row r="33">
      <c r="A33" s="93">
        <v>44409.0</v>
      </c>
      <c r="B33" s="95">
        <v>0.0</v>
      </c>
      <c r="C33" s="95">
        <v>5000.0</v>
      </c>
      <c r="D33" s="96">
        <v>0.09837837222074323</v>
      </c>
      <c r="E33" s="96">
        <v>0.19291797454231766</v>
      </c>
      <c r="F33" s="96">
        <v>0.19291797454231766</v>
      </c>
      <c r="G33" s="95">
        <v>543.8294510928154</v>
      </c>
      <c r="H33" s="95">
        <v>964.5898727115882</v>
      </c>
      <c r="I33" s="99">
        <v>5964.589872711588</v>
      </c>
      <c r="J33" s="111">
        <v>7.0</v>
      </c>
    </row>
    <row r="34">
      <c r="A34" s="93">
        <v>44378.0</v>
      </c>
      <c r="B34" s="95">
        <v>0.0</v>
      </c>
      <c r="C34" s="95">
        <v>5000.0</v>
      </c>
      <c r="D34" s="96">
        <v>0.14853606715471818</v>
      </c>
      <c r="E34" s="96">
        <v>0.09502867334561088</v>
      </c>
      <c r="F34" s="96">
        <v>0.09502867334561088</v>
      </c>
      <c r="G34" s="95">
        <v>517.9370741422827</v>
      </c>
      <c r="H34" s="95">
        <v>475.1433667280544</v>
      </c>
      <c r="I34" s="99">
        <v>5475.143366728054</v>
      </c>
      <c r="J34" s="111">
        <v>7.0</v>
      </c>
    </row>
    <row r="35">
      <c r="A35" s="93">
        <v>44348.0</v>
      </c>
      <c r="B35" s="95">
        <v>0.0</v>
      </c>
      <c r="C35" s="95">
        <v>5000.0</v>
      </c>
      <c r="D35" s="96">
        <v>-0.017263215616985603</v>
      </c>
      <c r="E35" s="96">
        <v>0.0018</v>
      </c>
      <c r="F35" s="96">
        <v>0.0018</v>
      </c>
      <c r="G35" s="95">
        <v>5.0</v>
      </c>
      <c r="H35" s="95">
        <v>9.0</v>
      </c>
      <c r="I35" s="99">
        <v>5009.0</v>
      </c>
      <c r="J35" s="111">
        <v>7.0</v>
      </c>
    </row>
    <row r="36">
      <c r="A36" s="93">
        <v>44317.0</v>
      </c>
      <c r="B36" s="95">
        <v>0.0</v>
      </c>
      <c r="C36" s="95">
        <v>5000.0</v>
      </c>
      <c r="D36" s="96">
        <v>-0.020484672223953053</v>
      </c>
      <c r="E36" s="96">
        <v>9.0E-4</v>
      </c>
      <c r="F36" s="96">
        <v>9.0E-4</v>
      </c>
      <c r="G36" s="95">
        <v>5.0</v>
      </c>
      <c r="H36" s="95">
        <v>4.5</v>
      </c>
      <c r="I36" s="99">
        <v>5004.5</v>
      </c>
      <c r="J36" s="111">
        <v>7.0</v>
      </c>
    </row>
    <row r="37">
      <c r="A37" s="93">
        <v>44287.0</v>
      </c>
      <c r="B37" s="95">
        <v>5000.0</v>
      </c>
      <c r="C37" s="95">
        <v>5000.0</v>
      </c>
      <c r="D37" s="96">
        <v>0.0</v>
      </c>
      <c r="E37" s="96">
        <v>0.0</v>
      </c>
      <c r="F37" s="96">
        <v>0.0</v>
      </c>
      <c r="G37" s="95">
        <v>0.0</v>
      </c>
      <c r="H37" s="95">
        <v>0.0</v>
      </c>
      <c r="I37" s="99">
        <v>5000.0</v>
      </c>
      <c r="J37" s="111">
        <v>7.0</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7800</v>
      </c>
      <c r="D2" s="96">
        <f t="array" ref="D2">IF(AND(INDEX($A:$A,ROW()+1),$I2&lt;&gt;0),$G2/$I2,0)</f>
        <v>0.0009615171907</v>
      </c>
      <c r="E2" s="96">
        <f>IF($C2&lt;&gt;0,H2/AVERAGEIF(C2:C26,"&lt;&gt;0"),0)</f>
        <v>0.006715458217</v>
      </c>
      <c r="F2" s="96">
        <f>$E2/MAX(1,(($A2-MINIFS(TransactionsView!$A:$A,TransactionsView!$B:$B,$J2))/365.25))</f>
        <v>0.003417230261</v>
      </c>
      <c r="G2" s="95">
        <f t="array" ref="G2">INDEX($H:$H,ROW())-IF(INDEX($H:$H,ROW()+1),INDEX($H:$H,ROW()+1),0)</f>
        <v>7.547641926</v>
      </c>
      <c r="H2" s="95">
        <f>I2-C2</f>
        <v>49.72125264</v>
      </c>
      <c r="I2" s="99">
        <f t="array" ref="I2">IF(MAXIFS(Portfolio!$H:$H,Portfolio!$A:$A,$J2),MAXIFS(Portfolio!$H:$H,Portfolio!$A:$A,$J2),INDEX(I:I,ROW()+1))</f>
        <v>7849.721253</v>
      </c>
      <c r="J2" s="100">
        <v>8.0</v>
      </c>
    </row>
    <row r="3">
      <c r="A3" s="93">
        <v>45352.0</v>
      </c>
      <c r="B3" s="95">
        <v>300.0</v>
      </c>
      <c r="C3" s="95">
        <v>7800.0</v>
      </c>
      <c r="D3" s="96">
        <v>-0.04869542025911356</v>
      </c>
      <c r="E3" s="96">
        <v>0.005708779791628226</v>
      </c>
      <c r="F3" s="96">
        <v>0.0029162682781709226</v>
      </c>
      <c r="G3" s="95">
        <v>-381.8779397184853</v>
      </c>
      <c r="H3" s="95">
        <v>42.17361071065352</v>
      </c>
      <c r="I3" s="97">
        <v>7842.1736107106535</v>
      </c>
      <c r="J3" s="111">
        <v>8.0</v>
      </c>
    </row>
    <row r="4">
      <c r="A4" s="93">
        <v>45323.0</v>
      </c>
      <c r="B4" s="95">
        <v>0.0</v>
      </c>
      <c r="C4" s="95">
        <v>7500.0</v>
      </c>
      <c r="D4" s="96">
        <v>0.039188143865966564</v>
      </c>
      <c r="E4" s="96">
        <v>0.057540918347316776</v>
      </c>
      <c r="F4" s="96">
        <v>0.030636764469908824</v>
      </c>
      <c r="G4" s="95">
        <v>310.5288721595525</v>
      </c>
      <c r="H4" s="95">
        <v>424.05155042913884</v>
      </c>
      <c r="I4" s="97">
        <v>7924.051550429139</v>
      </c>
      <c r="J4" s="111">
        <v>8.0</v>
      </c>
    </row>
    <row r="5">
      <c r="A5" s="93">
        <v>45292.0</v>
      </c>
      <c r="B5" s="95">
        <v>0.0</v>
      </c>
      <c r="C5" s="95">
        <v>7500.0</v>
      </c>
      <c r="D5" s="96">
        <v>0.006035271350055251</v>
      </c>
      <c r="E5" s="96">
        <v>0.01541666001191913</v>
      </c>
      <c r="F5" s="96">
        <v>0.008596847434127423</v>
      </c>
      <c r="G5" s="95">
        <v>45.94967529315636</v>
      </c>
      <c r="H5" s="95">
        <v>113.52267826958632</v>
      </c>
      <c r="I5" s="97">
        <v>7613.522678269586</v>
      </c>
      <c r="J5" s="111">
        <v>8.0</v>
      </c>
    </row>
    <row r="6">
      <c r="A6" s="93">
        <v>45261.0</v>
      </c>
      <c r="B6" s="95">
        <v>0.0</v>
      </c>
      <c r="C6" s="95">
        <v>7500.0</v>
      </c>
      <c r="D6" s="96">
        <v>0.005599285657338787</v>
      </c>
      <c r="E6" s="96">
        <v>0.009184680016213781</v>
      </c>
      <c r="F6" s="96">
        <v>0.005376128807567442</v>
      </c>
      <c r="G6" s="95">
        <v>42.37300297643014</v>
      </c>
      <c r="H6" s="95">
        <v>67.57300297642996</v>
      </c>
      <c r="I6" s="97">
        <v>7567.57300297643</v>
      </c>
      <c r="J6" s="111">
        <v>8.0</v>
      </c>
    </row>
    <row r="7">
      <c r="A7" s="93">
        <v>45231.0</v>
      </c>
      <c r="B7" s="95">
        <v>0.0</v>
      </c>
      <c r="C7" s="95">
        <v>7500.0</v>
      </c>
      <c r="D7" s="96">
        <v>0.0</v>
      </c>
      <c r="E7" s="96">
        <v>0.0034285714285714037</v>
      </c>
      <c r="F7" s="96">
        <v>0.002108225108225093</v>
      </c>
      <c r="G7" s="95">
        <v>0.0</v>
      </c>
      <c r="H7" s="95">
        <v>25.199999999999818</v>
      </c>
      <c r="I7" s="97">
        <v>7525.2</v>
      </c>
      <c r="J7" s="111">
        <v>8.0</v>
      </c>
    </row>
    <row r="8">
      <c r="A8" s="93">
        <v>45200.0</v>
      </c>
      <c r="B8" s="95">
        <v>0.0</v>
      </c>
      <c r="C8" s="95">
        <v>7500.0</v>
      </c>
      <c r="D8" s="96">
        <v>0.0</v>
      </c>
      <c r="E8" s="96">
        <v>0.003432258064516104</v>
      </c>
      <c r="F8" s="96">
        <v>0.002226700280754009</v>
      </c>
      <c r="G8" s="95">
        <v>0.0</v>
      </c>
      <c r="H8" s="95">
        <v>25.199999999999818</v>
      </c>
      <c r="I8" s="97">
        <v>7525.2</v>
      </c>
      <c r="J8" s="111">
        <v>8.0</v>
      </c>
    </row>
    <row r="9">
      <c r="A9" s="93">
        <v>45170.0</v>
      </c>
      <c r="B9" s="95">
        <v>0.0</v>
      </c>
      <c r="C9" s="95">
        <v>7500.0</v>
      </c>
      <c r="D9" s="96">
        <v>0.0</v>
      </c>
      <c r="E9" s="96">
        <v>0.0034363636363636115</v>
      </c>
      <c r="F9" s="96">
        <v>0.002354843936551237</v>
      </c>
      <c r="G9" s="95">
        <v>0.0</v>
      </c>
      <c r="H9" s="95">
        <v>25.199999999999818</v>
      </c>
      <c r="I9" s="97">
        <v>7525.2</v>
      </c>
      <c r="J9" s="111">
        <v>8.0</v>
      </c>
    </row>
    <row r="10">
      <c r="A10" s="93">
        <v>45139.0</v>
      </c>
      <c r="B10" s="95">
        <v>0.0</v>
      </c>
      <c r="C10" s="95">
        <v>7500.0</v>
      </c>
      <c r="D10" s="96">
        <v>0.0</v>
      </c>
      <c r="E10" s="96">
        <v>0.003440963855421662</v>
      </c>
      <c r="F10" s="96">
        <v>0.0025036096577545058</v>
      </c>
      <c r="G10" s="95">
        <v>0.0</v>
      </c>
      <c r="H10" s="95">
        <v>25.199999999999818</v>
      </c>
      <c r="I10" s="97">
        <v>7525.2</v>
      </c>
      <c r="J10" s="111">
        <v>8.0</v>
      </c>
    </row>
    <row r="11">
      <c r="A11" s="93">
        <v>45108.0</v>
      </c>
      <c r="B11" s="95">
        <v>0.0</v>
      </c>
      <c r="C11" s="95">
        <v>7500.0</v>
      </c>
      <c r="D11" s="96">
        <v>0.0</v>
      </c>
      <c r="E11" s="96">
        <v>0.0034461538461538215</v>
      </c>
      <c r="F11" s="96">
        <v>0.0026724154826065463</v>
      </c>
      <c r="G11" s="95">
        <v>0.0</v>
      </c>
      <c r="H11" s="95">
        <v>25.199999999999818</v>
      </c>
      <c r="I11" s="97">
        <v>7525.2</v>
      </c>
      <c r="J11" s="111">
        <v>8.0</v>
      </c>
    </row>
    <row r="12">
      <c r="A12" s="93">
        <v>45078.0</v>
      </c>
      <c r="B12" s="95">
        <v>0.0</v>
      </c>
      <c r="C12" s="95">
        <v>7500.0</v>
      </c>
      <c r="D12" s="96">
        <v>0.0</v>
      </c>
      <c r="E12" s="96">
        <v>0.003452054794520523</v>
      </c>
      <c r="F12" s="96">
        <v>0.0028590998043052634</v>
      </c>
      <c r="G12" s="95">
        <v>0.0</v>
      </c>
      <c r="H12" s="95">
        <v>25.199999999999818</v>
      </c>
      <c r="I12" s="97">
        <v>7525.2</v>
      </c>
      <c r="J12" s="111">
        <v>8.0</v>
      </c>
    </row>
    <row r="13">
      <c r="A13" s="93">
        <v>45047.0</v>
      </c>
      <c r="B13" s="95">
        <v>0.0</v>
      </c>
      <c r="C13" s="95">
        <v>7500.0</v>
      </c>
      <c r="D13" s="96">
        <v>0.0</v>
      </c>
      <c r="E13" s="96">
        <v>0.00345882352941174</v>
      </c>
      <c r="F13" s="96">
        <v>0.003081305595408873</v>
      </c>
      <c r="G13" s="95">
        <v>0.0</v>
      </c>
      <c r="H13" s="95">
        <v>25.199999999999818</v>
      </c>
      <c r="I13" s="97">
        <v>7525.2</v>
      </c>
      <c r="J13" s="111">
        <v>8.0</v>
      </c>
    </row>
    <row r="14">
      <c r="A14" s="93">
        <v>45017.0</v>
      </c>
      <c r="B14" s="95">
        <v>0.0</v>
      </c>
      <c r="C14" s="95">
        <v>7500.0</v>
      </c>
      <c r="D14" s="96">
        <v>0.0</v>
      </c>
      <c r="E14" s="96">
        <v>0.0034666666666666414</v>
      </c>
      <c r="F14" s="96">
        <v>0.0033321052631578706</v>
      </c>
      <c r="G14" s="95">
        <v>0.0</v>
      </c>
      <c r="H14" s="95">
        <v>25.199999999999818</v>
      </c>
      <c r="I14" s="97">
        <v>7525.2</v>
      </c>
      <c r="J14" s="111">
        <v>8.0</v>
      </c>
    </row>
    <row r="15">
      <c r="A15" s="93">
        <v>44986.0</v>
      </c>
      <c r="B15" s="95">
        <v>0.0</v>
      </c>
      <c r="C15" s="95">
        <v>7500.0</v>
      </c>
      <c r="D15" s="96">
        <v>0.0</v>
      </c>
      <c r="E15" s="96">
        <v>0.0034758620689654923</v>
      </c>
      <c r="F15" s="96">
        <v>0.0034758620689654923</v>
      </c>
      <c r="G15" s="95">
        <v>0.0</v>
      </c>
      <c r="H15" s="95">
        <v>25.199999999999818</v>
      </c>
      <c r="I15" s="97">
        <v>7525.2</v>
      </c>
      <c r="J15" s="111">
        <v>8.0</v>
      </c>
    </row>
    <row r="16">
      <c r="A16" s="93">
        <v>44958.0</v>
      </c>
      <c r="B16" s="95">
        <v>0.0</v>
      </c>
      <c r="C16" s="95">
        <v>7500.0</v>
      </c>
      <c r="D16" s="96">
        <v>0.0</v>
      </c>
      <c r="E16" s="96">
        <v>0.003486792452830164</v>
      </c>
      <c r="F16" s="96">
        <v>0.003486792452830164</v>
      </c>
      <c r="G16" s="95">
        <v>0.0</v>
      </c>
      <c r="H16" s="95">
        <v>25.199999999999818</v>
      </c>
      <c r="I16" s="97">
        <v>7525.2</v>
      </c>
      <c r="J16" s="111">
        <v>8.0</v>
      </c>
    </row>
    <row r="17">
      <c r="A17" s="93">
        <v>44927.0</v>
      </c>
      <c r="B17" s="95">
        <v>0.0</v>
      </c>
      <c r="C17" s="95">
        <v>7500.0</v>
      </c>
      <c r="D17" s="96">
        <v>0.0</v>
      </c>
      <c r="E17" s="96">
        <v>0.003499999999999975</v>
      </c>
      <c r="F17" s="96">
        <v>0.003499999999999975</v>
      </c>
      <c r="G17" s="95">
        <v>0.0</v>
      </c>
      <c r="H17" s="95">
        <v>25.199999999999818</v>
      </c>
      <c r="I17" s="97">
        <v>7525.2</v>
      </c>
      <c r="J17" s="111">
        <v>8.0</v>
      </c>
    </row>
    <row r="18">
      <c r="A18" s="93">
        <v>44896.0</v>
      </c>
      <c r="B18" s="95">
        <v>0.0</v>
      </c>
      <c r="C18" s="95">
        <v>7500.0</v>
      </c>
      <c r="D18" s="96">
        <v>0.0</v>
      </c>
      <c r="E18" s="96">
        <v>0.0035162790697674164</v>
      </c>
      <c r="F18" s="96">
        <v>0.0035162790697674164</v>
      </c>
      <c r="G18" s="95">
        <v>0.0</v>
      </c>
      <c r="H18" s="95">
        <v>25.199999999999818</v>
      </c>
      <c r="I18" s="99">
        <v>7525.2</v>
      </c>
      <c r="J18" s="111">
        <v>8.0</v>
      </c>
    </row>
    <row r="19">
      <c r="A19" s="93">
        <v>44866.0</v>
      </c>
      <c r="B19" s="95">
        <v>0.0</v>
      </c>
      <c r="C19" s="95">
        <v>7500.0</v>
      </c>
      <c r="D19" s="96">
        <v>0.0</v>
      </c>
      <c r="E19" s="96">
        <v>0.0035368421052631325</v>
      </c>
      <c r="F19" s="96">
        <v>0.0035368421052631325</v>
      </c>
      <c r="G19" s="95">
        <v>0.0</v>
      </c>
      <c r="H19" s="95">
        <v>25.199999999999818</v>
      </c>
      <c r="I19" s="99">
        <v>7525.2</v>
      </c>
      <c r="J19" s="100">
        <v>8.0</v>
      </c>
    </row>
    <row r="20">
      <c r="A20" s="93">
        <v>44835.0</v>
      </c>
      <c r="B20" s="95">
        <v>0.0</v>
      </c>
      <c r="C20" s="95">
        <v>7500.0</v>
      </c>
      <c r="D20" s="96">
        <v>0.0</v>
      </c>
      <c r="E20" s="96">
        <v>0.003563636363636338</v>
      </c>
      <c r="F20" s="96">
        <v>0.003563636363636338</v>
      </c>
      <c r="G20" s="95">
        <v>0.0</v>
      </c>
      <c r="H20" s="95">
        <v>25.199999999999818</v>
      </c>
      <c r="I20" s="99">
        <v>7525.2</v>
      </c>
      <c r="J20" s="100">
        <v>8.0</v>
      </c>
    </row>
    <row r="21">
      <c r="A21" s="93">
        <v>44805.0</v>
      </c>
      <c r="B21" s="95">
        <v>0.0</v>
      </c>
      <c r="C21" s="95">
        <v>7500.0</v>
      </c>
      <c r="D21" s="96">
        <v>0.0</v>
      </c>
      <c r="E21" s="96">
        <v>0.003599999999999974</v>
      </c>
      <c r="F21" s="96">
        <v>0.003599999999999974</v>
      </c>
      <c r="G21" s="95">
        <v>0.0</v>
      </c>
      <c r="H21" s="95">
        <v>25.199999999999818</v>
      </c>
      <c r="I21" s="99">
        <v>7525.2</v>
      </c>
      <c r="J21" s="100">
        <v>8.0</v>
      </c>
    </row>
    <row r="22">
      <c r="A22" s="105">
        <v>44774.0</v>
      </c>
      <c r="B22" s="106">
        <v>0.0</v>
      </c>
      <c r="C22" s="106">
        <v>7500.0</v>
      </c>
      <c r="D22" s="107">
        <v>-0.017598140054812684</v>
      </c>
      <c r="E22" s="107">
        <v>0.003652173913043452</v>
      </c>
      <c r="F22" s="107">
        <v>0.003652173913043452</v>
      </c>
      <c r="G22" s="106">
        <v>7.5</v>
      </c>
      <c r="H22" s="106">
        <v>25.199999999999818</v>
      </c>
      <c r="I22" s="108">
        <v>7525.2</v>
      </c>
      <c r="J22" s="109">
        <v>8.0</v>
      </c>
    </row>
    <row r="23">
      <c r="A23" s="93">
        <v>44743.0</v>
      </c>
      <c r="B23" s="95">
        <v>1000.0</v>
      </c>
      <c r="C23" s="95">
        <v>7500.0</v>
      </c>
      <c r="D23" s="96">
        <v>-0.05315432864464901</v>
      </c>
      <c r="E23" s="96">
        <v>0.0027333333333333064</v>
      </c>
      <c r="F23" s="96">
        <v>0.0027333333333333064</v>
      </c>
      <c r="G23" s="95">
        <v>7.5</v>
      </c>
      <c r="H23" s="95">
        <v>18.449999999999818</v>
      </c>
      <c r="I23" s="99">
        <v>7518.45</v>
      </c>
      <c r="J23" s="100">
        <v>8.0</v>
      </c>
    </row>
    <row r="24">
      <c r="A24" s="93">
        <v>44713.0</v>
      </c>
      <c r="B24" s="95">
        <v>1000.0</v>
      </c>
      <c r="C24" s="95">
        <v>6500.0</v>
      </c>
      <c r="D24" s="96">
        <v>-0.1232628332688067</v>
      </c>
      <c r="E24" s="96">
        <v>0.001799999999999972</v>
      </c>
      <c r="F24" s="96">
        <v>0.001799999999999972</v>
      </c>
      <c r="G24" s="95">
        <v>6.5</v>
      </c>
      <c r="H24" s="95">
        <v>11.699999999999818</v>
      </c>
      <c r="I24" s="99">
        <v>6511.7</v>
      </c>
      <c r="J24" s="100">
        <v>8.0</v>
      </c>
    </row>
    <row r="25">
      <c r="A25" s="93">
        <v>44682.0</v>
      </c>
      <c r="B25" s="95">
        <v>0.0</v>
      </c>
      <c r="C25" s="95">
        <v>6500.0</v>
      </c>
      <c r="D25" s="96">
        <v>-0.09031398034276159</v>
      </c>
      <c r="E25" s="96">
        <v>9.000000000000559E-4</v>
      </c>
      <c r="F25" s="96">
        <v>9.000000000000559E-4</v>
      </c>
      <c r="G25" s="95">
        <v>6.5</v>
      </c>
      <c r="H25" s="95">
        <v>5.850000000000364</v>
      </c>
      <c r="I25" s="99">
        <v>6505.85</v>
      </c>
      <c r="J25" s="100">
        <v>8.0</v>
      </c>
    </row>
    <row r="26">
      <c r="A26" s="93">
        <v>44652.0</v>
      </c>
      <c r="B26" s="95">
        <v>6500.0</v>
      </c>
      <c r="C26" s="95">
        <v>6500.0</v>
      </c>
      <c r="D26" s="96">
        <v>0.0</v>
      </c>
      <c r="E26" s="96">
        <v>0.0</v>
      </c>
      <c r="F26" s="96">
        <v>0.0</v>
      </c>
      <c r="G26" s="95">
        <v>0.0</v>
      </c>
      <c r="H26" s="95">
        <v>0.0</v>
      </c>
      <c r="I26" s="99">
        <v>6500.0</v>
      </c>
      <c r="J26" s="100">
        <v>8.0</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17100</v>
      </c>
      <c r="D2" s="96">
        <f t="array" ref="D2">IF(AND(INDEX($A:$A,ROW()+1),$I2&lt;&gt;0),$G2/$I2,0)</f>
        <v>0.04372591876</v>
      </c>
      <c r="E2" s="96">
        <f>IF($C2&lt;&gt;0,H2/AVERAGEIF(C2:C6,"&lt;&gt;0"),0)</f>
        <v>1.320200359</v>
      </c>
      <c r="F2" s="96">
        <f>$E2/MAX(1,(($A2-MINIFS(TransactionsView!$A:$A,TransactionsView!$B:$B,$J2))/365.25))</f>
        <v>1.320200359</v>
      </c>
      <c r="G2" s="95">
        <f t="array" ref="G2">INDEX($H:$H,ROW())-IF(INDEX($H:$H,ROW()+1),INDEX($H:$H,ROW()+1),0)</f>
        <v>1488.927552</v>
      </c>
      <c r="H2" s="95">
        <f>I2-C2</f>
        <v>16951.3726</v>
      </c>
      <c r="I2" s="99">
        <f t="array" ref="I2">IF(MAXIFS(Portfolio!$H:$H,Portfolio!$A:$A,$J2),MAXIFS(Portfolio!$H:$H,Portfolio!$A:$A,$J2),INDEX(I:I,ROW()+1))</f>
        <v>34051.3726</v>
      </c>
      <c r="J2" s="100">
        <v>9.0</v>
      </c>
    </row>
    <row r="3">
      <c r="A3" s="93">
        <v>45352.0</v>
      </c>
      <c r="B3" s="95">
        <v>7100.0</v>
      </c>
      <c r="C3" s="95">
        <v>17100.0</v>
      </c>
      <c r="D3" s="96">
        <v>0.20685748757400282</v>
      </c>
      <c r="E3" s="96">
        <v>1.3131588153827072</v>
      </c>
      <c r="F3" s="96">
        <v>1.3131588153827072</v>
      </c>
      <c r="G3" s="95">
        <v>6735.785572543558</v>
      </c>
      <c r="H3" s="95">
        <v>15462.445051131377</v>
      </c>
      <c r="I3" s="97">
        <v>32562.445051131377</v>
      </c>
      <c r="J3" s="100">
        <v>9.0</v>
      </c>
    </row>
    <row r="4">
      <c r="A4" s="93">
        <v>45323.0</v>
      </c>
      <c r="B4" s="95">
        <v>0.0</v>
      </c>
      <c r="C4" s="95">
        <v>10000.0</v>
      </c>
      <c r="D4" s="96">
        <v>-0.02222722476329468</v>
      </c>
      <c r="E4" s="96">
        <v>0.8726659478587818</v>
      </c>
      <c r="F4" s="96">
        <v>0.8726659478587818</v>
      </c>
      <c r="G4" s="95">
        <v>-416.24166929625426</v>
      </c>
      <c r="H4" s="95">
        <v>8726.659478587819</v>
      </c>
      <c r="I4" s="97">
        <v>18726.65947858782</v>
      </c>
      <c r="J4" s="100">
        <v>9.0</v>
      </c>
    </row>
    <row r="5">
      <c r="A5" s="93">
        <v>45292.0</v>
      </c>
      <c r="B5" s="95">
        <v>0.0</v>
      </c>
      <c r="C5" s="95">
        <v>10000.0</v>
      </c>
      <c r="D5" s="96">
        <v>0.24612674457058503</v>
      </c>
      <c r="E5" s="96">
        <v>0.9142901147884073</v>
      </c>
      <c r="F5" s="96">
        <v>0.9142901147884073</v>
      </c>
      <c r="G5" s="95">
        <v>4711.579941165222</v>
      </c>
      <c r="H5" s="95">
        <v>9142.901147884073</v>
      </c>
      <c r="I5" s="103">
        <v>19142.901147884073</v>
      </c>
      <c r="J5" s="100">
        <v>9.0</v>
      </c>
    </row>
    <row r="6">
      <c r="A6" s="93">
        <v>45261.0</v>
      </c>
      <c r="B6" s="95">
        <v>10000.0</v>
      </c>
      <c r="C6" s="95">
        <v>10000.0</v>
      </c>
      <c r="D6" s="96">
        <v>0.30706275213774203</v>
      </c>
      <c r="E6" s="96">
        <v>0.44313212067188507</v>
      </c>
      <c r="F6" s="96">
        <v>0.44313212067188507</v>
      </c>
      <c r="G6" s="95">
        <v>4431.321206718851</v>
      </c>
      <c r="H6" s="95">
        <v>4431.321206718851</v>
      </c>
      <c r="I6" s="99">
        <v>14431.32120671885</v>
      </c>
      <c r="J6" s="100">
        <v>9.0</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7693.7</v>
      </c>
      <c r="D2" s="96">
        <f t="array" ref="D2">IF(AND(INDEX($A:$A,ROW()+1),$I2&lt;&gt;0),$G2/$I2,0)</f>
        <v>0.01262043413</v>
      </c>
      <c r="E2" s="96">
        <f>IF($C2&lt;&gt;0,H2/AVERAGEIF(C2:C5,"&lt;&gt;0"),0)</f>
        <v>0.251702994</v>
      </c>
      <c r="F2" s="96">
        <f>$E2/MAX(1,(($A2-MINIFS(TransactionsView!$A:$A,TransactionsView!$B:$B,$J2))/365.25))</f>
        <v>0.251702994</v>
      </c>
      <c r="G2" s="95">
        <f t="array" ref="G2">INDEX($H:$H,ROW())-IF(INDEX($H:$H,ROW()+1),INDEX($H:$H,ROW()+1),0)</f>
        <v>125.2007471</v>
      </c>
      <c r="H2" s="95">
        <f>I2-C2</f>
        <v>2226.778632</v>
      </c>
      <c r="I2" s="99">
        <f t="array" ref="I2">IF(MAXIFS(Portfolio!$H:$H,Portfolio!$A:$A,$J2),MAXIFS(Portfolio!$H:$H,Portfolio!$A:$A,$J2),INDEX(I:I,ROW()+1))</f>
        <v>9920.478632</v>
      </c>
      <c r="J2" s="100">
        <v>10.0</v>
      </c>
    </row>
    <row r="3">
      <c r="A3" s="93">
        <v>45352.0</v>
      </c>
      <c r="B3" s="95">
        <v>-2306.3</v>
      </c>
      <c r="C3" s="95">
        <v>7693.7</v>
      </c>
      <c r="D3" s="96">
        <v>0.15854547651998438</v>
      </c>
      <c r="E3" s="96">
        <v>0.22765949136930555</v>
      </c>
      <c r="F3" s="96">
        <v>0.22765949136930555</v>
      </c>
      <c r="G3" s="95">
        <v>1552.9969999829273</v>
      </c>
      <c r="H3" s="95">
        <v>2101.5778853780457</v>
      </c>
      <c r="I3" s="99">
        <v>9795.277885378046</v>
      </c>
      <c r="J3" s="100">
        <v>10.0</v>
      </c>
    </row>
    <row r="4">
      <c r="A4" s="93">
        <v>45323.0</v>
      </c>
      <c r="B4" s="95">
        <v>0.0</v>
      </c>
      <c r="C4" s="95">
        <v>10000.0</v>
      </c>
      <c r="D4" s="96">
        <v>0.04705024370840584</v>
      </c>
      <c r="E4" s="96">
        <v>0.054858088539511844</v>
      </c>
      <c r="F4" s="96">
        <v>0.054858088539511844</v>
      </c>
      <c r="G4" s="95">
        <v>496.31330143567175</v>
      </c>
      <c r="H4" s="95">
        <v>548.5808853951185</v>
      </c>
      <c r="I4" s="99">
        <v>10548.580885395118</v>
      </c>
      <c r="J4" s="100">
        <v>10.0</v>
      </c>
    </row>
    <row r="5">
      <c r="A5" s="93">
        <v>45292.0</v>
      </c>
      <c r="B5" s="95">
        <v>10000.0</v>
      </c>
      <c r="C5" s="95">
        <v>10000.0</v>
      </c>
      <c r="D5" s="96">
        <v>0.005199581439997765</v>
      </c>
      <c r="E5" s="96">
        <v>0.005226758395944671</v>
      </c>
      <c r="F5" s="96">
        <v>0.005226758395944671</v>
      </c>
      <c r="G5" s="95">
        <v>52.26758395944671</v>
      </c>
      <c r="H5" s="95">
        <v>52.26758395944671</v>
      </c>
      <c r="I5" s="99">
        <v>10052.267583959447</v>
      </c>
      <c r="J5" s="100">
        <v>10.0</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824.32</v>
      </c>
      <c r="D2" s="96">
        <f t="array" ref="D2">IF(AND(INDEX($A:$A,ROW()+1),$I2&lt;&gt;0),$G2/$I2,0)</f>
        <v>0.04372591876</v>
      </c>
      <c r="E2" s="96">
        <f>IF($C2&lt;&gt;0,H2/AVERAGEIF(C2:C4,"&lt;&gt;0"),0)</f>
        <v>0.3334852716</v>
      </c>
      <c r="F2" s="96">
        <f>$E2/MAX(1,(($A2-MINIFS(TransactionsView!$A:$A,TransactionsView!$B:$B,$J2))/365.25))</f>
        <v>0.3334852716</v>
      </c>
      <c r="G2" s="95">
        <f t="array" ref="G2">INDEX($H:$H,ROW())-IF(INDEX($H:$H,ROW()+1),INDEX($H:$H,ROW()+1),0)</f>
        <v>46.89535598</v>
      </c>
      <c r="H2" s="95">
        <f>I2-C2</f>
        <v>248.1641765</v>
      </c>
      <c r="I2" s="99">
        <f t="array" ref="I2">IF(MAXIFS(Portfolio!$H:$H,Portfolio!$A:$A,$J2),MAXIFS(Portfolio!$H:$H,Portfolio!$A:$A,$J2),INDEX(I:I,ROW()+1))</f>
        <v>1072.484176</v>
      </c>
      <c r="J2" s="100">
        <v>11.0</v>
      </c>
    </row>
    <row r="3">
      <c r="A3" s="93">
        <v>45352.0</v>
      </c>
      <c r="B3" s="95">
        <v>240.5</v>
      </c>
      <c r="C3" s="95">
        <v>824.3199999999999</v>
      </c>
      <c r="D3" s="96">
        <v>0.25417975081992455</v>
      </c>
      <c r="E3" s="96">
        <v>0.28586478689345507</v>
      </c>
      <c r="F3" s="96">
        <v>0.28586478689345507</v>
      </c>
      <c r="G3" s="95">
        <v>260.68391084044276</v>
      </c>
      <c r="H3" s="95">
        <v>201.2688205080749</v>
      </c>
      <c r="I3" s="97">
        <v>1025.5888205080748</v>
      </c>
      <c r="J3" s="100">
        <v>11.0</v>
      </c>
    </row>
    <row r="4">
      <c r="A4" s="93">
        <v>45323.0</v>
      </c>
      <c r="B4" s="95">
        <v>583.8199999999999</v>
      </c>
      <c r="C4" s="95">
        <v>583.8199999999999</v>
      </c>
      <c r="D4" s="96">
        <v>-0.11330002682473961</v>
      </c>
      <c r="E4" s="96">
        <v>-0.1017695356999895</v>
      </c>
      <c r="F4" s="96">
        <v>-0.1017695356999895</v>
      </c>
      <c r="G4" s="95">
        <v>-59.41509033236787</v>
      </c>
      <c r="H4" s="95">
        <v>-59.41509033236787</v>
      </c>
      <c r="I4" s="99">
        <v>524.4049096676321</v>
      </c>
      <c r="J4" s="100">
        <v>11.0</v>
      </c>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2.63"/>
    <col customWidth="1" min="10" max="10" width="13.63"/>
  </cols>
  <sheetData>
    <row r="1">
      <c r="A1" s="83" t="s">
        <v>1</v>
      </c>
      <c r="B1" s="83" t="s">
        <v>71</v>
      </c>
      <c r="C1" s="83" t="s">
        <v>552</v>
      </c>
      <c r="D1" s="83" t="s">
        <v>560</v>
      </c>
      <c r="E1" s="83" t="s">
        <v>568</v>
      </c>
      <c r="F1" s="83" t="s">
        <v>572</v>
      </c>
      <c r="G1" s="83" t="s">
        <v>576</v>
      </c>
      <c r="H1" s="83" t="s">
        <v>580</v>
      </c>
      <c r="I1" s="83" t="s">
        <v>17</v>
      </c>
      <c r="J1" s="83" t="s">
        <v>771</v>
      </c>
    </row>
    <row r="2">
      <c r="A2" s="93">
        <f t="array" ref="A2">IF(ROW()=2,DateTime!$B$1,EOMONTH(INDEX($A:$A,ROW()-1)-1,-1)+1)</f>
        <v>45354.78046</v>
      </c>
      <c r="B2" s="95">
        <f>SUMIFS(TransactionsView!$D:$D,TransactionsView!$A:$A,"&gt;"&amp;EOMONTH($A2,IF(ROW()=2,-1,-2)),TransactionsView!$A:$A,"&lt;"&amp;$A2,TransactionsView!$B:$B,$J2)</f>
        <v>0</v>
      </c>
      <c r="C2" s="95">
        <f t="array" ref="C2">INDEX($C:$C,ROW()+1)+$B2</f>
        <v>0</v>
      </c>
      <c r="D2" s="96">
        <f t="array" ref="D2">IF(AND(INDEX($A:$A,ROW()+1),$I2&lt;&gt;0),$G2/$I2,0)</f>
        <v>0</v>
      </c>
      <c r="E2" s="96">
        <f>IF($C2&lt;&gt;0,H2/AVERAGEIF(C2,"&lt;&gt;0"),0)</f>
        <v>0</v>
      </c>
      <c r="F2" s="96">
        <f>$E2/MAX(1,(($A2-MINIFS(TransactionsView!$A:$A,TransactionsView!$B:$B,$J2))/365.25))</f>
        <v>0</v>
      </c>
      <c r="G2" s="95">
        <f t="array" ref="G2">INDEX($H:$H,ROW())-IF(INDEX($H:$H,ROW()+1),INDEX($H:$H,ROW()+1),0)</f>
        <v>0</v>
      </c>
      <c r="H2" s="95">
        <f>I2-C2</f>
        <v>0</v>
      </c>
      <c r="I2" s="99" t="str">
        <f t="array" ref="I2">IF(MAXIFS(Portfolio!$H:$H,Portfolio!$A:$A,$J2),MAXIFS(Portfolio!$H:$H,Portfolio!$A:$A,$J2),INDEX(I:I,ROW()+1))</f>
        <v/>
      </c>
      <c r="J2" s="100">
        <v>0.0</v>
      </c>
    </row>
  </sheetData>
  <drawing r:id="rId2"/>
  <legacyDrawing r:id="rId3"/>
</worksheet>
</file>