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Wallet" sheetId="2" r:id="rId5"/>
    <sheet state="visible" name="Evolution" sheetId="3" r:id="rId6"/>
    <sheet state="visible" name="Interest" sheetId="4" r:id="rId7"/>
    <sheet state="visible" name="Transfer" sheetId="5" r:id="rId8"/>
    <sheet state="visible" name="Token" sheetId="6" r:id="rId9"/>
    <sheet state="visible" name="Price" sheetId="7" r:id="rId10"/>
    <sheet state="visible" name="Historic" sheetId="8" r:id="rId11"/>
    <sheet state="visible" name="PriceCache" sheetId="9" r:id="rId12"/>
    <sheet state="visible" name="FiMsData" sheetId="10" r:id="rId13"/>
    <sheet state="hidden" name="_Larix" sheetId="11" r:id="rId14"/>
    <sheet state="hidden" name="_Tulip" sheetId="12" r:id="rId15"/>
    <sheet state="hidden" name="_Apricot" sheetId="13" r:id="rId16"/>
    <sheet state="hidden" name="_Solend" sheetId="14" r:id="rId17"/>
    <sheet state="hidden" name="Apricot calc" sheetId="15" r:id="rId18"/>
    <sheet state="hidden" name="Friktion calc" sheetId="16" r:id="rId19"/>
    <sheet state="hidden" name="Apricot activity" sheetId="17" r:id="rId20"/>
    <sheet state="hidden" name="Solflare activity" sheetId="18" r:id="rId2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From bank account to crypto</t>
      </text>
    </comment>
    <comment authorId="0" ref="A6">
      <text>
        <t xml:space="preserve">Trying some strategies...</t>
      </text>
    </comment>
    <comment authorId="0" ref="A7">
      <text>
        <t xml:space="preserve">Price change from buy to sell</t>
      </text>
    </comment>
    <comment authorId="0" ref="B14">
      <text>
        <t xml:space="preserve">FSOL / SOL ratio</t>
      </text>
    </comment>
    <comment authorId="0" ref="D14">
      <text>
        <t xml:space="preserve">Bough price vs Current price</t>
      </text>
    </comment>
    <comment authorId="0" ref="B15">
      <text>
        <t xml:space="preserve">FiMS Token / Euro ratio</t>
      </text>
    </comment>
    <comment authorId="0" ref="D15">
      <text>
        <t xml:space="preserve">Daily Progress</t>
      </text>
    </comment>
    <comment authorId="0" ref="A16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Launched 14/02/2022 at 5.55 €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Supplied fiat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=INDEX(Price!$A:$Z,MATCH($A5,Price!$A:$A,-1),MATCH("*(SOL)*",Price!$A$1:$Z$1,0))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FiMs SOL Debt</t>
      </text>
    </comment>
    <comment authorId="0" ref="K2">
      <text>
        <t xml:space="preserve">FiMs SOL Debt</t>
      </text>
    </comment>
    <comment authorId="0" ref="E3">
      <text>
        <t xml:space="preserve">FiMs Token Debt</t>
      </text>
    </comment>
    <comment authorId="0" ref="K3">
      <text>
        <t xml:space="preserve">FiMs Token Debt</t>
      </text>
    </comment>
    <comment authorId="0" ref="E4">
      <text>
        <t xml:space="preserve">FiMs Liquidity Provider Debt</t>
      </text>
    </comment>
    <comment authorId="0" ref="K4">
      <text>
        <t xml:space="preserve">FiMs Liquidity Provider Debt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= Balance / Transfered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DO NOT EDIT (used for formula 
synchro)</t>
      </text>
    </comment>
    <comment authorId="0" ref="D4">
      <text>
        <t xml:space="preserve">Special Formula for FiMs Token</t>
      </text>
    </comment>
    <comment authorId="0" ref="D6">
      <text>
        <t xml:space="preserve">Special Formula for Nexo Token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Number of FiMs Sol minted</t>
      </text>
    </comment>
    <comment authorId="0" ref="B2">
      <text>
        <t xml:space="preserve">Number of FiMs Token minted</t>
      </text>
    </comment>
    <comment authorId="0" ref="B3">
      <text>
        <t xml:space="preserve">Number of FiMs Liquid minted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<sst xmlns="http://schemas.openxmlformats.org/spreadsheetml/2006/main" count="868" uniqueCount="687">
  <si>
    <t>Currency</t>
  </si>
  <si>
    <t>SOL</t>
  </si>
  <si>
    <t>EUR</t>
  </si>
  <si>
    <t>%</t>
  </si>
  <si>
    <t>Assets</t>
  </si>
  <si>
    <t>Gains</t>
  </si>
  <si>
    <t>Transfered</t>
  </si>
  <si>
    <t>Transfer cost</t>
  </si>
  <si>
    <t>Strategy cost</t>
  </si>
  <si>
    <t>Price change</t>
  </si>
  <si>
    <t>Charity</t>
  </si>
  <si>
    <t>TOTAL</t>
  </si>
  <si>
    <t>Bought Price</t>
  </si>
  <si>
    <t>Profit</t>
  </si>
  <si>
    <t>Underlying</t>
  </si>
  <si>
    <t>TokenName</t>
  </si>
  <si>
    <t>Address</t>
  </si>
  <si>
    <t>Amount</t>
  </si>
  <si>
    <t>Price</t>
  </si>
  <si>
    <t>Value</t>
  </si>
  <si>
    <t>Total</t>
  </si>
  <si>
    <t>Cache</t>
  </si>
  <si>
    <t>58kZBjjtHShTtXFmygr3ZT8VSU4dH28PanRAdouHbToh</t>
  </si>
  <si>
    <t>FiMsyZhiBnpEvucssiCDXgiiK3kwUSmRxmr8keV3nJJF</t>
  </si>
  <si>
    <t>_Data</t>
  </si>
  <si>
    <t>FSOL</t>
  </si>
  <si>
    <t>HUBSOL</t>
  </si>
  <si>
    <t>FIMS</t>
  </si>
  <si>
    <t>USDC</t>
  </si>
  <si>
    <t>FLIP</t>
  </si>
  <si>
    <t>JLP</t>
  </si>
  <si>
    <t>JUP</t>
  </si>
  <si>
    <t>USDS</t>
  </si>
  <si>
    <t>BTC</t>
  </si>
  <si>
    <t>NEXO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</si>
  <si>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</si>
  <si>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</si>
  <si>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</si>
  <si>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</si>
  <si>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</si>
  <si>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</si>
  <si>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</si>
  <si>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</si>
  <si>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Coin</t>
  </si>
  <si>
    <t>I vs S daily</t>
  </si>
  <si>
    <t>I vs S total</t>
  </si>
  <si>
    <t>SOL total</t>
  </si>
  <si>
    <t>SOL Transferred</t>
  </si>
  <si>
    <t>Transferred</t>
  </si>
  <si>
    <t>Current</t>
  </si>
  <si>
    <t>14/12/2023</t>
  </si>
  <si>
    <t>13/12/2023</t>
  </si>
  <si>
    <t>APR</t>
  </si>
  <si>
    <t>Account</t>
  </si>
  <si>
    <t>Daily</t>
  </si>
  <si>
    <t>Weekly</t>
  </si>
  <si>
    <t>Monthly</t>
  </si>
  <si>
    <t>Yearly</t>
  </si>
  <si>
    <t>FiMs Token (FiMs)</t>
  </si>
  <si>
    <t>FiMs Liquidity Provider (FLiP)</t>
  </si>
  <si>
    <t>Jupiter (JUP)</t>
  </si>
  <si>
    <t>Sent</t>
  </si>
  <si>
    <t>SOL Price</t>
  </si>
  <si>
    <t>Received</t>
  </si>
  <si>
    <t>Is Transfer</t>
  </si>
  <si>
    <t>Transfer Cost</t>
  </si>
  <si>
    <t>Transfer Rate</t>
  </si>
  <si>
    <t>Token</t>
  </si>
  <si>
    <t>Name</t>
  </si>
  <si>
    <t>MintAddress</t>
  </si>
  <si>
    <t>Available</t>
  </si>
  <si>
    <t>Yearly Yield</t>
  </si>
  <si>
    <t>Inception Yield</t>
  </si>
  <si>
    <t>Inception Price</t>
  </si>
  <si>
    <t>Duration</t>
  </si>
  <si>
    <t>Function</t>
  </si>
  <si>
    <t>Formula</t>
  </si>
  <si>
    <t>FiMs SOL</t>
  </si>
  <si>
    <t>6hoGUYo5VengrsRtyyvs2y7KPf4mwWdv7V8C7GJg6Uy</t>
  </si>
  <si>
    <t>FiMs</t>
  </si>
  <si>
    <t>FiMs Token</t>
  </si>
  <si>
    <t>D84wZMJRoievKkRaquXXrYSMuU5mA46RznCSrJ9HSK1u</t>
  </si>
  <si>
    <t>FLiP</t>
  </si>
  <si>
    <t>FiMs Liquidity Provider</t>
  </si>
  <si>
    <t>FLiPpMfKenthVe7XHAE41msm5t63R5EwpUi5Swo5qjpN</t>
  </si>
  <si>
    <t>Nexo</t>
  </si>
  <si>
    <t>0xb62132e35a6c13ee1ee0f84dc5d40bad8d815206</t>
  </si>
  <si>
    <t>Bitcoin</t>
  </si>
  <si>
    <t>cbbtcf3aa214zXHbiAZQwf4122FBYbraNdFqgw4iMij</t>
  </si>
  <si>
    <t>Solana</t>
  </si>
  <si>
    <t>So11111111111111111111111111111111111111112</t>
  </si>
  <si>
    <t>Jupiter</t>
  </si>
  <si>
    <t>JUPyiwrYJFskUPiHa7hkeR8VUtAeFoSYbKedZNsDvCN</t>
  </si>
  <si>
    <t>JUPSOL</t>
  </si>
  <si>
    <t>Jupiter Staked SOL</t>
  </si>
  <si>
    <t>jupSoLaHXQiZZTSfEWMTRRgpnyFm8f6sZdosWBjx93v</t>
  </si>
  <si>
    <t>Jupiter Perps LP</t>
  </si>
  <si>
    <t>27G8MtK7VtTcCHkpASjSDdkWWYfoqT6ggEuKidVJidD4</t>
  </si>
  <si>
    <t>SolanaHub Staked SOL</t>
  </si>
  <si>
    <t>HUBsveNpjo5pWqNkH57QzxjQASdTVXcSK7bVKTSZtcSX</t>
  </si>
  <si>
    <t>PYUSD</t>
  </si>
  <si>
    <t>Paypal USD</t>
  </si>
  <si>
    <t>2b1kV6DkPAnxd5ixfnxCpjxmKwqjjaYmCZfHsFu24GXo</t>
  </si>
  <si>
    <t>USDSwr9ApdHk5bvJKMjzff41FfuX8bSxdKcR81vTwcA</t>
  </si>
  <si>
    <t>USDT</t>
  </si>
  <si>
    <t>USD Tether</t>
  </si>
  <si>
    <t>Es9vMFrzaCERmJfrF4H2FYD4KCoNkY11McCe8BenwNYB</t>
  </si>
  <si>
    <t>USD Circle</t>
  </si>
  <si>
    <t>EPjFWdd5AufqSSqeM2qN1xzybapC8G4wEGGkZwyTDt1v</t>
  </si>
  <si>
    <t>EURC</t>
  </si>
  <si>
    <t>Euro Circle</t>
  </si>
  <si>
    <t>HzwqbKZw8HxMN6bF2yFZNrht3c2iXXzpKcFu7uBEDKtr</t>
  </si>
  <si>
    <t>EUR to USD</t>
  </si>
  <si>
    <t>Nexo (NEXO)</t>
  </si>
  <si>
    <t>Bitcoin (BTC)</t>
  </si>
  <si>
    <t>Solana (SOL)</t>
  </si>
  <si>
    <t>Jupiter Staked SOL (JUPSOL)</t>
  </si>
  <si>
    <t>Jupiter Perps LP (JLP)</t>
  </si>
  <si>
    <t>SolanaHub Staked SOL (HUBSOL)</t>
  </si>
  <si>
    <t>Paypal USD (PYUSD)</t>
  </si>
  <si>
    <t>USDS (USDS)</t>
  </si>
  <si>
    <t>USD Tether (USDT)</t>
  </si>
  <si>
    <t>USD Circle (USDC)</t>
  </si>
  <si>
    <t>Euro Circle (EURC)</t>
  </si>
  <si>
    <t>Profit rate</t>
  </si>
  <si>
    <t xml:space="preserve">Last updated </t>
  </si>
  <si>
    <t>FiMs SOL (FSOL)</t>
  </si>
  <si>
    <t>FiMs Charity</t>
  </si>
  <si>
    <t>FiMs Transfer</t>
  </si>
  <si>
    <t>Kamino Debt</t>
  </si>
  <si>
    <t>FSOL reserve</t>
  </si>
  <si>
    <t>FiMs reserve</t>
  </si>
  <si>
    <t>FLiP reserve</t>
  </si>
  <si>
    <t>SOL reserve</t>
  </si>
  <si>
    <t>USD reserve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</si>
  <si>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</si>
  <si>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</si>
  <si>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</si>
  <si>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</si>
  <si>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</si>
  <si>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</si>
  <si>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</si>
  <si>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</si>
  <si>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</si>
  <si>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</si>
  <si>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</si>
  <si>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</si>
  <si>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</si>
  <si>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</si>
  <si>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</si>
  <si>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</si>
  <si>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</si>
  <si>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</si>
  <si>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</si>
  <si>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</si>
  <si>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</si>
  <si>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</si>
  <si>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</si>
  <si>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</si>
  <si>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</si>
  <si>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</si>
  <si>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</si>
  <si>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</si>
  <si>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</si>
  <si>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</si>
  <si>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</si>
  <si>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</si>
  <si>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</si>
  <si>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</si>
  <si>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</si>
  <si>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</si>
  <si>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</si>
  <si>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</si>
  <si>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</si>
  <si>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</si>
  <si>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</si>
  <si>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</si>
  <si>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</si>
  <si>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</si>
  <si>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</si>
  <si>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</si>
  <si>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</si>
  <si>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</si>
  <si>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</si>
  <si>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</si>
  <si>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</si>
  <si>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</si>
  <si>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</si>
  <si>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</si>
  <si>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</si>
  <si>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</si>
  <si>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</si>
  <si>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</si>
  <si>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</si>
  <si>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</si>
  <si>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</si>
  <si>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</si>
  <si>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</si>
  <si>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</si>
  <si>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</si>
  <si>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</si>
  <si>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</si>
  <si>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</si>
  <si>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</si>
  <si>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</si>
  <si>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</si>
  <si>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</si>
  <si>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</si>
  <si>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</si>
  <si>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</si>
  <si>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</si>
  <si>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</si>
  <si>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</si>
  <si>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</si>
  <si>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</si>
  <si>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</si>
  <si>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</si>
  <si>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</si>
  <si>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</si>
  <si>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</si>
  <si>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</si>
  <si>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</si>
  <si>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</si>
  <si>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</si>
  <si>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</si>
  <si>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</si>
  <si>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</si>
  <si>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</si>
  <si>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</si>
  <si>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</si>
  <si>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</si>
  <si>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</si>
  <si>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</si>
  <si>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</si>
  <si>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</si>
  <si>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</si>
  <si>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</si>
  <si>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</si>
  <si>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</si>
  <si>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</si>
  <si>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</si>
  <si>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</si>
  <si>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</si>
  <si>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</si>
  <si>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</si>
  <si>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</si>
  <si>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</si>
  <si>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</si>
  <si>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</si>
  <si>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</si>
  <si>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</si>
  <si>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</si>
  <si>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</si>
  <si>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</si>
  <si>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</si>
  <si>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</si>
  <si>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</si>
  <si>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</si>
  <si>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</si>
  <si>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</si>
  <si>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</si>
  <si>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</si>
  <si>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</si>
  <si>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</si>
  <si>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</si>
  <si>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</si>
  <si>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</si>
  <si>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</si>
  <si>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</si>
  <si>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</si>
  <si>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</si>
  <si>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</si>
  <si>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</si>
  <si>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</si>
  <si>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</si>
  <si>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</si>
  <si>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</si>
  <si>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</si>
  <si>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</si>
  <si>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</si>
  <si>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</si>
  <si>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</si>
  <si>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</si>
  <si>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</si>
  <si>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</si>
  <si>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</si>
  <si>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</si>
  <si>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</si>
  <si>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</si>
  <si>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</si>
  <si>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</si>
  <si>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</si>
  <si>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</si>
  <si>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</si>
  <si>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</si>
  <si>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</si>
  <si>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</si>
  <si>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</si>
  <si>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</si>
  <si>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</si>
  <si>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</si>
  <si>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</si>
  <si>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</si>
  <si>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</si>
  <si>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</si>
  <si>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</si>
  <si>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</si>
  <si>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</si>
  <si>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</si>
  <si>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</si>
  <si>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</si>
  <si>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</si>
  <si>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</si>
  <si>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</si>
  <si>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</si>
  <si>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</si>
  <si>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</si>
  <si>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</si>
  <si>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</si>
  <si>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</si>
  <si>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</si>
  <si>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</si>
  <si>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</si>
  <si>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</si>
  <si>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</si>
  <si>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</si>
  <si>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</si>
  <si>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</si>
  <si>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</si>
  <si>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</si>
  <si>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</si>
  <si>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</si>
  <si>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</si>
  <si>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</si>
  <si>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</si>
  <si>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</si>
  <si>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</si>
  <si>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</si>
  <si>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</si>
  <si>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</si>
  <si>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</si>
  <si>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</si>
  <si>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</si>
  <si>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</si>
  <si>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</si>
  <si>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</si>
  <si>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</si>
  <si>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</si>
  <si>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</si>
  <si>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</si>
  <si>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</si>
  <si>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</si>
  <si>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</si>
  <si>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</si>
  <si>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</si>
  <si>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</si>
  <si>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</si>
  <si>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</si>
  <si>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</si>
  <si>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</si>
  <si>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</si>
  <si>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</si>
  <si>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</si>
  <si>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</si>
  <si>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</si>
  <si>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</si>
  <si>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</si>
  <si>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</si>
  <si>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</si>
  <si>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</si>
  <si>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</si>
  <si>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</si>
  <si>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</si>
  <si>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</si>
  <si>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</si>
  <si>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</si>
  <si>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</si>
  <si>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</si>
  <si>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</si>
  <si>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</si>
  <si>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</si>
  <si>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</si>
  <si>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</si>
  <si>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</si>
  <si>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</si>
  <si>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</si>
  <si>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</si>
  <si>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</si>
  <si>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</si>
  <si>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</si>
  <si>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</si>
  <si>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</si>
  <si>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</si>
  <si>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</si>
  <si>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</si>
  <si>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</si>
  <si>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</si>
  <si>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</si>
  <si>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</si>
  <si>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</si>
  <si>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</si>
  <si>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</si>
  <si>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</si>
  <si>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</si>
  <si>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</si>
  <si>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</si>
  <si>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</si>
  <si>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</si>
  <si>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</si>
  <si>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</si>
  <si>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</si>
  <si>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</si>
  <si>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</si>
  <si>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</si>
  <si>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</si>
  <si>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</si>
  <si>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</si>
  <si>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</si>
  <si>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</si>
  <si>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</si>
  <si>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</si>
  <si>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</si>
  <si>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</si>
  <si>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</si>
  <si>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</si>
  <si>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</si>
  <si>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</si>
  <si>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</si>
  <si>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</si>
  <si>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</si>
  <si>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</si>
  <si>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</si>
  <si>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</si>
  <si>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</si>
  <si>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</si>
  <si>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</si>
  <si>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</si>
  <si>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</si>
  <si>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</si>
  <si>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</si>
  <si>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</si>
  <si>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</si>
  <si>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</si>
  <si>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</si>
  <si>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</si>
  <si>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</si>
  <si>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</si>
  <si>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</si>
  <si>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</si>
  <si>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</si>
  <si>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</si>
  <si>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</si>
  <si>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</si>
  <si>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</si>
  <si>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</si>
  <si>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</si>
  <si>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</si>
  <si>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</si>
  <si>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</si>
  <si>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</si>
  <si>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</si>
  <si>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</si>
  <si>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</si>
  <si>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</si>
  <si>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</si>
  <si>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</si>
  <si>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</si>
  <si>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</si>
  <si>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</si>
  <si>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</si>
  <si>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</si>
  <si>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</si>
  <si>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</si>
  <si>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</si>
  <si>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</si>
  <si>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</si>
  <si>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</si>
  <si>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</si>
  <si>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</si>
  <si>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</si>
  <si>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</si>
  <si>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</si>
  <si>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</si>
  <si>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</si>
  <si>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</si>
  <si>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</si>
  <si>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</si>
  <si>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</si>
  <si>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</si>
  <si>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</si>
  <si>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</si>
  <si>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</si>
  <si>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</si>
  <si>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</si>
  <si>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</si>
  <si>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</si>
  <si>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</si>
  <si>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</si>
  <si>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</si>
  <si>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</si>
  <si>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</si>
  <si>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</si>
  <si>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</si>
  <si>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</si>
  <si>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</si>
  <si>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</si>
  <si>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</si>
  <si>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</si>
  <si>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</si>
  <si>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</si>
  <si>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</si>
  <si>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</si>
  <si>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</si>
  <si>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UST</t>
  </si>
  <si>
    <t>UXD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</si>
  <si>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</si>
  <si>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</si>
  <si>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</si>
  <si>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</si>
  <si>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</si>
  <si>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</si>
  <si>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</si>
  <si>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</si>
  <si>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</si>
  <si>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APT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</si>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</sst>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M/d/yyyy"/>
    <numFmt numFmtId="165" formatCode="#,##0.00\ [$€-1]"/>
    <numFmt numFmtId="166" formatCode="#,##0.0000"/>
    <numFmt numFmtId="167" formatCode="#,##0.000\ [$€-1]"/>
    <numFmt numFmtId="168" formatCode="#,##0.000"/>
    <numFmt numFmtId="169" formatCode="[$ €]#,##0.00"/>
    <numFmt numFmtId="170" formatCode="dd/MM/yyyy"/>
    <numFmt numFmtId="171" formatCode="#,##0.00##\ [$€-1]"/>
    <numFmt numFmtId="172" formatCode="#,##0.00[$ €]"/>
    <numFmt numFmtId="173" formatCode="#,##0\ [$€-1]"/>
    <numFmt numFmtId="174" formatCode="&quot;$&quot;#,##0.00"/>
    <numFmt numFmtId="175" formatCode="&quot;$&quot;#,##0.000"/>
    <numFmt numFmtId="176" formatCode="#,##0.00 €"/>
    <numFmt numFmtId="177" formatCode="0.000"/>
    <numFmt numFmtId="178" formatCode="M/d/yyyy H:mm:ss"/>
    <numFmt numFmtId="179" formatCode="[$ €]#,##0.000"/>
    <numFmt numFmtId="180" formatCode="[$ €]#,##0"/>
    <numFmt numFmtId="181" formatCode="#,##0.00000"/>
    <numFmt numFmtId="182" formatCode="&quot;$&quot;#,##0.000000"/>
    <numFmt numFmtId="183" formatCode="&quot;$&quot;#,##0"/>
    <numFmt numFmtId="184" formatCode="m/d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Courier New"/>
    </font>
    <font>
      <b/>
      <i/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9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2" xfId="0" applyAlignment="1" applyBorder="1" applyFont="1" applyNumberFormat="1">
      <alignment horizontal="right" vertical="bottom"/>
    </xf>
    <xf borderId="0" fillId="0" fontId="3" numFmtId="165" xfId="0" applyFont="1" applyNumberFormat="1"/>
    <xf borderId="0" fillId="0" fontId="3" numFmtId="10" xfId="0" applyFont="1" applyNumberFormat="1"/>
    <xf borderId="3" fillId="0" fontId="1" numFmtId="0" xfId="0" applyAlignment="1" applyBorder="1" applyFont="1">
      <alignment horizontal="center" readingOrder="0"/>
    </xf>
    <xf borderId="4" fillId="0" fontId="3" numFmtId="4" xfId="0" applyBorder="1" applyFont="1" applyNumberFormat="1"/>
    <xf borderId="4" fillId="0" fontId="3" numFmtId="165" xfId="0" applyBorder="1" applyFont="1" applyNumberFormat="1"/>
    <xf borderId="4" fillId="0" fontId="3" numFmtId="10" xfId="0" applyBorder="1" applyFont="1" applyNumberFormat="1"/>
    <xf borderId="0" fillId="0" fontId="3" numFmtId="2" xfId="0" applyFont="1" applyNumberFormat="1"/>
    <xf borderId="0" fillId="0" fontId="3" numFmtId="4" xfId="0" applyFont="1" applyNumberFormat="1"/>
    <xf borderId="0" fillId="0" fontId="3" numFmtId="2" xfId="0" applyAlignment="1" applyFont="1" applyNumberFormat="1">
      <alignment readingOrder="0"/>
    </xf>
    <xf borderId="4" fillId="0" fontId="3" numFmtId="2" xfId="0" applyBorder="1" applyFont="1" applyNumberFormat="1"/>
    <xf borderId="5" fillId="0" fontId="3" numFmtId="10" xfId="0" applyBorder="1" applyFont="1" applyNumberFormat="1"/>
    <xf borderId="0" fillId="0" fontId="2" numFmtId="10" xfId="0" applyAlignment="1" applyFont="1" applyNumberFormat="1">
      <alignment horizontal="right" vertical="bottom"/>
    </xf>
    <xf borderId="6" fillId="0" fontId="1" numFmtId="0" xfId="0" applyAlignment="1" applyBorder="1" applyFont="1">
      <alignment horizontal="center" readingOrder="0"/>
    </xf>
    <xf borderId="5" fillId="0" fontId="1" numFmtId="4" xfId="0" applyBorder="1" applyFont="1" applyNumberFormat="1"/>
    <xf borderId="5" fillId="0" fontId="1" numFmtId="165" xfId="0" applyBorder="1" applyFont="1" applyNumberFormat="1"/>
    <xf borderId="5" fillId="0" fontId="1" numFmtId="10" xfId="0" applyBorder="1" applyFont="1" applyNumberFormat="1"/>
    <xf borderId="0" fillId="0" fontId="3" numFmtId="166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0" fillId="4" fontId="1" numFmtId="2" xfId="0" applyAlignment="1" applyFill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3" numFmtId="165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0" fillId="0" fontId="3" numFmtId="4" xfId="0" applyAlignment="1" applyFont="1" applyNumberFormat="1">
      <alignment readingOrder="0"/>
    </xf>
    <xf borderId="2" fillId="0" fontId="3" numFmtId="167" xfId="0" applyAlignment="1" applyBorder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5" fontId="5" numFmtId="0" xfId="0" applyAlignment="1" applyFill="1" applyFont="1">
      <alignment horizontal="center" vertical="bottom"/>
    </xf>
    <xf borderId="2" fillId="6" fontId="5" numFmtId="0" xfId="0" applyAlignment="1" applyBorder="1" applyFill="1" applyFont="1">
      <alignment horizontal="center" vertical="bottom"/>
    </xf>
    <xf borderId="0" fillId="6" fontId="5" numFmtId="0" xfId="0" applyAlignment="1" applyFont="1">
      <alignment horizontal="center" readingOrder="0" vertical="bottom"/>
    </xf>
    <xf borderId="2" fillId="7" fontId="5" numFmtId="169" xfId="0" applyAlignment="1" applyBorder="1" applyFill="1" applyFont="1" applyNumberFormat="1">
      <alignment horizontal="center" vertical="bottom"/>
    </xf>
    <xf borderId="0" fillId="7" fontId="5" numFmtId="0" xfId="0" applyAlignment="1" applyFont="1">
      <alignment horizontal="center" readingOrder="0" vertical="bottom"/>
    </xf>
    <xf borderId="1" fillId="7" fontId="5" numFmtId="0" xfId="0" applyAlignment="1" applyBorder="1" applyFont="1">
      <alignment horizontal="center" readingOrder="0" vertical="bottom"/>
    </xf>
    <xf borderId="0" fillId="8" fontId="5" numFmtId="169" xfId="0" applyAlignment="1" applyFill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2" fillId="9" fontId="5" numFmtId="0" xfId="0" applyAlignment="1" applyBorder="1" applyFill="1" applyFont="1">
      <alignment horizontal="center" readingOrder="0" vertical="bottom"/>
    </xf>
    <xf borderId="0" fillId="9" fontId="5" numFmtId="0" xfId="0" applyAlignment="1" applyFont="1">
      <alignment horizontal="center" readingOrder="0" vertical="bottom"/>
    </xf>
    <xf borderId="0" fillId="9" fontId="5" numFmtId="169" xfId="0" applyAlignment="1" applyFont="1" applyNumberFormat="1">
      <alignment horizontal="center" readingOrder="0" vertical="bottom"/>
    </xf>
    <xf borderId="0" fillId="0" fontId="2" numFmtId="170" xfId="0" applyAlignment="1" applyFont="1" applyNumberFormat="1">
      <alignment horizontal="right" vertical="bottom"/>
    </xf>
    <xf borderId="2" fillId="0" fontId="3" numFmtId="171" xfId="0" applyBorder="1" applyFont="1" applyNumberFormat="1"/>
    <xf borderId="1" fillId="0" fontId="3" numFmtId="10" xfId="0" applyBorder="1" applyFont="1" applyNumberFormat="1"/>
    <xf borderId="2" fillId="0" fontId="1" numFmtId="169" xfId="0" applyAlignment="1" applyBorder="1" applyFont="1" applyNumberFormat="1">
      <alignment horizontal="right" readingOrder="0"/>
    </xf>
    <xf borderId="0" fillId="0" fontId="3" numFmtId="169" xfId="0" applyAlignment="1" applyFont="1" applyNumberFormat="1">
      <alignment readingOrder="0"/>
    </xf>
    <xf borderId="2" fillId="0" fontId="3" numFmtId="10" xfId="0" applyBorder="1" applyFont="1" applyNumberFormat="1"/>
    <xf borderId="0" fillId="0" fontId="3" numFmtId="169" xfId="0" applyFont="1" applyNumberFormat="1"/>
    <xf borderId="0" fillId="0" fontId="1" numFmtId="4" xfId="0" applyFont="1" applyNumberFormat="1"/>
    <xf borderId="0" fillId="0" fontId="2" numFmtId="170" xfId="0" applyAlignment="1" applyFont="1" applyNumberFormat="1">
      <alignment horizontal="right" readingOrder="0" vertical="bottom"/>
    </xf>
    <xf borderId="2" fillId="0" fontId="3" numFmtId="171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1" fillId="0" fontId="3" numFmtId="10" xfId="0" applyAlignment="1" applyBorder="1" applyFont="1" applyNumberFormat="1">
      <alignment readingOrder="0"/>
    </xf>
    <xf borderId="2" fillId="0" fontId="3" numFmtId="10" xfId="0" applyAlignment="1" applyBorder="1" applyFont="1" applyNumberFormat="1">
      <alignment readingOrder="0"/>
    </xf>
    <xf borderId="0" fillId="10" fontId="2" numFmtId="170" xfId="0" applyAlignment="1" applyFill="1" applyFont="1" applyNumberFormat="1">
      <alignment horizontal="right" readingOrder="0" vertical="bottom"/>
    </xf>
    <xf borderId="2" fillId="10" fontId="3" numFmtId="171" xfId="0" applyBorder="1" applyFont="1" applyNumberFormat="1"/>
    <xf borderId="0" fillId="10" fontId="3" numFmtId="10" xfId="0" applyFont="1" applyNumberFormat="1"/>
    <xf borderId="1" fillId="10" fontId="3" numFmtId="10" xfId="0" applyBorder="1" applyFont="1" applyNumberFormat="1"/>
    <xf borderId="2" fillId="10" fontId="1" numFmtId="169" xfId="0" applyAlignment="1" applyBorder="1" applyFont="1" applyNumberFormat="1">
      <alignment horizontal="right" readingOrder="0"/>
    </xf>
    <xf borderId="0" fillId="10" fontId="3" numFmtId="169" xfId="0" applyAlignment="1" applyFont="1" applyNumberFormat="1">
      <alignment readingOrder="0"/>
    </xf>
    <xf borderId="2" fillId="10" fontId="3" numFmtId="10" xfId="0" applyBorder="1" applyFont="1" applyNumberFormat="1"/>
    <xf borderId="0" fillId="10" fontId="3" numFmtId="169" xfId="0" applyFont="1" applyNumberFormat="1"/>
    <xf borderId="0" fillId="10" fontId="1" numFmtId="4" xfId="0" applyAlignment="1" applyFont="1" applyNumberFormat="1">
      <alignment readingOrder="0"/>
    </xf>
    <xf borderId="0" fillId="10" fontId="3" numFmtId="4" xfId="0" applyFont="1" applyNumberFormat="1"/>
    <xf borderId="0" fillId="10" fontId="3" numFmtId="10" xfId="0" applyAlignment="1" applyFont="1" applyNumberFormat="1">
      <alignment readingOrder="0"/>
    </xf>
    <xf borderId="5" fillId="0" fontId="2" numFmtId="170" xfId="0" applyAlignment="1" applyBorder="1" applyFont="1" applyNumberFormat="1">
      <alignment horizontal="right" readingOrder="0" vertical="bottom"/>
    </xf>
    <xf borderId="7" fillId="0" fontId="3" numFmtId="171" xfId="0" applyBorder="1" applyFont="1" applyNumberFormat="1"/>
    <xf borderId="6" fillId="0" fontId="3" numFmtId="10" xfId="0" applyBorder="1" applyFont="1" applyNumberFormat="1"/>
    <xf borderId="7" fillId="0" fontId="1" numFmtId="169" xfId="0" applyAlignment="1" applyBorder="1" applyFont="1" applyNumberFormat="1">
      <alignment horizontal="right" readingOrder="0"/>
    </xf>
    <xf borderId="5" fillId="0" fontId="3" numFmtId="169" xfId="0" applyAlignment="1" applyBorder="1" applyFont="1" applyNumberFormat="1">
      <alignment readingOrder="0"/>
    </xf>
    <xf borderId="5" fillId="0" fontId="3" numFmtId="10" xfId="0" applyAlignment="1" applyBorder="1" applyFont="1" applyNumberFormat="1">
      <alignment readingOrder="0"/>
    </xf>
    <xf borderId="7" fillId="0" fontId="3" numFmtId="10" xfId="0" applyBorder="1" applyFont="1" applyNumberFormat="1"/>
    <xf borderId="5" fillId="0" fontId="3" numFmtId="169" xfId="0" applyBorder="1" applyFont="1" applyNumberFormat="1"/>
    <xf borderId="5" fillId="0" fontId="1" numFmtId="4" xfId="0" applyAlignment="1" applyBorder="1" applyFont="1" applyNumberFormat="1">
      <alignment readingOrder="0"/>
    </xf>
    <xf borderId="5" fillId="0" fontId="3" numFmtId="4" xfId="0" applyBorder="1" applyFont="1" applyNumberFormat="1"/>
    <xf borderId="0" fillId="0" fontId="2" numFmtId="0" xfId="0" applyAlignment="1" applyFont="1">
      <alignment horizontal="right" readingOrder="0" vertical="bottom"/>
    </xf>
    <xf borderId="2" fillId="0" fontId="3" numFmtId="169" xfId="0" applyAlignment="1" applyBorder="1" applyFont="1" applyNumberFormat="1">
      <alignment horizontal="right" readingOrder="0"/>
    </xf>
    <xf borderId="1" fillId="0" fontId="2" numFmtId="170" xfId="0" applyAlignment="1" applyBorder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1" fillId="0" fontId="2" numFmtId="10" xfId="0" applyAlignment="1" applyBorder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2" fillId="10" fontId="3" numFmtId="169" xfId="0" applyAlignment="1" applyBorder="1" applyFont="1" applyNumberFormat="1">
      <alignment horizontal="right" readingOrder="0"/>
    </xf>
    <xf borderId="2" fillId="0" fontId="3" numFmtId="169" xfId="0" applyAlignment="1" applyBorder="1" applyFont="1" applyNumberFormat="1">
      <alignment horizontal="right"/>
    </xf>
    <xf borderId="2" fillId="0" fontId="2" numFmtId="169" xfId="0" applyAlignment="1" applyBorder="1" applyFont="1" applyNumberFormat="1">
      <alignment horizontal="right" readingOrder="0" vertical="bottom"/>
    </xf>
    <xf borderId="2" fillId="0" fontId="2" numFmtId="169" xfId="0" applyAlignment="1" applyBorder="1" applyFont="1" applyNumberFormat="1">
      <alignment horizontal="right" vertical="bottom"/>
    </xf>
    <xf borderId="2" fillId="0" fontId="3" numFmtId="169" xfId="0" applyAlignment="1" applyBorder="1" applyFont="1" applyNumberFormat="1">
      <alignment readingOrder="0"/>
    </xf>
    <xf borderId="2" fillId="0" fontId="3" numFmtId="169" xfId="0" applyBorder="1" applyFont="1" applyNumberFormat="1"/>
    <xf borderId="0" fillId="7" fontId="2" numFmtId="170" xfId="0" applyAlignment="1" applyFont="1" applyNumberFormat="1">
      <alignment horizontal="right" readingOrder="0" vertical="bottom"/>
    </xf>
    <xf borderId="2" fillId="7" fontId="3" numFmtId="171" xfId="0" applyBorder="1" applyFont="1" applyNumberFormat="1"/>
    <xf borderId="0" fillId="7" fontId="3" numFmtId="10" xfId="0" applyAlignment="1" applyFont="1" applyNumberFormat="1">
      <alignment readingOrder="0"/>
    </xf>
    <xf borderId="2" fillId="7" fontId="3" numFmtId="169" xfId="0" applyAlignment="1" applyBorder="1" applyFont="1" applyNumberFormat="1">
      <alignment readingOrder="0"/>
    </xf>
    <xf borderId="1" fillId="7" fontId="2" numFmtId="10" xfId="0" applyAlignment="1" applyBorder="1" applyFont="1" applyNumberFormat="1">
      <alignment horizontal="right" vertical="bottom"/>
    </xf>
    <xf borderId="0" fillId="7" fontId="3" numFmtId="169" xfId="0" applyFont="1" applyNumberFormat="1"/>
    <xf borderId="0" fillId="7" fontId="3" numFmtId="10" xfId="0" applyFont="1" applyNumberFormat="1"/>
    <xf borderId="2" fillId="7" fontId="2" numFmtId="10" xfId="0" applyAlignment="1" applyBorder="1" applyFont="1" applyNumberFormat="1">
      <alignment horizontal="right" vertical="bottom"/>
    </xf>
    <xf borderId="0" fillId="7" fontId="2" numFmtId="10" xfId="0" applyAlignment="1" applyFont="1" applyNumberFormat="1">
      <alignment horizontal="right" vertical="bottom"/>
    </xf>
    <xf borderId="0" fillId="7" fontId="2" numFmtId="4" xfId="0" applyAlignment="1" applyFont="1" applyNumberFormat="1">
      <alignment horizontal="right" vertical="bottom"/>
    </xf>
    <xf borderId="0" fillId="7" fontId="2" numFmtId="169" xfId="0" applyAlignment="1" applyFont="1" applyNumberFormat="1">
      <alignment horizontal="right" vertical="bottom"/>
    </xf>
    <xf borderId="1" fillId="5" fontId="1" numFmtId="172" xfId="0" applyAlignment="1" applyBorder="1" applyFont="1" applyNumberFormat="1">
      <alignment horizontal="center" readingOrder="0"/>
    </xf>
    <xf borderId="0" fillId="5" fontId="1" numFmtId="172" xfId="0" applyAlignment="1" applyFont="1" applyNumberFormat="1">
      <alignment horizontal="center" readingOrder="0"/>
    </xf>
    <xf borderId="2" fillId="11" fontId="1" numFmtId="172" xfId="0" applyAlignment="1" applyBorder="1" applyFill="1" applyFont="1" applyNumberFormat="1">
      <alignment horizontal="center" readingOrder="0"/>
    </xf>
    <xf borderId="0" fillId="11" fontId="1" numFmtId="172" xfId="0" applyAlignment="1" applyFont="1" applyNumberFormat="1">
      <alignment horizontal="center" readingOrder="0"/>
    </xf>
    <xf borderId="8" fillId="5" fontId="1" numFmtId="10" xfId="0" applyAlignment="1" applyBorder="1" applyFont="1" applyNumberFormat="1">
      <alignment horizontal="center" readingOrder="0"/>
    </xf>
    <xf borderId="0" fillId="5" fontId="1" numFmtId="10" xfId="0" applyAlignment="1" applyFont="1" applyNumberFormat="1">
      <alignment horizontal="center" readingOrder="0"/>
    </xf>
    <xf borderId="2" fillId="11" fontId="1" numFmtId="169" xfId="0" applyAlignment="1" applyBorder="1" applyFont="1" applyNumberFormat="1">
      <alignment horizontal="center" readingOrder="0"/>
    </xf>
    <xf borderId="0" fillId="11" fontId="1" numFmtId="169" xfId="0" applyAlignment="1" applyFont="1" applyNumberFormat="1">
      <alignment horizontal="center" readingOrder="0"/>
    </xf>
    <xf borderId="1" fillId="12" fontId="1" numFmtId="0" xfId="0" applyAlignment="1" applyBorder="1" applyFill="1" applyFont="1">
      <alignment horizontal="center" readingOrder="0"/>
    </xf>
    <xf borderId="2" fillId="11" fontId="3" numFmtId="169" xfId="0" applyAlignment="1" applyBorder="1" applyFont="1" applyNumberFormat="1">
      <alignment readingOrder="0"/>
    </xf>
    <xf borderId="0" fillId="11" fontId="3" numFmtId="169" xfId="0" applyAlignment="1" applyFont="1" applyNumberFormat="1">
      <alignment readingOrder="0"/>
    </xf>
    <xf borderId="0" fillId="1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169" xfId="0" applyAlignment="1" applyFont="1" applyNumberFormat="1">
      <alignment horizontal="center" readingOrder="0"/>
    </xf>
    <xf borderId="2" fillId="7" fontId="6" numFmtId="165" xfId="0" applyAlignment="1" applyBorder="1" applyFont="1" applyNumberFormat="1">
      <alignment horizontal="center" readingOrder="0"/>
    </xf>
    <xf borderId="0" fillId="7" fontId="6" numFmtId="169" xfId="0" applyAlignment="1" applyFont="1" applyNumberFormat="1">
      <alignment horizontal="center" readingOrder="0"/>
    </xf>
    <xf borderId="0" fillId="7" fontId="6" numFmtId="0" xfId="0" applyAlignment="1" applyFont="1">
      <alignment horizontal="center" readingOrder="0"/>
    </xf>
    <xf borderId="2" fillId="2" fontId="1" numFmtId="165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2" fillId="7" fontId="6" numFmtId="4" xfId="0" applyAlignment="1" applyBorder="1" applyFont="1" applyNumberFormat="1">
      <alignment horizontal="center" readingOrder="0"/>
    </xf>
    <xf borderId="0" fillId="7" fontId="6" numFmtId="10" xfId="0" applyAlignment="1" applyFont="1" applyNumberFormat="1">
      <alignment horizontal="center" readingOrder="0"/>
    </xf>
    <xf borderId="2" fillId="0" fontId="1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2" fillId="0" fontId="7" numFmtId="4" xfId="0" applyAlignment="1" applyBorder="1" applyFont="1" applyNumberFormat="1">
      <alignment readingOrder="0"/>
    </xf>
    <xf borderId="0" fillId="0" fontId="7" numFmtId="165" xfId="0" applyFont="1" applyNumberFormat="1"/>
    <xf borderId="0" fillId="0" fontId="7" numFmtId="10" xfId="0" applyAlignment="1" applyFont="1" applyNumberFormat="1">
      <alignment readingOrder="0"/>
    </xf>
    <xf borderId="0" fillId="0" fontId="7" numFmtId="169" xfId="0" applyAlignment="1" applyFont="1" applyNumberFormat="1">
      <alignment readingOrder="0"/>
    </xf>
    <xf borderId="2" fillId="0" fontId="1" numFmtId="165" xfId="0" applyBorder="1" applyFont="1" applyNumberFormat="1"/>
    <xf borderId="2" fillId="0" fontId="6" numFmtId="4" xfId="0" applyAlignment="1" applyBorder="1" applyFont="1" applyNumberFormat="1">
      <alignment readingOrder="0"/>
    </xf>
    <xf borderId="0" fillId="13" fontId="5" numFmtId="164" xfId="0" applyAlignment="1" applyFill="1" applyFont="1" applyNumberFormat="1">
      <alignment horizontal="center" vertical="bottom"/>
    </xf>
    <xf borderId="0" fillId="13" fontId="5" numFmtId="0" xfId="0" applyAlignment="1" applyFont="1">
      <alignment horizontal="center" readingOrder="0" vertical="bottom"/>
    </xf>
    <xf borderId="2" fillId="5" fontId="5" numFmtId="4" xfId="0" applyAlignment="1" applyBorder="1" applyFont="1" applyNumberFormat="1">
      <alignment horizontal="center" readingOrder="0" vertical="bottom"/>
    </xf>
    <xf borderId="0" fillId="5" fontId="5" numFmtId="0" xfId="0" applyAlignment="1" applyFont="1">
      <alignment horizontal="center" readingOrder="0" vertical="bottom"/>
    </xf>
    <xf borderId="0" fillId="5" fontId="5" numFmtId="4" xfId="0" applyAlignment="1" applyFont="1" applyNumberFormat="1">
      <alignment horizontal="center" readingOrder="0" vertical="bottom"/>
    </xf>
    <xf borderId="2" fillId="9" fontId="5" numFmtId="4" xfId="0" applyAlignment="1" applyBorder="1" applyFont="1" applyNumberFormat="1">
      <alignment horizontal="center" readingOrder="0" vertical="bottom"/>
    </xf>
    <xf borderId="2" fillId="0" fontId="3" numFmtId="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173" xfId="0" applyAlignment="1" applyFont="1" applyNumberFormat="1">
      <alignment readingOrder="0"/>
    </xf>
    <xf borderId="0" fillId="0" fontId="4" numFmtId="0" xfId="0" applyFont="1"/>
    <xf borderId="0" fillId="0" fontId="3" numFmtId="167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2" fillId="0" fontId="3" numFmtId="166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5" fontId="1" numFmtId="174" xfId="0" applyAlignment="1" applyFont="1" applyNumberFormat="1">
      <alignment horizontal="center" readingOrder="0"/>
    </xf>
    <xf borderId="0" fillId="5" fontId="1" numFmtId="175" xfId="0" applyAlignment="1" applyFont="1" applyNumberFormat="1">
      <alignment horizontal="center" readingOrder="0"/>
    </xf>
    <xf borderId="0" fillId="5" fontId="1" numFmtId="168" xfId="0" applyAlignment="1" applyFont="1" applyNumberFormat="1">
      <alignment horizontal="center" readingOrder="0"/>
    </xf>
    <xf borderId="0" fillId="5" fontId="1" numFmtId="167" xfId="0" applyAlignment="1" applyFont="1" applyNumberFormat="1">
      <alignment horizontal="center" readingOrder="0"/>
    </xf>
    <xf borderId="0" fillId="5" fontId="1" numFmtId="165" xfId="0" applyAlignment="1" applyFont="1" applyNumberFormat="1">
      <alignment horizontal="center" readingOrder="0"/>
    </xf>
    <xf borderId="0" fillId="0" fontId="2" numFmtId="17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73" xfId="0" applyAlignment="1" applyFont="1" applyNumberFormat="1">
      <alignment horizontal="right" vertical="bottom"/>
    </xf>
    <xf borderId="0" fillId="0" fontId="2" numFmtId="17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73" xfId="0" applyAlignment="1" applyFont="1" applyNumberFormat="1">
      <alignment horizontal="right" readingOrder="0" vertical="bottom"/>
    </xf>
    <xf borderId="0" fillId="5" fontId="5" numFmtId="164" xfId="0" applyAlignment="1" applyFont="1" applyNumberFormat="1">
      <alignment horizontal="center" vertical="bottom"/>
    </xf>
    <xf borderId="0" fillId="0" fontId="2" numFmtId="176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13" fontId="1" numFmtId="177" xfId="0" applyAlignment="1" applyFont="1" applyNumberFormat="1">
      <alignment horizontal="center" readingOrder="0"/>
    </xf>
    <xf borderId="0" fillId="0" fontId="3" numFmtId="174" xfId="0" applyFont="1" applyNumberFormat="1"/>
    <xf borderId="0" fillId="0" fontId="3" numFmtId="175" xfId="0" applyAlignment="1" applyFont="1" applyNumberFormat="1">
      <alignment readingOrder="0"/>
    </xf>
    <xf borderId="0" fillId="0" fontId="3" numFmtId="178" xfId="0" applyAlignment="1" applyFont="1" applyNumberFormat="1">
      <alignment readingOrder="0"/>
    </xf>
    <xf borderId="0" fillId="0" fontId="1" numFmtId="175" xfId="0" applyAlignment="1" applyFont="1" applyNumberFormat="1">
      <alignment readingOrder="0"/>
    </xf>
    <xf borderId="0" fillId="0" fontId="3" numFmtId="174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/>
    </xf>
    <xf borderId="0" fillId="0" fontId="3" numFmtId="169" xfId="0" applyAlignment="1" applyFont="1" applyNumberFormat="1">
      <alignment readingOrder="0"/>
    </xf>
    <xf borderId="0" fillId="0" fontId="1" numFmtId="179" xfId="0" applyAlignment="1" applyFont="1" applyNumberFormat="1">
      <alignment readingOrder="0"/>
    </xf>
    <xf borderId="0" fillId="0" fontId="1" numFmtId="179" xfId="0" applyAlignment="1" applyFont="1" applyNumberFormat="1">
      <alignment horizontal="right" readingOrder="0"/>
    </xf>
    <xf borderId="0" fillId="0" fontId="8" numFmtId="169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horizontal="right" readingOrder="0"/>
    </xf>
    <xf borderId="0" fillId="0" fontId="3" numFmtId="179" xfId="0" applyAlignment="1" applyFont="1" applyNumberFormat="1">
      <alignment horizontal="right" readingOrder="0"/>
    </xf>
    <xf borderId="5" fillId="0" fontId="3" numFmtId="174" xfId="0" applyAlignment="1" applyBorder="1" applyFont="1" applyNumberFormat="1">
      <alignment readingOrder="0"/>
    </xf>
    <xf borderId="5" fillId="0" fontId="8" numFmtId="169" xfId="0" applyAlignment="1" applyBorder="1" applyFont="1" applyNumberFormat="1">
      <alignment readingOrder="0" shrinkToFit="0" wrapText="1"/>
    </xf>
    <xf borderId="5" fillId="0" fontId="3" numFmtId="178" xfId="0" applyAlignment="1" applyBorder="1" applyFont="1" applyNumberFormat="1">
      <alignment readingOrder="0"/>
    </xf>
    <xf borderId="5" fillId="0" fontId="3" numFmtId="179" xfId="0" applyAlignment="1" applyBorder="1" applyFont="1" applyNumberFormat="1">
      <alignment horizontal="right" readingOrder="0"/>
    </xf>
    <xf borderId="0" fillId="0" fontId="3" numFmtId="180" xfId="0" applyAlignment="1" applyFont="1" applyNumberFormat="1">
      <alignment horizontal="right" readingOrder="0"/>
    </xf>
    <xf borderId="0" fillId="0" fontId="3" numFmtId="0" xfId="0" applyFont="1"/>
    <xf borderId="0" fillId="0" fontId="3" numFmtId="174" xfId="0" applyFont="1" applyNumberFormat="1"/>
    <xf borderId="0" fillId="0" fontId="9" numFmtId="0" xfId="0" applyFont="1"/>
    <xf borderId="0" fillId="0" fontId="10" numFmtId="174" xfId="0" applyFont="1" applyNumberFormat="1"/>
    <xf borderId="0" fillId="0" fontId="3" numFmtId="181" xfId="0" applyFont="1" applyNumberFormat="1"/>
    <xf borderId="0" fillId="0" fontId="3" numFmtId="166" xfId="0" applyFont="1" applyNumberFormat="1"/>
    <xf borderId="0" fillId="0" fontId="3" numFmtId="182" xfId="0" applyFont="1" applyNumberFormat="1"/>
    <xf borderId="0" fillId="0" fontId="3" numFmtId="9" xfId="0" applyFont="1" applyNumberFormat="1"/>
    <xf borderId="0" fillId="0" fontId="3" numFmtId="183" xfId="0" applyFont="1" applyNumberFormat="1"/>
    <xf borderId="0" fillId="0" fontId="3" numFmtId="174" xfId="0" applyAlignment="1" applyFont="1" applyNumberFormat="1">
      <alignment horizontal="right" readingOrder="0"/>
    </xf>
    <xf borderId="0" fillId="0" fontId="3" numFmtId="0" xfId="0" applyFont="1"/>
    <xf borderId="0" fillId="0" fontId="3" numFmtId="9" xfId="0" applyAlignment="1" applyFont="1" applyNumberFormat="1">
      <alignment readingOrder="0"/>
    </xf>
    <xf borderId="2" fillId="14" fontId="1" numFmtId="0" xfId="0" applyAlignment="1" applyBorder="1" applyFill="1" applyFont="1">
      <alignment horizontal="center" readingOrder="0"/>
    </xf>
    <xf borderId="0" fillId="14" fontId="1" numFmtId="0" xfId="0" applyAlignment="1" applyFont="1">
      <alignment horizontal="center" readingOrder="0"/>
    </xf>
    <xf borderId="0" fillId="0" fontId="3" numFmtId="165" xfId="0" applyAlignment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10" xfId="0" applyFont="1" applyNumberFormat="1"/>
    <xf borderId="2" fillId="0" fontId="6" numFmtId="10" xfId="0" applyBorder="1" applyFont="1" applyNumberFormat="1"/>
    <xf borderId="0" fillId="0" fontId="3" numFmtId="184" xfId="0" applyFont="1" applyNumberFormat="1"/>
    <xf borderId="0" fillId="0" fontId="3" numFmtId="21" xfId="0" applyFont="1" applyNumberFormat="1"/>
    <xf borderId="0" fillId="0" fontId="3" numFmtId="3" xfId="0" applyFont="1" applyNumberFormat="1"/>
    <xf borderId="1" fillId="0" fontId="3" numFmtId="0" xfId="0" applyAlignment="1" applyBorder="1" applyFont="1">
      <alignment readingOrder="0"/>
    </xf>
    <xf borderId="2" fillId="0" fontId="3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2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4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9.5"/>
    <col customWidth="1" min="3" max="3" width="12.0"/>
    <col customWidth="1" min="4" max="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f>$C2/$C$15</f>
        <v>8277.59791</v>
      </c>
      <c r="C2" s="6">
        <f>SUM(Wallet!$G:$G)</f>
        <v>1465608.482</v>
      </c>
      <c r="D2" s="7">
        <f>C2/$C$4</f>
        <v>4.951686428</v>
      </c>
    </row>
    <row r="3">
      <c r="A3" s="8" t="s">
        <v>5</v>
      </c>
      <c r="B3" s="9">
        <f t="shared" ref="B3:D3" si="1">B2-B4</f>
        <v>3196.683313</v>
      </c>
      <c r="C3" s="10">
        <f t="shared" si="1"/>
        <v>1169626.799</v>
      </c>
      <c r="D3" s="11">
        <f t="shared" si="1"/>
        <v>3.951686428</v>
      </c>
    </row>
    <row r="4">
      <c r="A4" s="4" t="s">
        <v>6</v>
      </c>
      <c r="B4" s="12">
        <f>SUMIFS(OFFSET(Transfer!$B:$B,2,0),OFFSET(Transfer!$E:$E,2,0),"true")/(SUMIFS(OFFSET(Transfer!$D:$D,2,0),OFFSET(Transfer!$E:$E,2,0),"true")/SUMIFS(OFFSET(Transfer!$F:$F,2,0),OFFSET(Transfer!$E:$E,2,0),"true"))</f>
        <v>5080.914597</v>
      </c>
      <c r="C4" s="6">
        <f>SUMIFS(OFFSET(Transfer!$B:$B,2,0),OFFSET(Transfer!$E:$E,2,0),"true")</f>
        <v>295981.6829</v>
      </c>
      <c r="D4" s="7">
        <f t="shared" ref="D4:D12" si="2">C4/$C$4</f>
        <v>1</v>
      </c>
    </row>
    <row r="5">
      <c r="A5" s="4" t="s">
        <v>7</v>
      </c>
      <c r="B5" s="12">
        <f>$C5/$C$15</f>
        <v>-11.06763449</v>
      </c>
      <c r="C5" s="6">
        <f>-Transfer!$G$2-FiMsData!$B$5</f>
        <v>-1959.604605</v>
      </c>
      <c r="D5" s="7">
        <f t="shared" si="2"/>
        <v>-0.006620695531</v>
      </c>
    </row>
    <row r="6">
      <c r="A6" s="4" t="s">
        <v>8</v>
      </c>
      <c r="B6" s="13">
        <f t="shared" ref="B6:C6" si="3">B$13-(B$4+B$5+B$7+B$8)</f>
        <v>634.6228815</v>
      </c>
      <c r="C6" s="6">
        <f t="shared" si="3"/>
        <v>75857.98015</v>
      </c>
      <c r="D6" s="7">
        <f t="shared" si="2"/>
        <v>0.2562928199</v>
      </c>
    </row>
    <row r="7">
      <c r="A7" s="4" t="s">
        <v>9</v>
      </c>
      <c r="B7" s="14">
        <v>0.0</v>
      </c>
      <c r="C7" s="6">
        <f>(C$15-C$14)*Transfer!$F$2</f>
        <v>640137.5191</v>
      </c>
      <c r="D7" s="7">
        <f t="shared" si="2"/>
        <v>2.16276059</v>
      </c>
    </row>
    <row r="8">
      <c r="A8" s="8" t="s">
        <v>10</v>
      </c>
      <c r="B8" s="15">
        <f t="shared" ref="B8:B12" si="4">$C8/$C$15</f>
        <v>-118.1559266</v>
      </c>
      <c r="C8" s="10">
        <f>-FiMsData!$B$4</f>
        <v>-20920.36</v>
      </c>
      <c r="D8" s="7">
        <f t="shared" si="2"/>
        <v>-0.07068126579</v>
      </c>
    </row>
    <row r="9">
      <c r="A9" s="4" t="str">
        <f t="array" ref="A9">INDEX(Token!B:B&amp;" ("&amp;Token!A:A&amp;")",MATCH(Wallet!$A2,Token!A:A,))</f>
        <v>FiMs SOL (FSOL)</v>
      </c>
      <c r="B9" s="12">
        <f t="shared" si="4"/>
        <v>80.25154881</v>
      </c>
      <c r="C9" s="6">
        <f>IFERROR(__xludf.DUMMYFUNCTION("SUMPRODUCT((ISNUMBER(SEARCH(LEFT(INDEX(SPLIT($A9,""(""),1),LEN(INDEX(SPLIT($A9,""(""),1))-1),Token!$B$2:$B16)))*(Token!$D$2:$D16)*(Token!$E$2:$E16))"),14209.116211472983)</f>
        <v>14209.11621</v>
      </c>
      <c r="D9" s="16">
        <f t="shared" si="2"/>
        <v>0.04800674174</v>
      </c>
    </row>
    <row r="10">
      <c r="A10" s="4" t="str">
        <f t="array" ref="A10">INDEX(Token!B:B&amp;" ("&amp;Token!A:A&amp;")",MATCH(Wallet!$A4,Token!A:A,))</f>
        <v>FiMs Token (FiMs)</v>
      </c>
      <c r="B10" s="12">
        <f t="shared" si="4"/>
        <v>7.333392735</v>
      </c>
      <c r="C10" s="6">
        <f>IFERROR(__xludf.DUMMYFUNCTION("SUMPRODUCT((ISNUMBER(SEARCH(LEFT(INDEX(SPLIT($A10,""(""),1),LEN(INDEX(SPLIT($A10,""(""),1))-1),Token!$B$2:$B16)))*(Token!$D$2:$D16)*(Token!$E$2:$E16))"),1298.430137878429)</f>
        <v>1298.430138</v>
      </c>
      <c r="D10" s="7">
        <f t="shared" si="2"/>
        <v>0.004386859771</v>
      </c>
    </row>
    <row r="11">
      <c r="A11" s="4" t="str">
        <f t="array" ref="A11">INDEX(Token!B:B&amp;" ("&amp;Token!A:A&amp;")",MATCH(Wallet!$A5,Token!A:A,))</f>
        <v>FiMs Liquidity Provider (FLiP)</v>
      </c>
      <c r="B11" s="5">
        <f t="shared" si="4"/>
        <v>4796.272614</v>
      </c>
      <c r="C11" s="6">
        <f>IFERROR(__xludf.DUMMYFUNCTION("SUMPRODUCT((ISNUMBER(SEARCH(LEFT(INDEX(SPLIT($A11,""(""),1),LEN(INDEX(SPLIT($A11,""(""),1))-1),Token!$B$2:$B16)))*(Token!$D$2:$D16)*(Token!$E$2:$E16))"),849214.7000531225)</f>
        <v>849214.7001</v>
      </c>
      <c r="D11" s="17">
        <f t="shared" si="2"/>
        <v>2.86914613</v>
      </c>
    </row>
    <row r="12">
      <c r="A12" s="4" t="str">
        <f t="array" ref="A12">INDEX(Token!B:B&amp;" ("&amp;Token!A:A&amp;")",MATCH(Wallet!$A6,Token!A:A,))</f>
        <v>Jupiter (JUP)</v>
      </c>
      <c r="B12" s="5">
        <f t="shared" si="4"/>
        <v>702.4563615</v>
      </c>
      <c r="C12" s="6">
        <f>IFERROR(__xludf.DUMMYFUNCTION("SUMPRODUCT((ISNUMBER(SEARCH(LEFT(INDEX(SPLIT($A12,""(""),1),LEN(INDEX(SPLIT($A12,""(""),1))-1),Token!$B$2:$B16)))*(Token!$D$2:$D16)*(Token!$E$2:$E16))"),124374.97121433404)</f>
        <v>124374.9712</v>
      </c>
      <c r="D12" s="17">
        <f t="shared" si="2"/>
        <v>0.4202117171</v>
      </c>
    </row>
    <row r="13">
      <c r="A13" s="18" t="s">
        <v>11</v>
      </c>
      <c r="B13" s="19">
        <f t="shared" ref="B13:D13" si="5">SUM(OFFSET(B:B,ROW(B$9)-1,0,ROW()-ROW(B$9)))</f>
        <v>5586.313917</v>
      </c>
      <c r="C13" s="20">
        <f t="shared" si="5"/>
        <v>989097.2176</v>
      </c>
      <c r="D13" s="21">
        <f t="shared" si="5"/>
        <v>3.341751448</v>
      </c>
    </row>
    <row r="14">
      <c r="A14" s="4" t="s">
        <v>12</v>
      </c>
      <c r="B14" s="22">
        <f t="array" ref="B14">ROUNDUP(INDEX(Price!$A:$AF,2,MATCH("*(FSOL)",Price!$A$1:$AF$1,))/$C$15,4)</f>
        <v>1.0711</v>
      </c>
      <c r="C14" s="6">
        <f>C4/B4</f>
        <v>58.25362291</v>
      </c>
      <c r="D14" s="7">
        <f>-(1-$C$15/$C$14)</f>
        <v>2.039419904</v>
      </c>
    </row>
    <row r="15">
      <c r="A15" s="4" t="str">
        <f>IFERROR(__xludf.DUMMYFUNCTION("""Price @ ""&amp;TO_TEXT(MIN(OFFSET(PriceCache!$C:$C,1,0)))&amp;PriceCache!$D$1"),"Price @ 12/28/2024 0:01:58")</f>
        <v>Price @ 12/28/2024 0:01:58</v>
      </c>
      <c r="B15" s="22">
        <f t="array" ref="B15">INDEX(Price!$A:$AF,2,MATCH("*(FiMs)",Price!$A$1:$AF$1,))</f>
        <v>1.117289528</v>
      </c>
      <c r="C15" s="6">
        <f>IF(1,HLOOKUP("*("&amp;$B$1&amp;")",Price!$A:$CI,2,0),$C$14*1)</f>
        <v>177.057221</v>
      </c>
      <c r="D15" s="7">
        <f t="array" ref="D15">INDEX(Evolution!C:C,2)</f>
        <v>0</v>
      </c>
    </row>
    <row r="16">
      <c r="A16" s="18" t="s">
        <v>13</v>
      </c>
      <c r="B16" s="19">
        <f t="shared" ref="B16:D16" si="6">B13-B4</f>
        <v>505.3993205</v>
      </c>
      <c r="C16" s="20">
        <f t="shared" si="6"/>
        <v>693115.5347</v>
      </c>
      <c r="D16" s="21">
        <f t="shared" si="6"/>
        <v>2.341751448</v>
      </c>
    </row>
  </sheetData>
  <conditionalFormatting sqref="B16:D16">
    <cfRule type="cellIs" dxfId="0" priority="1" operator="lessThan">
      <formula>0</formula>
    </cfRule>
  </conditionalFormatting>
  <conditionalFormatting sqref="B16:D16">
    <cfRule type="cellIs" dxfId="1" priority="2" operator="greaterThan">
      <formula>0</formula>
    </cfRule>
  </conditionalFormatting>
  <conditionalFormatting sqref="A15">
    <cfRule type="expression" dxfId="2" priority="3">
      <formula>TO_DATE(INDEX(SPLIT($A$15,"@"),2))&lt;TO_DATE(NOW()-TIME(0,15,0))</formula>
    </cfRule>
  </conditionalFormatting>
  <conditionalFormatting sqref="D15">
    <cfRule type="cellIs" dxfId="1" priority="4" operator="greaterThan">
      <formula>0</formula>
    </cfRule>
  </conditionalFormatting>
  <conditionalFormatting sqref="D15">
    <cfRule type="cellIs" dxfId="0" priority="5" operator="less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38"/>
    <col customWidth="1" min="3" max="3" width="45.0"/>
    <col customWidth="1" min="4" max="6" width="10.75"/>
    <col customWidth="1" min="7" max="7" width="11.63"/>
    <col customWidth="1" min="8" max="8" width="10.75"/>
    <col customWidth="1" min="9" max="9" width="15.38"/>
    <col customWidth="1" min="10" max="11" width="10.75"/>
  </cols>
  <sheetData>
    <row r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4" t="s">
        <v>20</v>
      </c>
      <c r="H1" s="25" t="s">
        <v>21</v>
      </c>
      <c r="I1" s="25" t="s">
        <v>22</v>
      </c>
      <c r="J1" s="25" t="s">
        <v>23</v>
      </c>
      <c r="K1" s="25" t="s">
        <v>24</v>
      </c>
    </row>
    <row r="2">
      <c r="A2" s="26" t="s">
        <v>25</v>
      </c>
      <c r="B2" s="26" t="s">
        <v>1</v>
      </c>
      <c r="C2" s="27" t="str">
        <f t="array" ref="C2">INDEX(Token!$C:$C,MATCH($B2,Token!$A:$A,))</f>
        <v>So11111111111111111111111111111111111111112</v>
      </c>
      <c r="D2" s="14">
        <f>$H2+FiMsData!$B10</f>
        <v>78.43665043</v>
      </c>
      <c r="E2" s="28">
        <f>MAXIFS(PriceCache!$B:$B,PriceCache!$A:$A,"*("&amp;$B2&amp;")*")</f>
        <v>177.057221</v>
      </c>
      <c r="F2" s="13">
        <f>$G2/MAXIFS(PriceCache!$B:$B,PriceCache!$A:$A,"*("&amp;$A2&amp;")*")</f>
        <v>73.23647366</v>
      </c>
      <c r="G2" s="29">
        <f t="shared" ref="G2:G9" si="1">$D2*$E2</f>
        <v>13887.77535</v>
      </c>
      <c r="H2" s="14">
        <v>0.078924257</v>
      </c>
      <c r="I2" s="14">
        <f>IFERROR(__xludf.DUMMYFUNCTION("IFERROR(ARRAYFORMULA(VALUE(ImportJSON(""https://wallet.fims.fi/api/solana/getAssets?address=""&amp;I$1&amp;""&amp;tokens=""&amp;JOIN("","",$C2:$C9)&amp;""&amp;showEmptyBalance=1""&amp;PriceCache!$D$1,""/balance"",""noHeaders""))),TRANSPOSE(SPLIT(REPT(""#ERROR,"", ROWS(I:I)-2) &amp; ""#E"&amp;"RROR"", "","")))"),0.060943792)</f>
        <v>0.060943792</v>
      </c>
      <c r="J2" s="14">
        <f>IFERROR(__xludf.DUMMYFUNCTION("IFERROR(ARRAYFORMULA(VALUE(ImportJSON(""https://wallet.fims.fi/api/solana/getAssets?address=""&amp;J$1&amp;""&amp;tokens=""&amp;JOIN("","",$C2:$C9)&amp;""&amp;showEmptyBalance=1""&amp;PriceCache!$D$1,""/balance"",""noHeaders""))),TRANSPOSE(SPLIT(REPT(""#ERROR,"", ROWS(J:J)-2) &amp; ""#E"&amp;"RROR"", "","")))"),0.017980465)</f>
        <v>0.017980465</v>
      </c>
      <c r="K2" s="14">
        <f t="shared" ref="K2:K9" si="2">IF(COUNTIF(I2:J2, "#ERROR")=0, SUM(I2:J2), "#ERROR")</f>
        <v>0.078924257</v>
      </c>
    </row>
    <row r="3">
      <c r="A3" s="26" t="s">
        <v>25</v>
      </c>
      <c r="B3" s="26" t="s">
        <v>26</v>
      </c>
      <c r="C3" s="27" t="str">
        <f t="array" ref="C3">INDEX(Token!$C:$C,MATCH($B3,Token!$A:$A,))</f>
        <v>HUBsveNpjo5pWqNkH57QzxjQASdTVXcSK7bVKTSZtcSX</v>
      </c>
      <c r="D3" s="30">
        <f>FiMsData!$B7</f>
        <v>1771.1703</v>
      </c>
      <c r="E3" s="28">
        <f>MAXIFS(PriceCache!$B:$B,PriceCache!$A:$A,"*("&amp;$B3&amp;")*")</f>
        <v>189.6292196</v>
      </c>
      <c r="F3" s="13">
        <f>$G3/MAXIFS(PriceCache!$B:$B,PriceCache!$A:$A,"*("&amp;$A3&amp;")*")</f>
        <v>1771.1703</v>
      </c>
      <c r="G3" s="29">
        <f t="shared" si="1"/>
        <v>335865.6418</v>
      </c>
      <c r="H3" s="14">
        <v>0.0</v>
      </c>
      <c r="I3" s="14">
        <f>IFERROR(__xludf.DUMMYFUNCTION("""COMPUTED_VALUE"""),0.0)</f>
        <v>0</v>
      </c>
      <c r="J3" s="14">
        <f>IFERROR(__xludf.DUMMYFUNCTION("""COMPUTED_VALUE"""),0.0)</f>
        <v>0</v>
      </c>
      <c r="K3" s="14">
        <f t="shared" si="2"/>
        <v>0</v>
      </c>
    </row>
    <row r="4">
      <c r="A4" s="26" t="s">
        <v>27</v>
      </c>
      <c r="B4" s="26" t="s">
        <v>28</v>
      </c>
      <c r="C4" s="27" t="str">
        <f t="array" ref="C4">INDEX(Token!$C:$C,MATCH($B4,Token!$A:$A,))</f>
        <v>EPjFWdd5AufqSSqeM2qN1xzybapC8G4wEGGkZwyTDt1v</v>
      </c>
      <c r="D4" s="30">
        <f>FiMsData!$B8</f>
        <v>69230.25693</v>
      </c>
      <c r="E4" s="31">
        <f>MAXIFS(PriceCache!$B:$B,PriceCache!$A:$A,"*("&amp;$B4&amp;")*")</f>
        <v>0.9592786225</v>
      </c>
      <c r="F4" s="13">
        <f>$G4/MAXIFS(PriceCache!$B:$B,PriceCache!$A:$A,"*("&amp;$A4&amp;")*")</f>
        <v>59439.47728</v>
      </c>
      <c r="G4" s="29">
        <f t="shared" si="1"/>
        <v>66411.1055</v>
      </c>
      <c r="H4" s="14">
        <v>0.0</v>
      </c>
      <c r="I4" s="12">
        <f>IFERROR(__xludf.DUMMYFUNCTION("""COMPUTED_VALUE"""),0.0)</f>
        <v>0</v>
      </c>
      <c r="J4" s="12">
        <f>IFERROR(__xludf.DUMMYFUNCTION("""COMPUTED_VALUE"""),0.0)</f>
        <v>0</v>
      </c>
      <c r="K4" s="14">
        <f t="shared" si="2"/>
        <v>0</v>
      </c>
    </row>
    <row r="5">
      <c r="A5" s="26" t="s">
        <v>29</v>
      </c>
      <c r="B5" s="26" t="s">
        <v>30</v>
      </c>
      <c r="C5" s="27" t="str">
        <f t="array" ref="C5">INDEX(Token!$C:$C,MATCH($B5,Token!$A:$A,))</f>
        <v>27G8MtK7VtTcCHkpASjSDdkWWYfoqT6ggEuKidVJidD4</v>
      </c>
      <c r="D5" s="30">
        <f>FiMsData!$B$9-FiMsData!$B$6/(PriceCache!$B$2*$E5)+FiMsData!$B$3</f>
        <v>231990.5136</v>
      </c>
      <c r="E5" s="31">
        <f>MAXIFS(PriceCache!$B:$B,PriceCache!$A:$A,"*("&amp;$B5&amp;")*")</f>
        <v>3.987529378</v>
      </c>
      <c r="F5" s="13">
        <f>$G5/MAXIFS(PriceCache!$B:$B,PriceCache!$A:$A,"*("&amp;$A5&amp;")*")</f>
        <v>231990.5136</v>
      </c>
      <c r="G5" s="29">
        <f t="shared" si="1"/>
        <v>925068.9884</v>
      </c>
      <c r="H5" s="14">
        <v>0.0</v>
      </c>
      <c r="I5" s="14">
        <f>IFERROR(__xludf.DUMMYFUNCTION("""COMPUTED_VALUE"""),0.0)</f>
        <v>0</v>
      </c>
      <c r="J5" s="14">
        <f>IFERROR(__xludf.DUMMYFUNCTION("""COMPUTED_VALUE"""),0.0)</f>
        <v>0</v>
      </c>
      <c r="K5" s="14">
        <f t="shared" si="2"/>
        <v>0</v>
      </c>
    </row>
    <row r="6">
      <c r="A6" s="26" t="s">
        <v>31</v>
      </c>
      <c r="B6" s="26" t="s">
        <v>31</v>
      </c>
      <c r="C6" s="27" t="str">
        <f t="array" ref="C6">INDEX(Token!$C:$C,MATCH($B6,Token!$A:$A,))</f>
        <v>JUPyiwrYJFskUPiHa7hkeR8VUtAeFoSYbKedZNsDvCN</v>
      </c>
      <c r="D6" s="30">
        <f>159864.232818</f>
        <v>159864.2328</v>
      </c>
      <c r="E6" s="31">
        <f>MAXIFS(PriceCache!$B:$B,PriceCache!$A:$A,"*("&amp;$B6&amp;")*")</f>
        <v>0.7780037412</v>
      </c>
      <c r="F6" s="13">
        <f>$G6/MAXIFS(PriceCache!$B:$B,PriceCache!$A:$A,"*("&amp;$A6&amp;")*")</f>
        <v>159864.2328</v>
      </c>
      <c r="G6" s="29">
        <f t="shared" si="1"/>
        <v>124374.9712</v>
      </c>
      <c r="H6" s="14">
        <v>0.0</v>
      </c>
      <c r="I6" s="14">
        <f>IFERROR(__xludf.DUMMYFUNCTION("""COMPUTED_VALUE"""),0.0)</f>
        <v>0</v>
      </c>
      <c r="J6" s="14">
        <f>IFERROR(__xludf.DUMMYFUNCTION("""COMPUTED_VALUE"""),0.0)</f>
        <v>0</v>
      </c>
      <c r="K6" s="14">
        <f t="shared" si="2"/>
        <v>0</v>
      </c>
    </row>
    <row r="7">
      <c r="A7" s="26" t="s">
        <v>27</v>
      </c>
      <c r="B7" s="26" t="s">
        <v>32</v>
      </c>
      <c r="C7" s="27" t="str">
        <f t="array" ref="C7">INDEX(Token!$C:$C,MATCH($B7,Token!$A:$A,))</f>
        <v>USDSwr9ApdHk5bvJKMjzff41FfuX8bSxdKcR81vTwcA</v>
      </c>
      <c r="D7" s="32">
        <f>FiMsData!B11</f>
        <v>0</v>
      </c>
      <c r="E7" s="31">
        <f>MAXIFS(PriceCache!$B:$B,PriceCache!$A:$A,"*("&amp;$B7&amp;")*")</f>
        <v>0.9592786225</v>
      </c>
      <c r="F7" s="13">
        <f>$G7/MAXIFS(PriceCache!$B:$B,PriceCache!$A:$A,"*("&amp;$A7&amp;")*")</f>
        <v>0</v>
      </c>
      <c r="G7" s="29">
        <f t="shared" si="1"/>
        <v>0</v>
      </c>
      <c r="H7" s="14">
        <v>0.0</v>
      </c>
      <c r="I7" s="14">
        <f>IFERROR(__xludf.DUMMYFUNCTION("""COMPUTED_VALUE"""),0.0)</f>
        <v>0</v>
      </c>
      <c r="J7" s="14">
        <f>IFERROR(__xludf.DUMMYFUNCTION("""COMPUTED_VALUE"""),0.0)</f>
        <v>0</v>
      </c>
      <c r="K7" s="14">
        <f t="shared" si="2"/>
        <v>0</v>
      </c>
    </row>
    <row r="8">
      <c r="A8" s="26" t="s">
        <v>33</v>
      </c>
      <c r="B8" s="26" t="s">
        <v>33</v>
      </c>
      <c r="C8" s="27" t="str">
        <f t="array" ref="C8">INDEX(Token!$C:$C,MATCH($B8,Token!$A:$A,))</f>
        <v>cbbtcf3aa214zXHbiAZQwf4122FBYbraNdFqgw4iMij</v>
      </c>
      <c r="D8" s="33">
        <v>0.0</v>
      </c>
      <c r="E8" s="28">
        <f>MAXIFS(PriceCache!$B:$B,PriceCache!$A:$A,"*("&amp;$B8&amp;")*")</f>
        <v>90459.00907</v>
      </c>
      <c r="F8" s="13">
        <f>$G8/MAXIFS(PriceCache!$B:$B,PriceCache!$A:$A,"*("&amp;$A8&amp;")*")</f>
        <v>0</v>
      </c>
      <c r="G8" s="29">
        <f t="shared" si="1"/>
        <v>0</v>
      </c>
      <c r="H8" s="14">
        <v>0.0</v>
      </c>
      <c r="I8" s="14">
        <f>IFERROR(__xludf.DUMMYFUNCTION("""COMPUTED_VALUE"""),0.0)</f>
        <v>0</v>
      </c>
      <c r="J8" s="14">
        <f>IFERROR(__xludf.DUMMYFUNCTION("""COMPUTED_VALUE"""),0.0)</f>
        <v>0</v>
      </c>
      <c r="K8" s="14">
        <f t="shared" si="2"/>
        <v>0</v>
      </c>
    </row>
    <row r="9">
      <c r="A9" s="26" t="s">
        <v>34</v>
      </c>
      <c r="B9" s="26" t="s">
        <v>34</v>
      </c>
      <c r="C9" s="27" t="str">
        <f t="array" ref="C9">INDEX(Token!$C:$C,MATCH($B9,Token!$A:$A,))</f>
        <v>0xb62132e35a6c13ee1ee0f84dc5d40bad8d815206</v>
      </c>
      <c r="D9" s="34">
        <v>0.0</v>
      </c>
      <c r="E9" s="31">
        <f>MAXIFS(PriceCache!$B:$B,PriceCache!$A:$A,"*("&amp;$B9&amp;")*")</f>
        <v>1.281488839</v>
      </c>
      <c r="F9" s="13">
        <f>$G9/MAXIFS(PriceCache!$B:$B,PriceCache!$A:$A,"*("&amp;$A9&amp;")*")</f>
        <v>0</v>
      </c>
      <c r="G9" s="29">
        <f t="shared" si="1"/>
        <v>0</v>
      </c>
      <c r="H9" s="14">
        <v>0.0</v>
      </c>
      <c r="I9" s="12">
        <f>IFERROR(__xludf.DUMMYFUNCTION("""COMPUTED_VALUE"""),0.0)</f>
        <v>0</v>
      </c>
      <c r="J9" s="12">
        <f>IFERROR(__xludf.DUMMYFUNCTION("""COMPUTED_VALUE"""),0.0)</f>
        <v>0</v>
      </c>
      <c r="K9" s="14">
        <f t="shared" si="2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5" t="s">
        <v>35</v>
      </c>
      <c r="B1" s="36" t="s">
        <v>36</v>
      </c>
      <c r="C1" s="37" t="s">
        <v>37</v>
      </c>
      <c r="D1" s="37" t="s">
        <v>38</v>
      </c>
      <c r="E1" s="38" t="s">
        <v>39</v>
      </c>
      <c r="F1" s="39" t="s">
        <v>37</v>
      </c>
      <c r="G1" s="40" t="s">
        <v>38</v>
      </c>
      <c r="H1" s="41" t="s">
        <v>40</v>
      </c>
      <c r="I1" s="42" t="s">
        <v>41</v>
      </c>
      <c r="J1" s="42" t="s">
        <v>42</v>
      </c>
      <c r="K1" s="41" t="s">
        <v>43</v>
      </c>
      <c r="L1" s="42" t="s">
        <v>41</v>
      </c>
      <c r="M1" s="42" t="s">
        <v>42</v>
      </c>
      <c r="N1" s="43" t="s">
        <v>44</v>
      </c>
      <c r="O1" s="44" t="s">
        <v>45</v>
      </c>
      <c r="P1" s="45" t="s">
        <v>12</v>
      </c>
      <c r="Q1" s="44" t="s">
        <v>46</v>
      </c>
      <c r="R1" s="44" t="s">
        <v>47</v>
      </c>
      <c r="S1" s="44" t="s">
        <v>42</v>
      </c>
      <c r="T1" s="45" t="s">
        <v>48</v>
      </c>
      <c r="U1" s="45" t="s">
        <v>49</v>
      </c>
      <c r="V1" s="45" t="s">
        <v>13</v>
      </c>
    </row>
    <row r="2">
      <c r="A2" s="46">
        <f>NOW()-TIME(1,0,0)</f>
        <v>45653.96373</v>
      </c>
      <c r="B2" s="47">
        <f t="array" ref="B2">INDEX($U:$U,ROW())/INDEX($T:$T,ROW())*INDEX($B:$B,ROWS($B:$B))</f>
        <v>18.54672054</v>
      </c>
      <c r="C2" s="7">
        <f t="array" ref="C2">INDEX(D:D,ROW())-INDEX(D:D,ROW()+1)</f>
        <v>0</v>
      </c>
      <c r="D2" s="48">
        <f t="array" ref="D2">-1+INDEX(B:B,ROW())/INDEX(B:B,ROWS(B:B))</f>
        <v>2.341751448</v>
      </c>
      <c r="E2" s="49">
        <f>IF(ROW()=2,Dashboard!$C$15,)</f>
        <v>177.057221</v>
      </c>
      <c r="F2" s="7">
        <f t="array" ref="F2">INDEX(G:G,ROW())-INDEX(G:G,ROW()+1)</f>
        <v>0</v>
      </c>
      <c r="G2" s="48">
        <f t="array" ref="G2">-1+INDEX(E:E,ROW())/INDEX(P:P,ROW())</f>
        <v>2.039419904</v>
      </c>
      <c r="H2" s="50">
        <f>SUMIFS(Dashboard!$C:$C,Dashboard!$A:$A,"*FLIP)")</f>
        <v>849214.7001</v>
      </c>
      <c r="I2" s="7">
        <f>$C2*J2</f>
        <v>0</v>
      </c>
      <c r="J2" s="7">
        <f>IF($H2+$K2&lt;&gt;0,H2/($H2+$K2),0)</f>
        <v>0.8585755626</v>
      </c>
      <c r="K2" s="50">
        <f>IF(ROW()=2,SUMIFS(Dashboard!$C:$C,Dashboard!$A:$A,"TOTAL"),$Q2*$E2)-$H2</f>
        <v>139882.5176</v>
      </c>
      <c r="L2" s="7">
        <f>$C2*M2</f>
        <v>0</v>
      </c>
      <c r="M2" s="7">
        <f>IF($H2+$K2&lt;&gt;0,K2/($H2+$K2),0)</f>
        <v>0.1414244374</v>
      </c>
      <c r="N2" s="51">
        <f t="shared" ref="N2:O2" si="1">C2-F2</f>
        <v>0</v>
      </c>
      <c r="O2" s="7">
        <f t="shared" si="1"/>
        <v>0.3023315439</v>
      </c>
      <c r="P2" s="52">
        <f>SUMIFS(OFFSET(Transfer!$D:$D,2,0),OFFSET(Transfer!$A:$A,2,0),"&lt;="&amp;$A2,OFFSET(Transfer!$E:$E,2,0),"true")/SUMIFS(OFFSET(Transfer!$F:$F,2,0),OFFSET(Transfer!$A:$A,2,0),"&lt;="&amp;$A2,OFFSET(Transfer!$E:$E,2,0),"true")</f>
        <v>58.25362291</v>
      </c>
      <c r="Q2" s="53">
        <f>$U2/$E2</f>
        <v>5586.313917</v>
      </c>
      <c r="R2" s="13">
        <f>SUMIFS(OFFSET(Transfer!$B:$B,2,0),OFFSET(Transfer!$A:$A,2,0),"&lt;="&amp;$A2,OFFSET(Transfer!$E:$E,2,0),"true")/(SUMIFS(OFFSET(Transfer!$D:$D,2,0),OFFSET(Transfer!$A:$A,2,0),"&lt;="&amp;$A2,OFFSET(Transfer!$E:$E,2,0),"true")/SUMIFS(OFFSET(Transfer!$F:$F,2,0),OFFSET(Transfer!$A:$A,2,0),"&lt;="&amp;$A2,OFFSET(Transfer!$E:$E,2,0),"true"))</f>
        <v>5080.914597</v>
      </c>
      <c r="S2" s="7">
        <f>(Q2-R2)/R2</f>
        <v>0.09947014673</v>
      </c>
      <c r="T2" s="52">
        <f>SUMIFS(OFFSET(Transfer!$B:$B,2,0),OFFSET(Transfer!$A:$A,2,0),"&lt;="&amp;$A2,OFFSET(Transfer!$E:$E,2,0),"true")</f>
        <v>295981.6829</v>
      </c>
      <c r="U2" s="52">
        <f>$K2+$H2</f>
        <v>989097.2176</v>
      </c>
      <c r="V2" s="52">
        <f>$U2-$T2</f>
        <v>693115.5347</v>
      </c>
    </row>
    <row r="3">
      <c r="A3" s="54">
        <v>45653.95997619213</v>
      </c>
      <c r="B3" s="55">
        <v>18.546720537772675</v>
      </c>
      <c r="C3" s="56">
        <v>-0.06459839023393865</v>
      </c>
      <c r="D3" s="57">
        <v>2.341751448247329</v>
      </c>
      <c r="E3" s="49">
        <v>177.05722096983067</v>
      </c>
      <c r="F3" s="56">
        <v>-0.0720664932500128</v>
      </c>
      <c r="G3" s="57">
        <v>2.0394199043749377</v>
      </c>
      <c r="H3" s="50">
        <v>849214.7000531225</v>
      </c>
      <c r="I3" s="56">
        <v>-0.05546259923630843</v>
      </c>
      <c r="J3" s="56">
        <v>0.8585755625713648</v>
      </c>
      <c r="K3" s="50">
        <v>139882.51756368543</v>
      </c>
      <c r="L3" s="56">
        <v>-0.009135790997630216</v>
      </c>
      <c r="M3" s="56">
        <v>0.1414244374286352</v>
      </c>
      <c r="N3" s="58">
        <v>0.007468103016074146</v>
      </c>
      <c r="O3" s="56">
        <v>0.30233154387239125</v>
      </c>
      <c r="P3" s="50">
        <v>58.25362290842891</v>
      </c>
      <c r="Q3" s="34">
        <v>5586.313917043481</v>
      </c>
      <c r="R3" s="30">
        <v>5080.914596581936</v>
      </c>
      <c r="S3" s="56">
        <v>0.09947014673333414</v>
      </c>
      <c r="T3" s="50">
        <v>295981.6829392163</v>
      </c>
      <c r="U3" s="50">
        <v>989097.2176168079</v>
      </c>
      <c r="V3" s="50">
        <v>693115.5346775916</v>
      </c>
    </row>
    <row r="4">
      <c r="A4" s="54">
        <v>45652.95999065972</v>
      </c>
      <c r="B4" s="55">
        <v>18.905241603571035</v>
      </c>
      <c r="C4" s="56">
        <v>-0.13399528212882794</v>
      </c>
      <c r="D4" s="57">
        <v>2.4063498384812676</v>
      </c>
      <c r="E4" s="49">
        <v>181.25535529194977</v>
      </c>
      <c r="F4" s="56">
        <v>-0.12266744905768778</v>
      </c>
      <c r="G4" s="57">
        <v>2.1114863976249505</v>
      </c>
      <c r="H4" s="50">
        <v>863827.5313702739</v>
      </c>
      <c r="I4" s="56">
        <v>-0.11480543935668834</v>
      </c>
      <c r="J4" s="56">
        <v>0.8567871758821345</v>
      </c>
      <c r="K4" s="50">
        <v>144389.62650313939</v>
      </c>
      <c r="L4" s="56">
        <v>-0.019189842772139604</v>
      </c>
      <c r="M4" s="56">
        <v>0.1432128241178655</v>
      </c>
      <c r="N4" s="58">
        <v>-0.011327833071140159</v>
      </c>
      <c r="O4" s="56">
        <v>0.2948634408563171</v>
      </c>
      <c r="P4" s="50">
        <v>58.25362290842891</v>
      </c>
      <c r="Q4" s="34">
        <v>5562.4130732549565</v>
      </c>
      <c r="R4" s="30">
        <v>5080.914596581936</v>
      </c>
      <c r="S4" s="56">
        <v>0.09476610313366357</v>
      </c>
      <c r="T4" s="50">
        <v>295981.6829392163</v>
      </c>
      <c r="U4" s="50">
        <v>1008217.1578734133</v>
      </c>
      <c r="V4" s="50">
        <v>712235.474934197</v>
      </c>
    </row>
    <row r="5">
      <c r="A5" s="54">
        <v>45651.95997172454</v>
      </c>
      <c r="B5" s="55">
        <v>19.64891541938603</v>
      </c>
      <c r="C5" s="56">
        <v>-0.009718318406123139</v>
      </c>
      <c r="D5" s="57">
        <v>2.5403451206100955</v>
      </c>
      <c r="E5" s="49">
        <v>188.40117861249522</v>
      </c>
      <c r="F5" s="56">
        <v>-0.017237288029464892</v>
      </c>
      <c r="G5" s="57">
        <v>2.2341538466826383</v>
      </c>
      <c r="H5" s="50">
        <v>894675.526239413</v>
      </c>
      <c r="I5" s="56">
        <v>-0.008297480607903512</v>
      </c>
      <c r="J5" s="56">
        <v>0.8537979783288011</v>
      </c>
      <c r="K5" s="50">
        <v>153201.7807444058</v>
      </c>
      <c r="L5" s="56">
        <v>-0.0014208377982196261</v>
      </c>
      <c r="M5" s="56">
        <v>0.1462020216711989</v>
      </c>
      <c r="N5" s="58">
        <v>0.0075189696233417536</v>
      </c>
      <c r="O5" s="56">
        <v>0.30619127392745726</v>
      </c>
      <c r="P5" s="50">
        <v>58.25362290842891</v>
      </c>
      <c r="Q5" s="34">
        <v>5561.946664564662</v>
      </c>
      <c r="R5" s="30">
        <v>5080.914596581936</v>
      </c>
      <c r="S5" s="56">
        <v>0.09467430692622315</v>
      </c>
      <c r="T5" s="50">
        <v>295981.6829392163</v>
      </c>
      <c r="U5" s="50">
        <v>1047877.3069838188</v>
      </c>
      <c r="V5" s="50">
        <v>751895.6240446025</v>
      </c>
    </row>
    <row r="6">
      <c r="A6" s="54">
        <v>45650.95997809028</v>
      </c>
      <c r="B6" s="55">
        <v>19.702852086540013</v>
      </c>
      <c r="C6" s="56">
        <v>0.09822059500170655</v>
      </c>
      <c r="D6" s="57">
        <v>2.5500634390162187</v>
      </c>
      <c r="E6" s="49">
        <v>189.40531308932765</v>
      </c>
      <c r="F6" s="56">
        <v>0.08016181129170041</v>
      </c>
      <c r="G6" s="57">
        <v>2.251391134712103</v>
      </c>
      <c r="H6" s="50">
        <v>896697.6265634062</v>
      </c>
      <c r="I6" s="56">
        <v>0.08381999523230958</v>
      </c>
      <c r="J6" s="56">
        <v>0.8533851299806648</v>
      </c>
      <c r="K6" s="50">
        <v>154056.1246575961</v>
      </c>
      <c r="L6" s="56">
        <v>0.014400599769396968</v>
      </c>
      <c r="M6" s="56">
        <v>0.14661487001933518</v>
      </c>
      <c r="N6" s="58">
        <v>0.018058783710006132</v>
      </c>
      <c r="O6" s="56">
        <v>0.2986723043041155</v>
      </c>
      <c r="P6" s="50">
        <v>58.25362290842891</v>
      </c>
      <c r="Q6" s="34">
        <v>5547.646653003045</v>
      </c>
      <c r="R6" s="30">
        <v>5080.914596581936</v>
      </c>
      <c r="S6" s="56">
        <v>0.09185985073141978</v>
      </c>
      <c r="T6" s="50">
        <v>295981.6829392163</v>
      </c>
      <c r="U6" s="50">
        <v>1050753.7512210023</v>
      </c>
      <c r="V6" s="50">
        <v>754772.068281786</v>
      </c>
    </row>
    <row r="7">
      <c r="A7" s="54">
        <v>45649.959970138894</v>
      </c>
      <c r="B7" s="55">
        <v>19.157727784280542</v>
      </c>
      <c r="C7" s="56">
        <v>0.1657959810257119</v>
      </c>
      <c r="D7" s="57">
        <v>2.451842844014512</v>
      </c>
      <c r="E7" s="49">
        <v>184.7355971626843</v>
      </c>
      <c r="F7" s="56">
        <v>0.18934917386235917</v>
      </c>
      <c r="G7" s="57">
        <v>2.1712293234204028</v>
      </c>
      <c r="H7" s="50">
        <v>871523.8487248381</v>
      </c>
      <c r="I7" s="56">
        <v>0.14142865934177162</v>
      </c>
      <c r="J7" s="56">
        <v>0.8530282728616844</v>
      </c>
      <c r="K7" s="50">
        <v>150158.4054882679</v>
      </c>
      <c r="L7" s="56">
        <v>0.024367321683940298</v>
      </c>
      <c r="M7" s="56">
        <v>0.1469717271383157</v>
      </c>
      <c r="N7" s="58">
        <v>-0.023553192836647252</v>
      </c>
      <c r="O7" s="56">
        <v>0.2806135205941094</v>
      </c>
      <c r="P7" s="50">
        <v>58.25362290842891</v>
      </c>
      <c r="Q7" s="34">
        <v>5530.511010898343</v>
      </c>
      <c r="R7" s="30">
        <v>5080.914596581936</v>
      </c>
      <c r="S7" s="56">
        <v>0.08848730002642866</v>
      </c>
      <c r="T7" s="50">
        <v>295981.6829392163</v>
      </c>
      <c r="U7" s="50">
        <v>1021682.254213106</v>
      </c>
      <c r="V7" s="50">
        <v>725700.5712738896</v>
      </c>
    </row>
    <row r="8">
      <c r="A8" s="54">
        <v>45648.95996045139</v>
      </c>
      <c r="B8" s="55">
        <v>18.23756008958784</v>
      </c>
      <c r="C8" s="56">
        <v>-0.025043171635156902</v>
      </c>
      <c r="D8" s="57">
        <v>2.2860468629888</v>
      </c>
      <c r="E8" s="49">
        <v>173.70532179048388</v>
      </c>
      <c r="F8" s="56">
        <v>0.001580103584378545</v>
      </c>
      <c r="G8" s="57">
        <v>1.9818801495580436</v>
      </c>
      <c r="H8" s="50">
        <v>831902.4074452857</v>
      </c>
      <c r="I8" s="56">
        <v>-0.021420180352135058</v>
      </c>
      <c r="J8" s="56">
        <v>0.8553301739969829</v>
      </c>
      <c r="K8" s="50">
        <v>140707.2732792718</v>
      </c>
      <c r="L8" s="56">
        <v>-0.0036229912830218433</v>
      </c>
      <c r="M8" s="56">
        <v>0.14466982600301714</v>
      </c>
      <c r="N8" s="58">
        <v>-0.026623275219535447</v>
      </c>
      <c r="O8" s="56">
        <v>0.30416671343075663</v>
      </c>
      <c r="P8" s="50">
        <v>58.25362290842891</v>
      </c>
      <c r="Q8" s="34">
        <v>5599.193339037009</v>
      </c>
      <c r="R8" s="30">
        <v>5080.914596581936</v>
      </c>
      <c r="S8" s="56">
        <v>0.10200500964998153</v>
      </c>
      <c r="T8" s="50">
        <v>295981.6829392163</v>
      </c>
      <c r="U8" s="50">
        <v>972609.6807245575</v>
      </c>
      <c r="V8" s="50">
        <v>676627.9977853412</v>
      </c>
    </row>
    <row r="9">
      <c r="A9" s="54">
        <v>45647.959963773144</v>
      </c>
      <c r="B9" s="55">
        <v>18.37654969216296</v>
      </c>
      <c r="C9" s="56">
        <v>-0.1594574172367924</v>
      </c>
      <c r="D9" s="57">
        <v>2.311090034623957</v>
      </c>
      <c r="E9" s="49">
        <v>173.61327503212323</v>
      </c>
      <c r="F9" s="56">
        <v>-0.18629218394072744</v>
      </c>
      <c r="G9" s="57">
        <v>1.980300045973665</v>
      </c>
      <c r="H9" s="50">
        <v>839026.3713552937</v>
      </c>
      <c r="I9" s="56">
        <v>-0.13651630071480217</v>
      </c>
      <c r="J9" s="56">
        <v>0.8561301385690767</v>
      </c>
      <c r="K9" s="50">
        <v>140995.62945597316</v>
      </c>
      <c r="L9" s="56">
        <v>-0.022941116521990247</v>
      </c>
      <c r="M9" s="56">
        <v>0.1438698614309233</v>
      </c>
      <c r="N9" s="58">
        <v>0.02683476670393503</v>
      </c>
      <c r="O9" s="56">
        <v>0.3307899886502921</v>
      </c>
      <c r="P9" s="50">
        <v>58.25362290842891</v>
      </c>
      <c r="Q9" s="34">
        <v>5644.8563661386825</v>
      </c>
      <c r="R9" s="30">
        <v>5080.914596581936</v>
      </c>
      <c r="S9" s="56">
        <v>0.11099217647470883</v>
      </c>
      <c r="T9" s="50">
        <v>295981.6829392163</v>
      </c>
      <c r="U9" s="50">
        <v>980022.0008112668</v>
      </c>
      <c r="V9" s="50">
        <v>684040.3178720505</v>
      </c>
    </row>
    <row r="10">
      <c r="A10" s="54">
        <v>45646.95998299769</v>
      </c>
      <c r="B10" s="55">
        <v>19.26153835782716</v>
      </c>
      <c r="C10" s="56">
        <v>0.02130439773129833</v>
      </c>
      <c r="D10" s="57">
        <v>2.4705474518607495</v>
      </c>
      <c r="E10" s="49">
        <v>184.46546966619402</v>
      </c>
      <c r="F10" s="56">
        <v>-0.0840437483879688</v>
      </c>
      <c r="G10" s="57">
        <v>2.1665922299143925</v>
      </c>
      <c r="H10" s="50">
        <v>872851.3410051632</v>
      </c>
      <c r="I10" s="56">
        <v>0.01810284041047708</v>
      </c>
      <c r="J10" s="56">
        <v>0.8497231716568154</v>
      </c>
      <c r="K10" s="50">
        <v>154367.1345169904</v>
      </c>
      <c r="L10" s="56">
        <v>0.00320155732082125</v>
      </c>
      <c r="M10" s="56">
        <v>0.15027682834318457</v>
      </c>
      <c r="N10" s="58">
        <v>0.10534814611926713</v>
      </c>
      <c r="O10" s="56">
        <v>0.30395522194635705</v>
      </c>
      <c r="P10" s="50">
        <v>58.25362290842891</v>
      </c>
      <c r="Q10" s="34">
        <v>5568.622015713797</v>
      </c>
      <c r="R10" s="30">
        <v>5080.914596581936</v>
      </c>
      <c r="S10" s="56">
        <v>0.09598811589156687</v>
      </c>
      <c r="T10" s="50">
        <v>295981.6829392163</v>
      </c>
      <c r="U10" s="50">
        <v>1027218.4755221535</v>
      </c>
      <c r="V10" s="50">
        <v>731236.7925829373</v>
      </c>
    </row>
    <row r="11">
      <c r="A11" s="54">
        <v>45645.9599734375</v>
      </c>
      <c r="B11" s="55">
        <v>19.143298950418455</v>
      </c>
      <c r="C11" s="56">
        <v>-0.03228257443692417</v>
      </c>
      <c r="D11" s="57">
        <v>2.449243054129451</v>
      </c>
      <c r="E11" s="49">
        <v>189.36132249259765</v>
      </c>
      <c r="F11" s="56">
        <v>-0.1295070753814449</v>
      </c>
      <c r="G11" s="57">
        <v>2.2506359783023613</v>
      </c>
      <c r="H11" s="50">
        <v>871971.7040129036</v>
      </c>
      <c r="I11" s="56">
        <v>-0.027572866589143877</v>
      </c>
      <c r="J11" s="56">
        <v>0.8541099051135952</v>
      </c>
      <c r="K11" s="50">
        <v>148941.0600147338</v>
      </c>
      <c r="L11" s="56">
        <v>-0.004709707847780293</v>
      </c>
      <c r="M11" s="56">
        <v>0.14589009488640478</v>
      </c>
      <c r="N11" s="58">
        <v>0.09722450094452073</v>
      </c>
      <c r="O11" s="56">
        <v>0.19860707582708992</v>
      </c>
      <c r="P11" s="50">
        <v>58.25362290842891</v>
      </c>
      <c r="Q11" s="34">
        <v>5391.347877112265</v>
      </c>
      <c r="R11" s="30">
        <v>5080.914596581936</v>
      </c>
      <c r="S11" s="56">
        <v>0.06109791350147193</v>
      </c>
      <c r="T11" s="50">
        <v>295981.6829392163</v>
      </c>
      <c r="U11" s="50">
        <v>1020912.7640276374</v>
      </c>
      <c r="V11" s="50">
        <v>724931.0810884212</v>
      </c>
    </row>
    <row r="12">
      <c r="A12" s="54">
        <v>45644.95997285879</v>
      </c>
      <c r="B12" s="55">
        <v>19.322467238543382</v>
      </c>
      <c r="C12" s="56">
        <v>-0.1703875103449315</v>
      </c>
      <c r="D12" s="57">
        <v>2.4815256285663754</v>
      </c>
      <c r="E12" s="49">
        <v>196.90557882584181</v>
      </c>
      <c r="F12" s="56">
        <v>-0.2819677225861441</v>
      </c>
      <c r="G12" s="57">
        <v>2.380143053683806</v>
      </c>
      <c r="H12" s="50">
        <v>872634.0640077847</v>
      </c>
      <c r="I12" s="56">
        <v>-0.14428975217058365</v>
      </c>
      <c r="J12" s="56">
        <v>0.8468329156197207</v>
      </c>
      <c r="K12" s="50">
        <v>157833.75073130394</v>
      </c>
      <c r="L12" s="56">
        <v>-0.026097758174347823</v>
      </c>
      <c r="M12" s="56">
        <v>0.15316708438027923</v>
      </c>
      <c r="N12" s="58">
        <v>0.11158021224121262</v>
      </c>
      <c r="O12" s="56">
        <v>0.10138257488256919</v>
      </c>
      <c r="P12" s="50">
        <v>58.25362290842891</v>
      </c>
      <c r="Q12" s="34">
        <v>5233.309390642062</v>
      </c>
      <c r="R12" s="30">
        <v>5080.914596581936</v>
      </c>
      <c r="S12" s="56">
        <v>0.029993575204481013</v>
      </c>
      <c r="T12" s="50">
        <v>295981.6829392163</v>
      </c>
      <c r="U12" s="50">
        <v>1030467.8147390886</v>
      </c>
      <c r="V12" s="50">
        <v>734486.1317998723</v>
      </c>
    </row>
    <row r="13">
      <c r="A13" s="54">
        <v>45643.96002400463</v>
      </c>
      <c r="B13" s="55">
        <v>20.268117920957753</v>
      </c>
      <c r="C13" s="56">
        <v>-0.01484228080122696</v>
      </c>
      <c r="D13" s="57">
        <v>2.651913138911307</v>
      </c>
      <c r="E13" s="49">
        <v>213.33122020972354</v>
      </c>
      <c r="F13" s="56">
        <v>0.1022515948923064</v>
      </c>
      <c r="G13" s="57">
        <v>2.6621107762699503</v>
      </c>
      <c r="H13" s="50">
        <v>904470.9435749277</v>
      </c>
      <c r="I13" s="56">
        <v>-0.012419668066054886</v>
      </c>
      <c r="J13" s="56">
        <v>0.8367762497141407</v>
      </c>
      <c r="K13" s="50">
        <v>176428.45322787692</v>
      </c>
      <c r="L13" s="56">
        <v>-0.0024226127351720727</v>
      </c>
      <c r="M13" s="56">
        <v>0.16322375028585928</v>
      </c>
      <c r="N13" s="58">
        <v>-0.11709387569353336</v>
      </c>
      <c r="O13" s="56">
        <v>-0.01019763735864343</v>
      </c>
      <c r="P13" s="50">
        <v>58.25362290842891</v>
      </c>
      <c r="Q13" s="34">
        <v>5066.766110183894</v>
      </c>
      <c r="R13" s="30">
        <v>5080.914596581936</v>
      </c>
      <c r="S13" s="56">
        <v>-0.0027846337758875694</v>
      </c>
      <c r="T13" s="50">
        <v>295981.6829392163</v>
      </c>
      <c r="U13" s="50">
        <v>1080899.3968028047</v>
      </c>
      <c r="V13" s="50">
        <v>784917.7138635884</v>
      </c>
    </row>
    <row r="14">
      <c r="A14" s="54">
        <v>45642.959975868056</v>
      </c>
      <c r="B14" s="55">
        <v>20.350492579404563</v>
      </c>
      <c r="C14" s="56">
        <v>0.09698006987807073</v>
      </c>
      <c r="D14" s="57">
        <v>2.666755419712534</v>
      </c>
      <c r="E14" s="49">
        <v>207.3746943590817</v>
      </c>
      <c r="F14" s="56">
        <v>-0.03478900224514847</v>
      </c>
      <c r="G14" s="57">
        <v>2.559859181377644</v>
      </c>
      <c r="H14" s="50">
        <v>902242.1524473159</v>
      </c>
      <c r="I14" s="56">
        <v>0.08062297659330231</v>
      </c>
      <c r="J14" s="56">
        <v>0.8313355176446712</v>
      </c>
      <c r="K14" s="50">
        <v>183050.2876056924</v>
      </c>
      <c r="L14" s="56">
        <v>0.01635709328476842</v>
      </c>
      <c r="M14" s="56">
        <v>0.16866448235532885</v>
      </c>
      <c r="N14" s="58">
        <v>0.1317690721232192</v>
      </c>
      <c r="O14" s="56">
        <v>0.10689623833488993</v>
      </c>
      <c r="P14" s="50">
        <v>58.25362290842891</v>
      </c>
      <c r="Q14" s="34">
        <v>5233.485423123804</v>
      </c>
      <c r="R14" s="30">
        <v>5080.914596581936</v>
      </c>
      <c r="S14" s="56">
        <v>0.03002822103022679</v>
      </c>
      <c r="T14" s="50">
        <v>295981.6829392163</v>
      </c>
      <c r="U14" s="50">
        <v>1085292.4400530083</v>
      </c>
      <c r="V14" s="50">
        <v>789310.757113792</v>
      </c>
    </row>
    <row r="15">
      <c r="A15" s="54">
        <v>45641.959987951384</v>
      </c>
      <c r="B15" s="55">
        <v>19.81225319158127</v>
      </c>
      <c r="C15" s="56">
        <v>0.023191004372361324</v>
      </c>
      <c r="D15" s="57">
        <v>2.569775349834463</v>
      </c>
      <c r="E15" s="49">
        <v>209.40127977723105</v>
      </c>
      <c r="F15" s="56">
        <v>0.03156149615556769</v>
      </c>
      <c r="G15" s="57">
        <v>2.5946481836227924</v>
      </c>
      <c r="H15" s="50">
        <v>872648.9174973124</v>
      </c>
      <c r="I15" s="56">
        <v>0.019153731297346772</v>
      </c>
      <c r="J15" s="56">
        <v>0.8259121075486445</v>
      </c>
      <c r="K15" s="50">
        <v>183939.19826162164</v>
      </c>
      <c r="L15" s="56">
        <v>0.004037273075014553</v>
      </c>
      <c r="M15" s="56">
        <v>0.17408789245135547</v>
      </c>
      <c r="N15" s="58">
        <v>-0.008370491783206369</v>
      </c>
      <c r="O15" s="56">
        <v>-0.024872833788329274</v>
      </c>
      <c r="P15" s="50">
        <v>58.25362290842891</v>
      </c>
      <c r="Q15" s="34">
        <v>5045.757680578515</v>
      </c>
      <c r="R15" s="30">
        <v>5080.914596581936</v>
      </c>
      <c r="S15" s="56">
        <v>-0.006919406995557926</v>
      </c>
      <c r="T15" s="50">
        <v>295981.6829392163</v>
      </c>
      <c r="U15" s="50">
        <v>1056588.115758934</v>
      </c>
      <c r="V15" s="50">
        <v>760606.4328197178</v>
      </c>
    </row>
    <row r="16">
      <c r="A16" s="54">
        <v>45640.95996975694</v>
      </c>
      <c r="B16" s="55">
        <v>19.683543117314663</v>
      </c>
      <c r="C16" s="56">
        <v>-0.05764015477878237</v>
      </c>
      <c r="D16" s="57">
        <v>2.5465843454621018</v>
      </c>
      <c r="E16" s="49">
        <v>207.5627082817588</v>
      </c>
      <c r="F16" s="56">
        <v>-0.0963652895641327</v>
      </c>
      <c r="G16" s="57">
        <v>2.5630866874672247</v>
      </c>
      <c r="H16" s="50">
        <v>866990.3071757625</v>
      </c>
      <c r="I16" s="56">
        <v>-0.0476062806435985</v>
      </c>
      <c r="J16" s="56">
        <v>0.8259221514291043</v>
      </c>
      <c r="K16" s="50">
        <v>182733.6960799892</v>
      </c>
      <c r="L16" s="56">
        <v>-0.01003387413518387</v>
      </c>
      <c r="M16" s="56">
        <v>0.17407784857089573</v>
      </c>
      <c r="N16" s="58">
        <v>0.038725134785350335</v>
      </c>
      <c r="O16" s="56">
        <v>-0.016502342005122905</v>
      </c>
      <c r="P16" s="50">
        <v>58.25362290842891</v>
      </c>
      <c r="Q16" s="34">
        <v>5057.382474653345</v>
      </c>
      <c r="R16" s="30">
        <v>5080.914596581936</v>
      </c>
      <c r="S16" s="56">
        <v>-0.004631473621781052</v>
      </c>
      <c r="T16" s="50">
        <v>295981.6829392163</v>
      </c>
      <c r="U16" s="50">
        <v>1049724.0032557517</v>
      </c>
      <c r="V16" s="50">
        <v>753742.3203165354</v>
      </c>
    </row>
    <row r="17">
      <c r="A17" s="54">
        <v>45639.959958611114</v>
      </c>
      <c r="B17" s="55">
        <v>20.003445976336906</v>
      </c>
      <c r="C17" s="56">
        <v>0.020885906977625268</v>
      </c>
      <c r="D17" s="57">
        <v>2.604224500240884</v>
      </c>
      <c r="E17" s="49">
        <v>213.17633552148934</v>
      </c>
      <c r="F17" s="56">
        <v>-0.08234276582848832</v>
      </c>
      <c r="G17" s="57">
        <v>2.6594519770313574</v>
      </c>
      <c r="H17" s="50">
        <v>878095.0972992376</v>
      </c>
      <c r="I17" s="56">
        <v>0.01719167616970995</v>
      </c>
      <c r="J17" s="56">
        <v>0.8231232758111541</v>
      </c>
      <c r="K17" s="50">
        <v>188689.33597281517</v>
      </c>
      <c r="L17" s="56">
        <v>0.0036942308079153164</v>
      </c>
      <c r="M17" s="56">
        <v>0.1768767241888459</v>
      </c>
      <c r="N17" s="58">
        <v>0.10322867280611359</v>
      </c>
      <c r="O17" s="56">
        <v>-0.05522747679047324</v>
      </c>
      <c r="P17" s="50">
        <v>58.25362290842891</v>
      </c>
      <c r="Q17" s="34">
        <v>5004.234783670513</v>
      </c>
      <c r="R17" s="30">
        <v>5080.914596581936</v>
      </c>
      <c r="S17" s="56">
        <v>-0.01509173426434045</v>
      </c>
      <c r="T17" s="50">
        <v>295981.6829392163</v>
      </c>
      <c r="U17" s="50">
        <v>1066784.4332720528</v>
      </c>
      <c r="V17" s="50">
        <v>770802.7503328365</v>
      </c>
    </row>
    <row r="18">
      <c r="A18" s="54">
        <v>45638.96000076389</v>
      </c>
      <c r="B18" s="47">
        <v>19.887529192611087</v>
      </c>
      <c r="C18" s="7">
        <v>0.006372758571032033</v>
      </c>
      <c r="D18" s="48">
        <v>2.583338593263259</v>
      </c>
      <c r="E18" s="49">
        <v>217.97309995129916</v>
      </c>
      <c r="F18" s="7">
        <v>0.00332876245399083</v>
      </c>
      <c r="G18" s="48">
        <v>2.7417947428598457</v>
      </c>
      <c r="H18" s="50">
        <v>881249.5615932933</v>
      </c>
      <c r="I18" s="7">
        <v>0.00529509428292171</v>
      </c>
      <c r="J18" s="7">
        <v>0.8308951647707247</v>
      </c>
      <c r="K18" s="50">
        <v>179353.02578180993</v>
      </c>
      <c r="L18" s="7">
        <v>0.001077664288110324</v>
      </c>
      <c r="M18" s="7">
        <v>0.16910483522927533</v>
      </c>
      <c r="N18" s="51">
        <v>0.0030439961170412033</v>
      </c>
      <c r="O18" s="7">
        <v>-0.15845614959658683</v>
      </c>
      <c r="P18" s="52">
        <v>58.25362290842891</v>
      </c>
      <c r="Q18" s="34">
        <v>4865.749891211665</v>
      </c>
      <c r="R18" s="13">
        <v>5080.914596581936</v>
      </c>
      <c r="S18" s="7">
        <v>-0.0423476327500206</v>
      </c>
      <c r="T18" s="52">
        <v>295981.6829392163</v>
      </c>
      <c r="U18" s="52">
        <v>1060602.5873751033</v>
      </c>
      <c r="V18" s="52">
        <v>764620.904435887</v>
      </c>
    </row>
    <row r="19">
      <c r="A19" s="54">
        <v>45637.95996280093</v>
      </c>
      <c r="B19" s="55">
        <v>19.852160382541857</v>
      </c>
      <c r="C19" s="56">
        <v>0.09427338698760535</v>
      </c>
      <c r="D19" s="57">
        <v>2.576965834692227</v>
      </c>
      <c r="E19" s="49">
        <v>217.77918747855264</v>
      </c>
      <c r="F19" s="56">
        <v>0.23093986775202247</v>
      </c>
      <c r="G19" s="57">
        <v>2.738465980405855</v>
      </c>
      <c r="H19" s="50">
        <v>881065.8585198108</v>
      </c>
      <c r="I19" s="56">
        <v>0.07845449941666997</v>
      </c>
      <c r="J19" s="56">
        <v>0.8322019811061294</v>
      </c>
      <c r="K19" s="50">
        <v>177650.50904847297</v>
      </c>
      <c r="L19" s="56">
        <v>0.01581888757093538</v>
      </c>
      <c r="M19" s="56">
        <v>0.16779801889387064</v>
      </c>
      <c r="N19" s="58">
        <v>-0.13666648076441712</v>
      </c>
      <c r="O19" s="56">
        <v>-0.16150014571362803</v>
      </c>
      <c r="P19" s="50">
        <v>58.25362290842891</v>
      </c>
      <c r="Q19" s="34">
        <v>4861.42123967906</v>
      </c>
      <c r="R19" s="30">
        <v>5080.914596581936</v>
      </c>
      <c r="S19" s="56">
        <v>-0.04319957612563202</v>
      </c>
      <c r="T19" s="50">
        <v>295981.6829392163</v>
      </c>
      <c r="U19" s="50">
        <v>1058716.3675682838</v>
      </c>
      <c r="V19" s="50">
        <v>762734.6846290675</v>
      </c>
    </row>
    <row r="20">
      <c r="A20" s="54">
        <v>45636.959972337965</v>
      </c>
      <c r="B20" s="55">
        <v>19.32894308476065</v>
      </c>
      <c r="C20" s="56">
        <v>0.01812588029333595</v>
      </c>
      <c r="D20" s="57">
        <v>2.4826924477046215</v>
      </c>
      <c r="E20" s="49">
        <v>204.32610350800388</v>
      </c>
      <c r="F20" s="56">
        <v>-0.025743359952188793</v>
      </c>
      <c r="G20" s="57">
        <v>2.5075261126538324</v>
      </c>
      <c r="H20" s="50">
        <v>865610.8875768712</v>
      </c>
      <c r="I20" s="56">
        <v>0.015220953473996</v>
      </c>
      <c r="J20" s="56">
        <v>0.8397359591739134</v>
      </c>
      <c r="K20" s="50">
        <v>165202.28425444127</v>
      </c>
      <c r="L20" s="56">
        <v>0.002904926819339951</v>
      </c>
      <c r="M20" s="56">
        <v>0.16026404082608658</v>
      </c>
      <c r="N20" s="58">
        <v>0.04386924024552474</v>
      </c>
      <c r="O20" s="56">
        <v>-0.02483366494921091</v>
      </c>
      <c r="P20" s="50">
        <v>58.25362290842891</v>
      </c>
      <c r="Q20" s="34">
        <v>5044.941170675891</v>
      </c>
      <c r="R20" s="30">
        <v>5080.914596581936</v>
      </c>
      <c r="S20" s="56">
        <v>-0.007080108358885895</v>
      </c>
      <c r="T20" s="50">
        <v>295981.6829392163</v>
      </c>
      <c r="U20" s="50">
        <v>1030813.1718313125</v>
      </c>
      <c r="V20" s="50">
        <v>734831.4888920961</v>
      </c>
    </row>
    <row r="21">
      <c r="A21" s="54">
        <v>45635.96007594907</v>
      </c>
      <c r="B21" s="55">
        <v>19.228344449132635</v>
      </c>
      <c r="C21" s="56">
        <v>-0.20610341189148196</v>
      </c>
      <c r="D21" s="57">
        <v>2.4645665674112855</v>
      </c>
      <c r="E21" s="49">
        <v>205.82574749105464</v>
      </c>
      <c r="F21" s="56">
        <v>-0.348776247901593</v>
      </c>
      <c r="G21" s="57">
        <v>2.533269472606021</v>
      </c>
      <c r="H21" s="50">
        <v>856680.4093347283</v>
      </c>
      <c r="I21" s="56">
        <v>-0.17218300038252277</v>
      </c>
      <c r="J21" s="56">
        <v>0.8354204270678496</v>
      </c>
      <c r="K21" s="50">
        <v>168767.83394260786</v>
      </c>
      <c r="L21" s="56">
        <v>-0.03392041150895919</v>
      </c>
      <c r="M21" s="56">
        <v>0.16457957293215042</v>
      </c>
      <c r="N21" s="58">
        <v>0.14267283601011105</v>
      </c>
      <c r="O21" s="56">
        <v>-0.06870290519473565</v>
      </c>
      <c r="P21" s="50">
        <v>58.25362290842891</v>
      </c>
      <c r="Q21" s="34">
        <v>4982.118397611567</v>
      </c>
      <c r="R21" s="30">
        <v>5080.914596581936</v>
      </c>
      <c r="S21" s="56">
        <v>-0.019444569888427524</v>
      </c>
      <c r="T21" s="50">
        <v>295981.6829392163</v>
      </c>
      <c r="U21" s="50">
        <v>1025448.2432773361</v>
      </c>
      <c r="V21" s="50">
        <v>729466.5603381197</v>
      </c>
    </row>
    <row r="22">
      <c r="A22" s="54">
        <v>45634.0</v>
      </c>
      <c r="B22" s="55">
        <v>20.2093</v>
      </c>
      <c r="C22" s="56">
        <v>-0.0294</v>
      </c>
      <c r="D22" s="57">
        <v>2.6413</v>
      </c>
      <c r="E22" s="49">
        <v>223.66</v>
      </c>
      <c r="F22" s="56">
        <v>-0.0426</v>
      </c>
      <c r="G22" s="57">
        <v>2.8394</v>
      </c>
      <c r="H22" s="50">
        <v>871205.91</v>
      </c>
      <c r="I22" s="56">
        <v>-0.0237</v>
      </c>
      <c r="J22" s="56">
        <v>0.8083</v>
      </c>
      <c r="K22" s="50">
        <v>206556.34</v>
      </c>
      <c r="L22" s="56">
        <v>-0.0056</v>
      </c>
      <c r="M22" s="56">
        <v>0.1917</v>
      </c>
      <c r="N22" s="58">
        <v>0.0133</v>
      </c>
      <c r="O22" s="56">
        <v>-0.1981</v>
      </c>
      <c r="P22" s="50">
        <v>58.25</v>
      </c>
      <c r="Q22" s="34">
        <v>4818.77</v>
      </c>
      <c r="R22" s="30">
        <v>5080.91</v>
      </c>
      <c r="S22" s="56">
        <v>-0.0516</v>
      </c>
      <c r="T22" s="50">
        <v>295981.68</v>
      </c>
      <c r="U22" s="50">
        <v>1077762.25</v>
      </c>
      <c r="V22" s="50">
        <v>781780.57</v>
      </c>
    </row>
    <row r="23">
      <c r="A23" s="54">
        <v>45633.95996515046</v>
      </c>
      <c r="B23" s="55">
        <v>20.37221838513036</v>
      </c>
      <c r="C23" s="56">
        <v>0.008570407737884977</v>
      </c>
      <c r="D23" s="57">
        <v>2.6706699793027675</v>
      </c>
      <c r="E23" s="49">
        <v>226.14322751573076</v>
      </c>
      <c r="F23" s="56">
        <v>0.015210143466525494</v>
      </c>
      <c r="G23" s="57">
        <v>2.882045720507614</v>
      </c>
      <c r="H23" s="50">
        <v>869783.6143169858</v>
      </c>
      <c r="I23" s="56">
        <v>0.006861238733573994</v>
      </c>
      <c r="J23" s="56">
        <v>0.8005731983140424</v>
      </c>
      <c r="K23" s="50">
        <v>216667.4636715058</v>
      </c>
      <c r="L23" s="56">
        <v>0.001709169004310984</v>
      </c>
      <c r="M23" s="56">
        <v>0.1994268016859576</v>
      </c>
      <c r="N23" s="58">
        <v>-0.006639735728640517</v>
      </c>
      <c r="O23" s="56">
        <v>-0.2113757412048467</v>
      </c>
      <c r="P23" s="50">
        <v>58.25362290842891</v>
      </c>
      <c r="Q23" s="34">
        <v>4804.260954102271</v>
      </c>
      <c r="R23" s="30">
        <v>5080.914596581936</v>
      </c>
      <c r="S23" s="56">
        <v>-0.054449575410257266</v>
      </c>
      <c r="T23" s="50">
        <v>295981.6829392163</v>
      </c>
      <c r="U23" s="50">
        <v>1086451.0779884916</v>
      </c>
      <c r="V23" s="50">
        <v>790469.3950492754</v>
      </c>
    </row>
    <row r="24">
      <c r="A24" s="54">
        <v>45632.95996342592</v>
      </c>
      <c r="B24" s="55">
        <v>20.3246526221851</v>
      </c>
      <c r="C24" s="56">
        <v>0.05260563545800734</v>
      </c>
      <c r="D24" s="57">
        <v>2.6620995715648825</v>
      </c>
      <c r="E24" s="49">
        <v>225.25718155384868</v>
      </c>
      <c r="F24" s="56">
        <v>0.05057521443335933</v>
      </c>
      <c r="G24" s="57">
        <v>2.8668355770410887</v>
      </c>
      <c r="H24" s="50">
        <v>875491.1088538647</v>
      </c>
      <c r="I24" s="56">
        <v>0.04249022465429001</v>
      </c>
      <c r="J24" s="56">
        <v>0.8077124111200596</v>
      </c>
      <c r="K24" s="50">
        <v>208423.28542889236</v>
      </c>
      <c r="L24" s="56">
        <v>0.010115410803717327</v>
      </c>
      <c r="M24" s="56">
        <v>0.19228758887994035</v>
      </c>
      <c r="N24" s="58">
        <v>0.0020304210246480103</v>
      </c>
      <c r="O24" s="56">
        <v>-0.20473600547620618</v>
      </c>
      <c r="P24" s="50">
        <v>58.25362290842891</v>
      </c>
      <c r="Q24" s="34">
        <v>4811.897169296876</v>
      </c>
      <c r="R24" s="30">
        <v>5080.914596581936</v>
      </c>
      <c r="S24" s="56">
        <v>-0.05294665402682324</v>
      </c>
      <c r="T24" s="50">
        <v>295981.6829392163</v>
      </c>
      <c r="U24" s="50">
        <v>1083914.394282757</v>
      </c>
      <c r="V24" s="50">
        <v>787932.7113435408</v>
      </c>
    </row>
    <row r="25">
      <c r="A25" s="54">
        <v>45631.95996424768</v>
      </c>
      <c r="B25" s="55">
        <v>20.032691345393157</v>
      </c>
      <c r="C25" s="56">
        <v>0.0073729527247530235</v>
      </c>
      <c r="D25" s="57">
        <v>2.609493936106875</v>
      </c>
      <c r="E25" s="49">
        <v>222.31099208373485</v>
      </c>
      <c r="F25" s="56">
        <v>0.06794566444875283</v>
      </c>
      <c r="G25" s="57">
        <v>2.8162603626077294</v>
      </c>
      <c r="H25" s="50">
        <v>859906.6837669167</v>
      </c>
      <c r="I25" s="56">
        <v>0.005934465672469395</v>
      </c>
      <c r="J25" s="56">
        <v>0.8048967481570534</v>
      </c>
      <c r="K25" s="50">
        <v>208437.40600089252</v>
      </c>
      <c r="L25" s="56">
        <v>0.001438487052283629</v>
      </c>
      <c r="M25" s="56">
        <v>0.19510325184294666</v>
      </c>
      <c r="N25" s="58">
        <v>-0.060572711723999806</v>
      </c>
      <c r="O25" s="56">
        <v>-0.2067664265008542</v>
      </c>
      <c r="P25" s="50">
        <v>58.25362290842891</v>
      </c>
      <c r="Q25" s="34">
        <v>4805.628726470757</v>
      </c>
      <c r="R25" s="30">
        <v>5080.914596581936</v>
      </c>
      <c r="S25" s="56">
        <v>-0.05418037734709634</v>
      </c>
      <c r="T25" s="50">
        <v>295981.6829392163</v>
      </c>
      <c r="U25" s="50">
        <v>1068344.0897678093</v>
      </c>
      <c r="V25" s="50">
        <v>772362.406828593</v>
      </c>
    </row>
    <row r="26">
      <c r="A26" s="54">
        <v>45630.95996553241</v>
      </c>
      <c r="B26" s="55">
        <v>19.991771457770778</v>
      </c>
      <c r="C26" s="56">
        <v>0.054870249611799427</v>
      </c>
      <c r="D26" s="57">
        <v>2.602120983382122</v>
      </c>
      <c r="E26" s="49">
        <v>218.35291096867454</v>
      </c>
      <c r="F26" s="56">
        <v>-0.11431522150915763</v>
      </c>
      <c r="G26" s="57">
        <v>2.7483146981589766</v>
      </c>
      <c r="H26" s="50">
        <v>860372.510199336</v>
      </c>
      <c r="I26" s="56">
        <v>0.04427925764122374</v>
      </c>
      <c r="J26" s="56">
        <v>0.8069811592710857</v>
      </c>
      <c r="K26" s="50">
        <v>205789.32061276946</v>
      </c>
      <c r="L26" s="56">
        <v>0.010590991970575687</v>
      </c>
      <c r="M26" s="56">
        <v>0.19301884072891431</v>
      </c>
      <c r="N26" s="58">
        <v>0.16918547112095705</v>
      </c>
      <c r="O26" s="56">
        <v>-0.1461937147768544</v>
      </c>
      <c r="P26" s="50">
        <v>58.25362290842891</v>
      </c>
      <c r="Q26" s="34">
        <v>4882.746129109585</v>
      </c>
      <c r="R26" s="30">
        <v>5080.914596581936</v>
      </c>
      <c r="S26" s="56">
        <v>-0.039002518878326384</v>
      </c>
      <c r="T26" s="50">
        <v>295981.6829392163</v>
      </c>
      <c r="U26" s="50">
        <v>1066161.8308121054</v>
      </c>
      <c r="V26" s="50">
        <v>770180.1478728892</v>
      </c>
    </row>
    <row r="27">
      <c r="A27" s="54">
        <v>45629.95996097222</v>
      </c>
      <c r="B27" s="55">
        <v>19.68724157242529</v>
      </c>
      <c r="C27" s="56">
        <v>0.07320045773202866</v>
      </c>
      <c r="D27" s="57">
        <v>2.5472507337703227</v>
      </c>
      <c r="E27" s="49">
        <v>225.01218677516255</v>
      </c>
      <c r="F27" s="56">
        <v>0.190089898534485</v>
      </c>
      <c r="G27" s="57">
        <v>2.862629919668134</v>
      </c>
      <c r="H27" s="50">
        <v>853592.5636274812</v>
      </c>
      <c r="I27" s="56">
        <v>0.05951243186187418</v>
      </c>
      <c r="J27" s="56">
        <v>0.813006280366942</v>
      </c>
      <c r="K27" s="50">
        <v>196328.6783612289</v>
      </c>
      <c r="L27" s="56">
        <v>0.01368802587015448</v>
      </c>
      <c r="M27" s="56">
        <v>0.186993719633058</v>
      </c>
      <c r="N27" s="58">
        <v>-0.11688944080245633</v>
      </c>
      <c r="O27" s="56">
        <v>-0.31537918589781144</v>
      </c>
      <c r="P27" s="50">
        <v>58.25362290842891</v>
      </c>
      <c r="Q27" s="34">
        <v>4666.063900964689</v>
      </c>
      <c r="R27" s="30">
        <v>5080.914596581936</v>
      </c>
      <c r="S27" s="56">
        <v>-0.08164882281161107</v>
      </c>
      <c r="T27" s="50">
        <v>295981.6829392163</v>
      </c>
      <c r="U27" s="50">
        <v>1049921.2419887101</v>
      </c>
      <c r="V27" s="50">
        <v>753939.5590494939</v>
      </c>
    </row>
    <row r="28">
      <c r="A28" s="54">
        <v>45628.95997141204</v>
      </c>
      <c r="B28" s="55">
        <v>19.28097903201253</v>
      </c>
      <c r="C28" s="56">
        <v>-0.03983154279790879</v>
      </c>
      <c r="D28" s="57">
        <v>2.474050276038294</v>
      </c>
      <c r="E28" s="49">
        <v>213.93876150723312</v>
      </c>
      <c r="F28" s="56">
        <v>-0.19765129510072477</v>
      </c>
      <c r="G28" s="57">
        <v>2.672540021133649</v>
      </c>
      <c r="H28" s="50">
        <v>845069.2436804961</v>
      </c>
      <c r="I28" s="56">
        <v>-0.03273546313979601</v>
      </c>
      <c r="J28" s="56">
        <v>0.8218477327349384</v>
      </c>
      <c r="K28" s="50">
        <v>183186.00363676716</v>
      </c>
      <c r="L28" s="56">
        <v>-0.007096079658112788</v>
      </c>
      <c r="M28" s="56">
        <v>0.17815226726506164</v>
      </c>
      <c r="N28" s="58">
        <v>0.15781975230281597</v>
      </c>
      <c r="O28" s="56">
        <v>-0.1984897450953551</v>
      </c>
      <c r="P28" s="50">
        <v>58.25362290842891</v>
      </c>
      <c r="Q28" s="34">
        <v>4806.306440558219</v>
      </c>
      <c r="R28" s="30">
        <v>5080.914596581936</v>
      </c>
      <c r="S28" s="56">
        <v>-0.054046993076493195</v>
      </c>
      <c r="T28" s="50">
        <v>295981.6829392163</v>
      </c>
      <c r="U28" s="50">
        <v>1028255.2473172633</v>
      </c>
      <c r="V28" s="50">
        <v>732273.5643780469</v>
      </c>
    </row>
    <row r="29">
      <c r="A29" s="54">
        <v>45627.95996356482</v>
      </c>
      <c r="B29" s="47">
        <v>19.502044094540924</v>
      </c>
      <c r="C29" s="7">
        <v>0.05367083045148169</v>
      </c>
      <c r="D29" s="48">
        <v>2.513881818836203</v>
      </c>
      <c r="E29" s="49">
        <v>225.45266551939335</v>
      </c>
      <c r="F29" s="7">
        <v>0.0011257673665769907</v>
      </c>
      <c r="G29" s="48">
        <v>2.870191316234374</v>
      </c>
      <c r="H29" s="50">
        <v>846132.7658228332</v>
      </c>
      <c r="I29" s="56">
        <v>0.0354165290412701</v>
      </c>
      <c r="J29" s="56">
        <v>0.8135542663984908</v>
      </c>
      <c r="K29" s="50">
        <v>193911.88856582064</v>
      </c>
      <c r="L29" s="56">
        <v>0.008116558429409532</v>
      </c>
      <c r="M29" s="56">
        <v>0.18644573360150918</v>
      </c>
      <c r="N29" s="51">
        <v>0.0525450630849047</v>
      </c>
      <c r="O29" s="7">
        <v>-0.3563094973981711</v>
      </c>
      <c r="P29" s="52">
        <v>58.25362290842891</v>
      </c>
      <c r="Q29" s="34">
        <v>4613.139755933334</v>
      </c>
      <c r="R29" s="30">
        <v>5080.914596581936</v>
      </c>
      <c r="S29" s="56">
        <v>-0.09206508626680852</v>
      </c>
      <c r="T29" s="52">
        <v>295981.6829392163</v>
      </c>
      <c r="U29" s="50">
        <v>1040044.6543886538</v>
      </c>
      <c r="V29" s="50">
        <v>675136.405405069</v>
      </c>
    </row>
    <row r="30">
      <c r="A30" s="54">
        <v>45626.95996144676</v>
      </c>
      <c r="B30" s="47">
        <v>19.204170985535203</v>
      </c>
      <c r="C30" s="7">
        <v>-0.01999195059980252</v>
      </c>
      <c r="D30" s="48">
        <v>2.460210988384721</v>
      </c>
      <c r="E30" s="49">
        <v>225.38708549173816</v>
      </c>
      <c r="F30" s="7">
        <v>-0.11266526104622843</v>
      </c>
      <c r="G30" s="48">
        <v>2.869065548867797</v>
      </c>
      <c r="H30" s="50">
        <v>842272.7850225293</v>
      </c>
      <c r="I30" s="56">
        <v>-0.013335879919467842</v>
      </c>
      <c r="J30" s="56">
        <v>0.8224042615291012</v>
      </c>
      <c r="K30" s="50">
        <v>181886.28664434957</v>
      </c>
      <c r="L30" s="56">
        <v>-0.002879843348639209</v>
      </c>
      <c r="M30" s="56">
        <v>0.17759573847089885</v>
      </c>
      <c r="N30" s="51">
        <v>0.0926733104464259</v>
      </c>
      <c r="O30" s="7">
        <v>-0.4088545604830758</v>
      </c>
      <c r="P30" s="52">
        <v>58.25362290842891</v>
      </c>
      <c r="Q30" s="34">
        <v>4544.000688559508</v>
      </c>
      <c r="R30" s="30">
        <v>5080.914596581936</v>
      </c>
      <c r="S30" s="56">
        <v>-0.10567268900438212</v>
      </c>
      <c r="T30" s="52">
        <v>295981.6829392163</v>
      </c>
      <c r="U30" s="50">
        <v>1024159.0716668789</v>
      </c>
      <c r="V30" s="50">
        <v>659250.8226832941</v>
      </c>
    </row>
    <row r="31">
      <c r="A31" s="54">
        <v>45625.959962442124</v>
      </c>
      <c r="B31" s="47">
        <v>19.315126311364107</v>
      </c>
      <c r="C31" s="7">
        <v>0.0463107872113242</v>
      </c>
      <c r="D31" s="48">
        <v>2.4802029389845237</v>
      </c>
      <c r="E31" s="49">
        <v>231.95024512360487</v>
      </c>
      <c r="F31" s="7">
        <v>0.11208851472561321</v>
      </c>
      <c r="G31" s="48">
        <v>2.9817308099140254</v>
      </c>
      <c r="H31" s="50">
        <v>845548.4848603759</v>
      </c>
      <c r="I31" s="56">
        <v>0.03083418179524612</v>
      </c>
      <c r="J31" s="56">
        <v>0.8208600334782905</v>
      </c>
      <c r="K31" s="50">
        <v>184527.83799027035</v>
      </c>
      <c r="L31" s="56">
        <v>0.00672908177916641</v>
      </c>
      <c r="M31" s="56">
        <v>0.17913996652170946</v>
      </c>
      <c r="N31" s="51">
        <v>-0.06577772751428901</v>
      </c>
      <c r="O31" s="7">
        <v>-0.5015278709295017</v>
      </c>
      <c r="P31" s="52">
        <v>58.25362290842891</v>
      </c>
      <c r="Q31" s="34">
        <v>4440.936556465913</v>
      </c>
      <c r="R31" s="30">
        <v>5080.914596581936</v>
      </c>
      <c r="S31" s="56">
        <v>-0.12595725197714466</v>
      </c>
      <c r="T31" s="52">
        <v>295981.6829392163</v>
      </c>
      <c r="U31" s="50">
        <v>1030076.3228506462</v>
      </c>
      <c r="V31" s="50">
        <v>665168.0738670614</v>
      </c>
    </row>
    <row r="32">
      <c r="A32" s="54">
        <v>45624.95996096065</v>
      </c>
      <c r="B32" s="47">
        <v>19.058101442341258</v>
      </c>
      <c r="C32" s="7">
        <v>-0.005607563706624408</v>
      </c>
      <c r="D32" s="48">
        <v>2.4338921517731995</v>
      </c>
      <c r="E32" s="49">
        <v>225.4206830544131</v>
      </c>
      <c r="F32" s="7">
        <v>-0.04648878406628665</v>
      </c>
      <c r="G32" s="48">
        <v>2.869642295188412</v>
      </c>
      <c r="H32" s="50">
        <v>836609.281402189</v>
      </c>
      <c r="I32" s="56">
        <v>-0.003743920019762105</v>
      </c>
      <c r="J32" s="56">
        <v>0.8231352341429249</v>
      </c>
      <c r="K32" s="50">
        <v>179759.89671140944</v>
      </c>
      <c r="L32" s="56">
        <v>-8.044456247487825E-4</v>
      </c>
      <c r="M32" s="56">
        <v>0.17686476585707508</v>
      </c>
      <c r="N32" s="51">
        <v>0.04088122035966224</v>
      </c>
      <c r="O32" s="7">
        <v>-0.4357501434152127</v>
      </c>
      <c r="P32" s="52">
        <v>58.25362290842891</v>
      </c>
      <c r="Q32" s="34">
        <v>4508.766295718581</v>
      </c>
      <c r="R32" s="30">
        <v>5080.914596581936</v>
      </c>
      <c r="S32" s="56">
        <v>-0.1126073446005674</v>
      </c>
      <c r="T32" s="52">
        <v>295981.6829392163</v>
      </c>
      <c r="U32" s="50">
        <v>1016369.1781135985</v>
      </c>
      <c r="V32" s="50">
        <v>651460.9291300136</v>
      </c>
    </row>
    <row r="33">
      <c r="A33" s="54">
        <v>45623.95996325232</v>
      </c>
      <c r="B33" s="47">
        <v>19.089223420913022</v>
      </c>
      <c r="C33" s="7">
        <v>0.08899147243497829</v>
      </c>
      <c r="D33" s="48">
        <v>2.439499715479824</v>
      </c>
      <c r="E33" s="49">
        <v>228.12882315088194</v>
      </c>
      <c r="F33" s="7">
        <v>0.14723038227255802</v>
      </c>
      <c r="G33" s="48">
        <v>2.916131079254699</v>
      </c>
      <c r="H33" s="50">
        <v>841101.323815107</v>
      </c>
      <c r="I33" s="56">
        <v>0.05963726939657768</v>
      </c>
      <c r="J33" s="56">
        <v>0.8262057315231043</v>
      </c>
      <c r="K33" s="50">
        <v>176927.590441567</v>
      </c>
      <c r="L33" s="56">
        <v>0.012544836247541737</v>
      </c>
      <c r="M33" s="56">
        <v>0.17379426847689566</v>
      </c>
      <c r="N33" s="51">
        <v>-0.05823890983757973</v>
      </c>
      <c r="O33" s="7">
        <v>-0.4766313637748749</v>
      </c>
      <c r="P33" s="52">
        <v>58.25362290842891</v>
      </c>
      <c r="Q33" s="34">
        <v>4462.517713438431</v>
      </c>
      <c r="R33" s="30">
        <v>5080.914596581936</v>
      </c>
      <c r="S33" s="56">
        <v>-0.1217097574439682</v>
      </c>
      <c r="T33" s="52">
        <v>295981.6829392163</v>
      </c>
      <c r="U33" s="50">
        <v>1018028.914256674</v>
      </c>
      <c r="V33" s="50">
        <v>653120.6652730892</v>
      </c>
    </row>
    <row r="34">
      <c r="A34" s="54">
        <v>45622.95996065972</v>
      </c>
      <c r="B34" s="47">
        <v>18.595320748898892</v>
      </c>
      <c r="C34" s="7">
        <v>0.003599472937436232</v>
      </c>
      <c r="D34" s="48">
        <v>2.3505082430448456</v>
      </c>
      <c r="E34" s="49">
        <v>219.55211998131253</v>
      </c>
      <c r="F34" s="7">
        <v>-0.09789147205498328</v>
      </c>
      <c r="G34" s="48">
        <v>2.768900696982141</v>
      </c>
      <c r="H34" s="50">
        <v>827882.1862675649</v>
      </c>
      <c r="I34" s="56">
        <v>0.0024373229555082676</v>
      </c>
      <c r="J34" s="56">
        <v>0.8348203207866883</v>
      </c>
      <c r="K34" s="50">
        <v>163806.88221056538</v>
      </c>
      <c r="L34" s="56">
        <v>4.822549402615306E-4</v>
      </c>
      <c r="M34" s="56">
        <v>0.16517967921331161</v>
      </c>
      <c r="N34" s="51">
        <v>0.10149094499241951</v>
      </c>
      <c r="O34" s="7">
        <v>-0.4183924539372952</v>
      </c>
      <c r="P34" s="52">
        <v>58.25362290842891</v>
      </c>
      <c r="Q34" s="34">
        <v>4516.873116791307</v>
      </c>
      <c r="R34" s="30">
        <v>5080.914596581936</v>
      </c>
      <c r="S34" s="56">
        <v>-0.11101180094034135</v>
      </c>
      <c r="T34" s="52">
        <v>295981.6829392163</v>
      </c>
      <c r="U34" s="50">
        <v>991689.0684781303</v>
      </c>
      <c r="V34" s="50">
        <v>626780.8194945455</v>
      </c>
    </row>
    <row r="35">
      <c r="A35" s="54">
        <v>45621.96000530093</v>
      </c>
      <c r="B35" s="47">
        <v>18.57534367409612</v>
      </c>
      <c r="C35" s="7">
        <v>-0.061984420360911674</v>
      </c>
      <c r="D35" s="48">
        <v>2.3469087701074094</v>
      </c>
      <c r="E35" s="49">
        <v>225.2546528803545</v>
      </c>
      <c r="F35" s="7">
        <v>-0.28946533473688607</v>
      </c>
      <c r="G35" s="48">
        <v>2.866792169037124</v>
      </c>
      <c r="H35" s="50">
        <v>820070.7321764027</v>
      </c>
      <c r="I35" s="56">
        <v>-0.04162040493589342</v>
      </c>
      <c r="J35" s="56">
        <v>0.8278327483046266</v>
      </c>
      <c r="K35" s="50">
        <v>170552.95824401104</v>
      </c>
      <c r="L35" s="56">
        <v>-0.008655940160541335</v>
      </c>
      <c r="M35" s="56">
        <v>0.17216725169537342</v>
      </c>
      <c r="N35" s="51">
        <v>0.2274809143759744</v>
      </c>
      <c r="O35" s="7">
        <v>-0.5198833989297147</v>
      </c>
      <c r="P35" s="52">
        <v>58.25362290842891</v>
      </c>
      <c r="Q35" s="34">
        <v>4397.794574954197</v>
      </c>
      <c r="R35" s="30">
        <v>5080.914596581936</v>
      </c>
      <c r="S35" s="56">
        <v>-0.13444823931645927</v>
      </c>
      <c r="T35" s="52">
        <v>295981.6829392163</v>
      </c>
      <c r="U35" s="50">
        <v>990623.6904204137</v>
      </c>
      <c r="V35" s="50">
        <v>625715.4414368288</v>
      </c>
    </row>
    <row r="36">
      <c r="A36" s="54">
        <v>45620.959958946754</v>
      </c>
      <c r="B36" s="47">
        <v>18.919357207099182</v>
      </c>
      <c r="C36" s="7">
        <v>-0.09387144718978657</v>
      </c>
      <c r="D36" s="48">
        <v>2.408893190468321</v>
      </c>
      <c r="E36" s="49">
        <v>242.11705733517925</v>
      </c>
      <c r="F36" s="7">
        <v>-0.04827340576094574</v>
      </c>
      <c r="G36" s="48">
        <v>3.15625750377401</v>
      </c>
      <c r="H36" s="50">
        <v>829876.2407348846</v>
      </c>
      <c r="I36" s="56">
        <v>-0.6068133666581156</v>
      </c>
      <c r="J36" s="56">
        <v>0.8224984758979313</v>
      </c>
      <c r="K36" s="50">
        <v>179093.70273996366</v>
      </c>
      <c r="L36" s="56">
        <v>-0.13095501156975925</v>
      </c>
      <c r="M36" s="56">
        <v>0.17750152410206868</v>
      </c>
      <c r="N36" s="51">
        <v>-0.04559804142884083</v>
      </c>
      <c r="O36" s="7">
        <v>-0.7473643133056891</v>
      </c>
      <c r="P36" s="52">
        <v>58.25362290842891</v>
      </c>
      <c r="Q36" s="34">
        <v>4167.2815396812875</v>
      </c>
      <c r="R36" s="30">
        <v>5080.914596581936</v>
      </c>
      <c r="S36" s="56">
        <v>-0.17981665299300117</v>
      </c>
      <c r="T36" s="52">
        <v>295981.6829392163</v>
      </c>
      <c r="U36" s="50">
        <v>1008969.9434748483</v>
      </c>
      <c r="V36" s="50">
        <v>644061.6944912635</v>
      </c>
    </row>
    <row r="37">
      <c r="A37" s="54">
        <v>45619.959970104166</v>
      </c>
      <c r="B37" s="47">
        <v>19.440343739002497</v>
      </c>
      <c r="C37" s="7">
        <v>0.07492121617545999</v>
      </c>
      <c r="D37" s="48">
        <v>2.5027646376581076</v>
      </c>
      <c r="E37" s="49">
        <v>244.92915811088292</v>
      </c>
      <c r="F37" s="7">
        <v>-4.994713009391916E-4</v>
      </c>
      <c r="G37" s="48">
        <v>3.204530909534956</v>
      </c>
      <c r="H37" s="50">
        <v>854543.4556916626</v>
      </c>
      <c r="I37" s="56">
        <v>0.06175372781703878</v>
      </c>
      <c r="J37" s="56">
        <v>0.8242488706058385</v>
      </c>
      <c r="K37" s="50">
        <v>182210.71670235833</v>
      </c>
      <c r="L37" s="56">
        <v>0.01316748835842121</v>
      </c>
      <c r="M37" s="56">
        <v>0.17575112939416143</v>
      </c>
      <c r="N37" s="51">
        <v>0.07542068747639918</v>
      </c>
      <c r="O37" s="7">
        <v>-0.7017662718768483</v>
      </c>
      <c r="P37" s="52">
        <v>58.25362290842891</v>
      </c>
      <c r="Q37" s="34">
        <v>4232.87362105196</v>
      </c>
      <c r="R37" s="13">
        <v>5080.914596581936</v>
      </c>
      <c r="S37" s="56">
        <v>-0.16690715016160187</v>
      </c>
      <c r="T37" s="52">
        <v>295981.6829392163</v>
      </c>
      <c r="U37" s="50">
        <v>1036754.172394021</v>
      </c>
      <c r="V37" s="50">
        <v>740772.4894548047</v>
      </c>
    </row>
    <row r="38">
      <c r="A38" s="54">
        <v>45618.959996817124</v>
      </c>
      <c r="B38" s="47">
        <v>19.024530989228694</v>
      </c>
      <c r="C38" s="7">
        <v>0.03168059784584587</v>
      </c>
      <c r="D38" s="48">
        <v>2.4278434214826476</v>
      </c>
      <c r="E38" s="49">
        <v>244.95825412370144</v>
      </c>
      <c r="F38" s="7">
        <v>0.022289630784693593</v>
      </c>
      <c r="G38" s="48">
        <v>3.205030380835895</v>
      </c>
      <c r="H38" s="50">
        <v>839165.9805316472</v>
      </c>
      <c r="I38" s="56">
        <v>0.026203266083099346</v>
      </c>
      <c r="J38" s="56">
        <v>0.827107689400352</v>
      </c>
      <c r="K38" s="50">
        <v>175412.8842109082</v>
      </c>
      <c r="L38" s="56">
        <v>0.005477331762746525</v>
      </c>
      <c r="M38" s="56">
        <v>0.17289231059964805</v>
      </c>
      <c r="N38" s="51">
        <v>0.009390967061152278</v>
      </c>
      <c r="O38" s="7">
        <v>-0.7771869593532474</v>
      </c>
      <c r="P38" s="52">
        <v>58.25362290842891</v>
      </c>
      <c r="Q38" s="34">
        <v>4141.843957747198</v>
      </c>
      <c r="R38" s="13">
        <v>5080.914596581936</v>
      </c>
      <c r="S38" s="56">
        <v>-0.1848231496483872</v>
      </c>
      <c r="T38" s="50">
        <v>295981.6829392163</v>
      </c>
      <c r="U38" s="50">
        <v>1014578.8647425554</v>
      </c>
      <c r="V38" s="50">
        <v>718597.1818033392</v>
      </c>
    </row>
    <row r="39">
      <c r="A39" s="54">
        <v>45617.95998880787</v>
      </c>
      <c r="B39" s="47">
        <v>18.84870367118425</v>
      </c>
      <c r="C39" s="7">
        <v>0.1481948874918113</v>
      </c>
      <c r="D39" s="48">
        <v>2.3961628236368018</v>
      </c>
      <c r="E39" s="49">
        <v>243.65980237720177</v>
      </c>
      <c r="F39" s="7">
        <v>0.32899553059134723</v>
      </c>
      <c r="G39" s="48">
        <v>3.1827407500512015</v>
      </c>
      <c r="H39" s="50">
        <v>826981.1531481694</v>
      </c>
      <c r="I39" s="56">
        <v>0.12192015177294054</v>
      </c>
      <c r="J39" s="56">
        <v>0.8227014699118914</v>
      </c>
      <c r="K39" s="50">
        <v>178220.83492745215</v>
      </c>
      <c r="L39" s="56">
        <v>0.026274735718870776</v>
      </c>
      <c r="M39" s="56">
        <v>0.17729853008810859</v>
      </c>
      <c r="N39" s="51">
        <v>-0.18080064309953592</v>
      </c>
      <c r="O39" s="7">
        <v>-0.7865779264143997</v>
      </c>
      <c r="P39" s="52">
        <v>58.25362290842891</v>
      </c>
      <c r="Q39" s="34">
        <v>4125.432173336089</v>
      </c>
      <c r="R39" s="13">
        <v>5080.914596581936</v>
      </c>
      <c r="S39" s="56">
        <v>-0.18805323433080823</v>
      </c>
      <c r="T39" s="50">
        <v>295981.6829392163</v>
      </c>
      <c r="U39" s="50">
        <v>1005201.9880756215</v>
      </c>
      <c r="V39" s="50">
        <v>709220.3051364052</v>
      </c>
    </row>
    <row r="40">
      <c r="A40" s="54">
        <v>45616.95999081018</v>
      </c>
      <c r="B40" s="47">
        <v>18.026222045604698</v>
      </c>
      <c r="C40" s="7">
        <v>0.025273120787159264</v>
      </c>
      <c r="D40" s="48">
        <v>2.2479679361449905</v>
      </c>
      <c r="E40" s="49">
        <v>224.49462079957496</v>
      </c>
      <c r="F40" s="7">
        <v>0.029773131699969646</v>
      </c>
      <c r="G40" s="48">
        <v>2.8537452194598543</v>
      </c>
      <c r="H40" s="50">
        <v>791196.1906322325</v>
      </c>
      <c r="I40" s="56">
        <v>0.020800151207879744</v>
      </c>
      <c r="J40" s="56">
        <v>0.8230147508513416</v>
      </c>
      <c r="K40" s="50">
        <v>170142.8252405749</v>
      </c>
      <c r="L40" s="56">
        <v>0.0044729695792795204</v>
      </c>
      <c r="M40" s="56">
        <v>0.1769852491486584</v>
      </c>
      <c r="N40" s="51">
        <v>-0.004500010912810382</v>
      </c>
      <c r="O40" s="7">
        <v>-0.6057772833148638</v>
      </c>
      <c r="P40" s="52">
        <v>58.25362290842891</v>
      </c>
      <c r="Q40" s="34">
        <v>4282.236306815898</v>
      </c>
      <c r="R40" s="13">
        <v>5080.914596581936</v>
      </c>
      <c r="S40" s="56">
        <v>-0.1571918351674971</v>
      </c>
      <c r="T40" s="50">
        <v>295981.6829392163</v>
      </c>
      <c r="U40" s="50">
        <v>961339.0158728074</v>
      </c>
      <c r="V40" s="50">
        <v>665357.332933591</v>
      </c>
    </row>
    <row r="41">
      <c r="A41" s="54">
        <v>45615.959965092596</v>
      </c>
      <c r="B41" s="47">
        <v>17.88595622523596</v>
      </c>
      <c r="C41" s="7">
        <v>-0.08034596590977516</v>
      </c>
      <c r="D41" s="48">
        <v>2.222694815357831</v>
      </c>
      <c r="E41" s="49">
        <v>222.76022801272194</v>
      </c>
      <c r="F41" s="7">
        <v>-0.05913723282440575</v>
      </c>
      <c r="G41" s="48">
        <v>2.8239720877598846</v>
      </c>
      <c r="H41" s="50">
        <v>777492.8463747113</v>
      </c>
      <c r="I41" s="56">
        <v>-0.0654902219621896</v>
      </c>
      <c r="J41" s="56">
        <v>0.81510280224563</v>
      </c>
      <c r="K41" s="50">
        <v>176365.78867438645</v>
      </c>
      <c r="L41" s="56">
        <v>-0.014855743947585568</v>
      </c>
      <c r="M41" s="56">
        <v>0.18489719775437</v>
      </c>
      <c r="N41" s="51">
        <v>-0.021208733085369413</v>
      </c>
      <c r="O41" s="7">
        <v>-0.6012772724020534</v>
      </c>
      <c r="P41" s="52">
        <v>58.25362290842891</v>
      </c>
      <c r="Q41" s="34">
        <v>4281.997031331026</v>
      </c>
      <c r="R41" s="13">
        <v>5080.914596581936</v>
      </c>
      <c r="S41" s="56">
        <v>-0.15723892816233576</v>
      </c>
      <c r="T41" s="50">
        <v>295981.6829392163</v>
      </c>
      <c r="U41" s="50">
        <v>953858.6350490977</v>
      </c>
      <c r="V41" s="50">
        <v>657876.9521098814</v>
      </c>
    </row>
    <row r="42">
      <c r="A42" s="54">
        <v>45614.95996472222</v>
      </c>
      <c r="B42" s="47">
        <v>18.331876336035215</v>
      </c>
      <c r="C42" s="7">
        <v>-0.028284633061072206</v>
      </c>
      <c r="D42" s="48">
        <v>2.3030407812676064</v>
      </c>
      <c r="E42" s="49">
        <v>226.20518607352284</v>
      </c>
      <c r="F42" s="7">
        <v>0.05848488503053417</v>
      </c>
      <c r="G42" s="48">
        <v>2.8831093205842904</v>
      </c>
      <c r="H42" s="50">
        <v>793878.6012819299</v>
      </c>
      <c r="I42" s="56">
        <v>-0.022968142491792343</v>
      </c>
      <c r="J42" s="56">
        <v>0.812036077759945</v>
      </c>
      <c r="K42" s="50">
        <v>183760.96797452017</v>
      </c>
      <c r="L42" s="56">
        <v>-0.005316490569279863</v>
      </c>
      <c r="M42" s="56">
        <v>0.18796392224005493</v>
      </c>
      <c r="N42" s="51">
        <v>-0.08676951809160638</v>
      </c>
      <c r="O42" s="7">
        <v>-0.580068539316684</v>
      </c>
      <c r="P42" s="52">
        <v>58.25362290842891</v>
      </c>
      <c r="Q42" s="34">
        <v>4321.9149225813535</v>
      </c>
      <c r="R42" s="13">
        <v>5080.914596581936</v>
      </c>
      <c r="S42" s="56">
        <v>-0.14938249001689216</v>
      </c>
      <c r="T42" s="50">
        <v>295981.6829392163</v>
      </c>
      <c r="U42" s="50">
        <v>977639.56925645</v>
      </c>
      <c r="V42" s="50">
        <v>681657.8863172338</v>
      </c>
    </row>
    <row r="43">
      <c r="A43" s="54">
        <v>45613.95997413194</v>
      </c>
      <c r="B43" s="47">
        <v>18.488856049524166</v>
      </c>
      <c r="C43" s="7">
        <v>0.05166509806789632</v>
      </c>
      <c r="D43" s="48">
        <v>2.3313254143286786</v>
      </c>
      <c r="E43" s="49">
        <v>222.79822963511128</v>
      </c>
      <c r="F43" s="7">
        <v>0.33261988379212104</v>
      </c>
      <c r="G43" s="48">
        <v>2.824624435553756</v>
      </c>
      <c r="H43" s="50">
        <v>802324.0944886642</v>
      </c>
      <c r="I43" s="56">
        <v>0.04204024123936566</v>
      </c>
      <c r="J43" s="56">
        <v>0.8137067926227094</v>
      </c>
      <c r="K43" s="50">
        <v>183687.20806252025</v>
      </c>
      <c r="L43" s="56">
        <v>0.009624856828530667</v>
      </c>
      <c r="M43" s="56">
        <v>0.18629320737729063</v>
      </c>
      <c r="N43" s="51">
        <v>-0.2809547857242247</v>
      </c>
      <c r="O43" s="7">
        <v>-0.4932990212250776</v>
      </c>
      <c r="P43" s="52">
        <v>58.25362290842891</v>
      </c>
      <c r="Q43" s="34">
        <v>4425.579611498837</v>
      </c>
      <c r="R43" s="13">
        <v>5080.914596581936</v>
      </c>
      <c r="S43" s="56">
        <v>-0.1289797284772234</v>
      </c>
      <c r="T43" s="50">
        <v>295981.6829392163</v>
      </c>
      <c r="U43" s="50">
        <v>986011.3025511844</v>
      </c>
      <c r="V43" s="50">
        <v>690029.619611968</v>
      </c>
    </row>
    <row r="44">
      <c r="A44" s="54">
        <v>45612.959953819445</v>
      </c>
      <c r="B44" s="47">
        <v>18.20211475524734</v>
      </c>
      <c r="C44" s="7">
        <v>-0.01966086318635618</v>
      </c>
      <c r="D44" s="48">
        <v>2.2796603162607822</v>
      </c>
      <c r="E44" s="49">
        <v>203.42191635283962</v>
      </c>
      <c r="F44" s="7">
        <v>0.018718856222654345</v>
      </c>
      <c r="G44" s="48">
        <v>2.492004551761635</v>
      </c>
      <c r="H44" s="50">
        <v>795098.1908609971</v>
      </c>
      <c r="I44" s="56">
        <v>-0.01610384738814735</v>
      </c>
      <c r="J44" s="56">
        <v>0.8190814022510846</v>
      </c>
      <c r="K44" s="50">
        <v>175621.18901483167</v>
      </c>
      <c r="L44" s="56">
        <v>-0.0035570157982088334</v>
      </c>
      <c r="M44" s="56">
        <v>0.18091859774891542</v>
      </c>
      <c r="N44" s="51">
        <v>-0.038379719409010526</v>
      </c>
      <c r="O44" s="7">
        <v>-0.2123442355008529</v>
      </c>
      <c r="P44" s="52">
        <v>58.25362290842891</v>
      </c>
      <c r="Q44" s="34">
        <v>4771.950816705981</v>
      </c>
      <c r="R44" s="13">
        <v>5080.914596581936</v>
      </c>
      <c r="S44" s="56">
        <v>-0.06080869378985487</v>
      </c>
      <c r="T44" s="50">
        <v>295981.6829392163</v>
      </c>
      <c r="U44" s="50">
        <v>970719.3798758287</v>
      </c>
      <c r="V44" s="50">
        <v>674737.6969366125</v>
      </c>
    </row>
    <row r="45">
      <c r="A45" s="59">
        <v>45611.95996638889</v>
      </c>
      <c r="B45" s="60">
        <v>18.311232545931617</v>
      </c>
      <c r="C45" s="61">
        <v>-0.08893624027834335</v>
      </c>
      <c r="D45" s="62">
        <v>2.2993211794471384</v>
      </c>
      <c r="E45" s="63">
        <v>202.33147516116802</v>
      </c>
      <c r="F45" s="61">
        <v>0.013606098432603186</v>
      </c>
      <c r="G45" s="62">
        <v>2.473285695538981</v>
      </c>
      <c r="H45" s="64">
        <v>766082.3373173971</v>
      </c>
      <c r="I45" s="61">
        <v>-0.06976936740165844</v>
      </c>
      <c r="J45" s="61">
        <v>0.7844874843292404</v>
      </c>
      <c r="K45" s="64">
        <v>210456.29793236696</v>
      </c>
      <c r="L45" s="61">
        <v>-0.01916687287668491</v>
      </c>
      <c r="M45" s="61">
        <v>0.21551251567075957</v>
      </c>
      <c r="N45" s="65">
        <v>-0.10254233871094653</v>
      </c>
      <c r="O45" s="61">
        <v>-0.17396451609184238</v>
      </c>
      <c r="P45" s="66">
        <v>58.25362290842891</v>
      </c>
      <c r="Q45" s="67">
        <v>4826.429671764603</v>
      </c>
      <c r="R45" s="68">
        <v>5080.914596581936</v>
      </c>
      <c r="S45" s="69">
        <v>-0.05008644014377487</v>
      </c>
      <c r="T45" s="64">
        <v>295981.6829392163</v>
      </c>
      <c r="U45" s="64">
        <v>976538.6352497641</v>
      </c>
      <c r="V45" s="64">
        <v>680556.9523105477</v>
      </c>
    </row>
    <row r="46">
      <c r="A46" s="70">
        <v>45610.95995768519</v>
      </c>
      <c r="B46" s="71">
        <v>18.804828679476422</v>
      </c>
      <c r="C46" s="16">
        <v>-0.050245128276396045</v>
      </c>
      <c r="D46" s="72">
        <v>2.388257419725482</v>
      </c>
      <c r="E46" s="73">
        <v>201.53887063382018</v>
      </c>
      <c r="F46" s="16">
        <v>-0.013970375202968732</v>
      </c>
      <c r="G46" s="72">
        <v>2.4596795971063776</v>
      </c>
      <c r="H46" s="74">
        <v>67299.19411674155</v>
      </c>
      <c r="I46" s="75">
        <v>-0.0033718060827502274</v>
      </c>
      <c r="J46" s="75">
        <v>0.06710712457936387</v>
      </c>
      <c r="K46" s="74">
        <v>935562.9392048931</v>
      </c>
      <c r="L46" s="75">
        <v>-0.04687332219364582</v>
      </c>
      <c r="M46" s="75">
        <v>0.9328928754206361</v>
      </c>
      <c r="N46" s="76">
        <v>-0.03627475307342731</v>
      </c>
      <c r="O46" s="16">
        <v>-0.07142217738089585</v>
      </c>
      <c r="P46" s="77">
        <v>58.25362290842891</v>
      </c>
      <c r="Q46" s="78">
        <v>4976.02338530394</v>
      </c>
      <c r="R46" s="79">
        <v>5080.914596581936</v>
      </c>
      <c r="S46" s="75">
        <v>-0.02064415948824633</v>
      </c>
      <c r="T46" s="74">
        <v>295981.6829392163</v>
      </c>
      <c r="U46" s="74">
        <v>1002862.1333216346</v>
      </c>
      <c r="V46" s="74">
        <v>706880.4503824182</v>
      </c>
    </row>
    <row r="47">
      <c r="A47" s="54">
        <v>45609.960020914354</v>
      </c>
      <c r="B47" s="47">
        <v>19.08368914141042</v>
      </c>
      <c r="C47" s="7">
        <v>-0.07695091985573477</v>
      </c>
      <c r="D47" s="48">
        <v>2.438502548001878</v>
      </c>
      <c r="E47" s="49">
        <v>202.35269560278317</v>
      </c>
      <c r="F47" s="7">
        <v>-0.007295171759110097</v>
      </c>
      <c r="G47" s="48">
        <v>2.4736499723093464</v>
      </c>
      <c r="H47" s="50">
        <v>68452.56846977935</v>
      </c>
      <c r="I47" s="56">
        <v>-0.0051757033721389215</v>
      </c>
      <c r="J47" s="56">
        <v>0.06725979860724436</v>
      </c>
      <c r="K47" s="50">
        <v>949281.2024786</v>
      </c>
      <c r="L47" s="56">
        <v>-0.07177521648359585</v>
      </c>
      <c r="M47" s="56">
        <v>0.9327402013927557</v>
      </c>
      <c r="N47" s="51">
        <v>-0.06965574809662467</v>
      </c>
      <c r="O47" s="7">
        <v>-0.03514742430746853</v>
      </c>
      <c r="P47" s="52">
        <v>58.25362290842891</v>
      </c>
      <c r="Q47" s="34">
        <v>5029.5043904242475</v>
      </c>
      <c r="R47" s="13">
        <v>5080.914596581936</v>
      </c>
      <c r="S47" s="56">
        <v>-0.010118297637254846</v>
      </c>
      <c r="T47" s="50">
        <v>295981.6829392163</v>
      </c>
      <c r="U47" s="50">
        <v>1017733.7709483793</v>
      </c>
      <c r="V47" s="50">
        <v>721752.088009163</v>
      </c>
    </row>
    <row r="48">
      <c r="A48" s="54">
        <v>45608.959965243055</v>
      </c>
      <c r="B48" s="47">
        <v>19.51076674660975</v>
      </c>
      <c r="C48" s="7">
        <v>-0.06746668344032969</v>
      </c>
      <c r="D48" s="48">
        <v>2.5154534678576126</v>
      </c>
      <c r="E48" s="49">
        <v>202.7776657874906</v>
      </c>
      <c r="F48" s="7">
        <v>-0.07347501006884816</v>
      </c>
      <c r="G48" s="48">
        <v>2.4809451440684565</v>
      </c>
      <c r="H48" s="50">
        <v>67499.06995458742</v>
      </c>
      <c r="I48" s="56">
        <v>-0.004450701171287253</v>
      </c>
      <c r="J48" s="56">
        <v>0.06596887447748394</v>
      </c>
      <c r="K48" s="50">
        <v>955696.6490753889</v>
      </c>
      <c r="L48" s="56">
        <v>-0.06301598226904244</v>
      </c>
      <c r="M48" s="56">
        <v>0.9340311255225161</v>
      </c>
      <c r="N48" s="51">
        <v>0.006008326628518468</v>
      </c>
      <c r="O48" s="7">
        <v>0.03450832378915614</v>
      </c>
      <c r="P48" s="52">
        <v>58.25362290842891</v>
      </c>
      <c r="Q48" s="34">
        <v>5045.899483339932</v>
      </c>
      <c r="R48" s="13">
        <v>5080.914596581936</v>
      </c>
      <c r="S48" s="56">
        <v>7.969410229446396E-4</v>
      </c>
      <c r="T48" s="50">
        <v>291056.5389032249</v>
      </c>
      <c r="U48" s="50">
        <v>1023195.7190299763</v>
      </c>
      <c r="V48" s="50">
        <v>732139.1801267513</v>
      </c>
    </row>
    <row r="49">
      <c r="A49" s="54">
        <v>45607.9600112037</v>
      </c>
      <c r="B49" s="47">
        <v>19.885206839703578</v>
      </c>
      <c r="C49" s="7">
        <v>0.19884516957710296</v>
      </c>
      <c r="D49" s="48">
        <v>2.5829201512979423</v>
      </c>
      <c r="E49" s="49">
        <v>207.0578513172343</v>
      </c>
      <c r="F49" s="7">
        <v>0.19928836009401696</v>
      </c>
      <c r="G49" s="48">
        <v>2.5544201541373046</v>
      </c>
      <c r="H49" s="50">
        <v>66524.35394384748</v>
      </c>
      <c r="I49" s="56">
        <v>0.012684729801555673</v>
      </c>
      <c r="J49" s="56">
        <v>0.06379199368299023</v>
      </c>
      <c r="K49" s="50">
        <v>976307.9844595505</v>
      </c>
      <c r="L49" s="56">
        <v>0.1861604397755473</v>
      </c>
      <c r="M49" s="56">
        <v>0.9362080063170098</v>
      </c>
      <c r="N49" s="51">
        <v>-4.431905169139938E-4</v>
      </c>
      <c r="O49" s="7">
        <v>0.02849999716063767</v>
      </c>
      <c r="P49" s="52">
        <v>58.25362290842891</v>
      </c>
      <c r="Q49" s="34">
        <v>5036.429827554182</v>
      </c>
      <c r="R49" s="13">
        <v>5080.914596581936</v>
      </c>
      <c r="S49" s="56">
        <v>-0.001081257814390386</v>
      </c>
      <c r="T49" s="50">
        <v>291056.5389032249</v>
      </c>
      <c r="U49" s="50">
        <v>1042832.3384033979</v>
      </c>
      <c r="V49" s="50">
        <v>751775.799500173</v>
      </c>
    </row>
    <row r="50">
      <c r="A50" s="54">
        <v>45606.95995912037</v>
      </c>
      <c r="B50" s="47">
        <v>18.781616148550658</v>
      </c>
      <c r="C50" s="7">
        <v>0.15050290251912068</v>
      </c>
      <c r="D50" s="48">
        <v>2.3840749817208393</v>
      </c>
      <c r="E50" s="49">
        <v>195.44858233827824</v>
      </c>
      <c r="F50" s="7">
        <v>0.15603696432074088</v>
      </c>
      <c r="G50" s="48">
        <v>2.3551317940432877</v>
      </c>
      <c r="H50" s="50">
        <v>60569.20895306701</v>
      </c>
      <c r="I50" s="56">
        <v>0.009255064279908656</v>
      </c>
      <c r="J50" s="56">
        <v>0.061494257751825376</v>
      </c>
      <c r="K50" s="50">
        <v>924387.9426155947</v>
      </c>
      <c r="L50" s="56">
        <v>0.14124783823921203</v>
      </c>
      <c r="M50" s="56">
        <v>0.9385057422481746</v>
      </c>
      <c r="N50" s="51">
        <v>-0.005534061801620194</v>
      </c>
      <c r="O50" s="7">
        <v>0.028943187677551663</v>
      </c>
      <c r="P50" s="52">
        <v>58.25362290842891</v>
      </c>
      <c r="Q50" s="34">
        <v>5039.469408194114</v>
      </c>
      <c r="R50" s="13">
        <v>5080.914596581936</v>
      </c>
      <c r="S50" s="56">
        <v>-4.783914639051534E-4</v>
      </c>
      <c r="T50" s="50">
        <v>291056.5389032249</v>
      </c>
      <c r="U50" s="50">
        <v>984957.1515686617</v>
      </c>
      <c r="V50" s="50">
        <v>693900.6126654367</v>
      </c>
    </row>
    <row r="51">
      <c r="A51" s="54">
        <v>45605.95995945601</v>
      </c>
      <c r="B51" s="47">
        <v>17.946325039569537</v>
      </c>
      <c r="C51" s="7">
        <v>0.0791541122656807</v>
      </c>
      <c r="D51" s="48">
        <v>2.2335720792017186</v>
      </c>
      <c r="E51" s="49">
        <v>186.35886385896183</v>
      </c>
      <c r="F51" s="7">
        <v>0.017996682110433593</v>
      </c>
      <c r="G51" s="48">
        <v>2.1990948297225468</v>
      </c>
      <c r="H51" s="50">
        <v>57612.55129804414</v>
      </c>
      <c r="I51" s="56">
        <v>0.004845411698684864</v>
      </c>
      <c r="J51" s="56">
        <v>0.0612149079812966</v>
      </c>
      <c r="K51" s="50">
        <v>883539.7463685126</v>
      </c>
      <c r="L51" s="56">
        <v>0.07430870056699583</v>
      </c>
      <c r="M51" s="56">
        <v>0.9387850920187034</v>
      </c>
      <c r="N51" s="51">
        <v>0.061157430155247106</v>
      </c>
      <c r="O51" s="7">
        <v>0.034477249479171856</v>
      </c>
      <c r="P51" s="52">
        <v>58.25362290842891</v>
      </c>
      <c r="Q51" s="34">
        <v>5050.2148284120785</v>
      </c>
      <c r="R51" s="13">
        <v>5080.914596581936</v>
      </c>
      <c r="S51" s="56">
        <v>0.001652840781138805</v>
      </c>
      <c r="T51" s="50">
        <v>291056.5389032249</v>
      </c>
      <c r="U51" s="50">
        <v>941152.2976665568</v>
      </c>
      <c r="V51" s="50">
        <v>650095.7587633319</v>
      </c>
    </row>
    <row r="52">
      <c r="A52" s="54">
        <v>45604.95996707176</v>
      </c>
      <c r="B52" s="47">
        <v>17.50701971649501</v>
      </c>
      <c r="C52" s="7">
        <v>0.10192273796081253</v>
      </c>
      <c r="D52" s="48">
        <v>2.154417966936038</v>
      </c>
      <c r="E52" s="49">
        <v>185.31049192569776</v>
      </c>
      <c r="F52" s="7">
        <v>0.07235155061414789</v>
      </c>
      <c r="G52" s="48">
        <v>2.181098147612113</v>
      </c>
      <c r="H52" s="50">
        <v>57683.7459890531</v>
      </c>
      <c r="I52" s="56">
        <v>0.0064036551916010305</v>
      </c>
      <c r="J52" s="56">
        <v>0.06282852403418678</v>
      </c>
      <c r="K52" s="50">
        <v>860430.2297214975</v>
      </c>
      <c r="L52" s="56">
        <v>0.0955190827692115</v>
      </c>
      <c r="M52" s="56">
        <v>0.9371714759658133</v>
      </c>
      <c r="N52" s="51">
        <v>0.02957118734666464</v>
      </c>
      <c r="O52" s="7">
        <v>-0.02668018067607525</v>
      </c>
      <c r="P52" s="52">
        <v>58.25362290842891</v>
      </c>
      <c r="Q52" s="34">
        <v>4954.462999745736</v>
      </c>
      <c r="R52" s="13">
        <v>5080.914596581936</v>
      </c>
      <c r="S52" s="56">
        <v>-0.017338448590166537</v>
      </c>
      <c r="T52" s="50">
        <v>291056.5389032249</v>
      </c>
      <c r="U52" s="50">
        <v>918113.9757105506</v>
      </c>
      <c r="V52" s="50">
        <v>627057.4368073256</v>
      </c>
    </row>
    <row r="53">
      <c r="A53" s="54">
        <v>45603.95996107638</v>
      </c>
      <c r="B53" s="47">
        <v>16.9413485208125</v>
      </c>
      <c r="C53" s="7">
        <v>0.06142622124215302</v>
      </c>
      <c r="D53" s="48">
        <v>2.0524952289752254</v>
      </c>
      <c r="E53" s="49">
        <v>181.09575197938108</v>
      </c>
      <c r="F53" s="7">
        <v>0.07783437241944169</v>
      </c>
      <c r="G53" s="48">
        <v>2.1087465969979653</v>
      </c>
      <c r="H53" s="50">
        <v>56822.9898833946</v>
      </c>
      <c r="I53" s="56">
        <v>0.003928669784200403</v>
      </c>
      <c r="J53" s="56">
        <v>0.06395753645194764</v>
      </c>
      <c r="K53" s="50">
        <v>831625.7064807416</v>
      </c>
      <c r="L53" s="56">
        <v>0.05749755145795263</v>
      </c>
      <c r="M53" s="56">
        <v>0.9360424635480524</v>
      </c>
      <c r="N53" s="51">
        <v>-0.016408151177288666</v>
      </c>
      <c r="O53" s="7">
        <v>-0.05625136802273989</v>
      </c>
      <c r="P53" s="52">
        <v>58.25362290842891</v>
      </c>
      <c r="Q53" s="34">
        <v>4905.960999379443</v>
      </c>
      <c r="R53" s="13">
        <v>5080.914596581936</v>
      </c>
      <c r="S53" s="56">
        <v>-0.026958270340549532</v>
      </c>
      <c r="T53" s="50">
        <v>291056.5389032249</v>
      </c>
      <c r="U53" s="50">
        <v>888448.6963641362</v>
      </c>
      <c r="V53" s="50">
        <v>597392.1574609112</v>
      </c>
    </row>
    <row r="54">
      <c r="A54" s="54">
        <v>45602.959964016205</v>
      </c>
      <c r="B54" s="47">
        <v>16.600432992918552</v>
      </c>
      <c r="C54" s="7">
        <v>0.43231774079748364</v>
      </c>
      <c r="D54" s="48">
        <v>1.9910690077330724</v>
      </c>
      <c r="E54" s="49">
        <v>176.5616177991447</v>
      </c>
      <c r="F54" s="7">
        <v>0.41216166246676655</v>
      </c>
      <c r="G54" s="48">
        <v>2.0309122245785236</v>
      </c>
      <c r="H54" s="50">
        <v>57034.8991106385</v>
      </c>
      <c r="I54" s="56">
        <v>0.028323044974500035</v>
      </c>
      <c r="J54" s="56">
        <v>0.06551441752599224</v>
      </c>
      <c r="K54" s="50">
        <v>813535.2939008528</v>
      </c>
      <c r="L54" s="56">
        <v>0.4039946958229836</v>
      </c>
      <c r="M54" s="56">
        <v>0.9344855824740077</v>
      </c>
      <c r="N54" s="51">
        <v>0.020156078330717087</v>
      </c>
      <c r="O54" s="7">
        <v>-0.039843216845451224</v>
      </c>
      <c r="P54" s="52">
        <v>58.25362290842891</v>
      </c>
      <c r="Q54" s="34">
        <v>4930.6876764226645</v>
      </c>
      <c r="R54" s="13">
        <v>5080.914596581936</v>
      </c>
      <c r="S54" s="56">
        <v>-0.022054014354431765</v>
      </c>
      <c r="T54" s="50">
        <v>291056.5389032249</v>
      </c>
      <c r="U54" s="50">
        <v>870570.1930114913</v>
      </c>
      <c r="V54" s="50">
        <v>579513.6541082663</v>
      </c>
    </row>
    <row r="55">
      <c r="A55" s="54">
        <v>45601.95996314815</v>
      </c>
      <c r="B55" s="47">
        <v>14.201069531492518</v>
      </c>
      <c r="C55" s="7">
        <v>0.137468489363469</v>
      </c>
      <c r="D55" s="48">
        <v>1.5587512669355887</v>
      </c>
      <c r="E55" s="49">
        <v>152.55170773649454</v>
      </c>
      <c r="F55" s="7">
        <v>0.15166476317381328</v>
      </c>
      <c r="G55" s="48">
        <v>1.618750562111757</v>
      </c>
      <c r="H55" s="50">
        <v>50974.30032884012</v>
      </c>
      <c r="I55" s="56">
        <v>0.009409119889811213</v>
      </c>
      <c r="J55" s="56">
        <v>0.06844564840552908</v>
      </c>
      <c r="K55" s="50">
        <v>693766.9873396741</v>
      </c>
      <c r="L55" s="56">
        <v>0.12805936947365779</v>
      </c>
      <c r="M55" s="56">
        <v>0.9315543515944709</v>
      </c>
      <c r="N55" s="51">
        <v>-0.014196273810344273</v>
      </c>
      <c r="O55" s="7">
        <v>-0.05999929517616831</v>
      </c>
      <c r="P55" s="52">
        <v>58.25362290842891</v>
      </c>
      <c r="Q55" s="34">
        <v>4881.8941375269305</v>
      </c>
      <c r="R55" s="13">
        <v>5080.914596581936</v>
      </c>
      <c r="S55" s="56">
        <v>-0.03173165946602482</v>
      </c>
      <c r="T55" s="50">
        <v>291056.5389032249</v>
      </c>
      <c r="U55" s="50">
        <v>744741.2876685143</v>
      </c>
      <c r="V55" s="50">
        <v>453684.7487652894</v>
      </c>
    </row>
    <row r="56">
      <c r="A56" s="54">
        <v>45600.95995547454</v>
      </c>
      <c r="B56" s="47">
        <v>13.438119415525264</v>
      </c>
      <c r="C56" s="7">
        <v>-0.08363993040761875</v>
      </c>
      <c r="D56" s="48">
        <v>1.4212827775721197</v>
      </c>
      <c r="E56" s="49">
        <v>143.71668581407104</v>
      </c>
      <c r="F56" s="7">
        <v>-0.11027017735825284</v>
      </c>
      <c r="G56" s="48">
        <v>1.4670857989379438</v>
      </c>
      <c r="H56" s="50">
        <v>50480.22219338058</v>
      </c>
      <c r="I56" s="56">
        <v>-0.005991175575285225</v>
      </c>
      <c r="J56" s="56">
        <v>0.07163056623896343</v>
      </c>
      <c r="K56" s="50">
        <v>654249.9627527476</v>
      </c>
      <c r="L56" s="56">
        <v>-0.07764875483233352</v>
      </c>
      <c r="M56" s="56">
        <v>0.9283694337610365</v>
      </c>
      <c r="N56" s="51">
        <v>0.026630246950634096</v>
      </c>
      <c r="O56" s="7">
        <v>-0.04580302136582404</v>
      </c>
      <c r="P56" s="52">
        <v>58.25362290842891</v>
      </c>
      <c r="Q56" s="34">
        <v>4903.607266993693</v>
      </c>
      <c r="R56" s="13">
        <v>5080.914596581936</v>
      </c>
      <c r="S56" s="56">
        <v>-0.027425106467472534</v>
      </c>
      <c r="T56" s="50">
        <v>291056.5389032249</v>
      </c>
      <c r="U56" s="50">
        <v>704730.1849461282</v>
      </c>
      <c r="V56" s="50">
        <v>413673.64604290324</v>
      </c>
    </row>
    <row r="57">
      <c r="A57" s="54">
        <v>45599.95998035879</v>
      </c>
      <c r="B57" s="47">
        <v>13.902321029287549</v>
      </c>
      <c r="C57" s="7">
        <v>-0.07413394856203448</v>
      </c>
      <c r="D57" s="48">
        <v>1.5049227079797385</v>
      </c>
      <c r="E57" s="49">
        <v>150.14032314394427</v>
      </c>
      <c r="F57" s="7">
        <v>-0.04762213166435325</v>
      </c>
      <c r="G57" s="48">
        <v>1.5773559762961966</v>
      </c>
      <c r="H57" s="50">
        <v>51544.95308984829</v>
      </c>
      <c r="I57" s="56">
        <v>-0.005241210358269641</v>
      </c>
      <c r="J57" s="56">
        <v>0.07069919328367966</v>
      </c>
      <c r="K57" s="50">
        <v>677529.180514828</v>
      </c>
      <c r="L57" s="56">
        <v>-0.06889273820376483</v>
      </c>
      <c r="M57" s="56">
        <v>0.9293008067163203</v>
      </c>
      <c r="N57" s="51">
        <v>-0.02651181689768123</v>
      </c>
      <c r="O57" s="7">
        <v>-0.07243326831645813</v>
      </c>
      <c r="P57" s="52">
        <v>58.25362290842891</v>
      </c>
      <c r="Q57" s="34">
        <v>4855.951541450259</v>
      </c>
      <c r="R57" s="13">
        <v>5080.914596581936</v>
      </c>
      <c r="S57" s="56">
        <v>-0.036877079203665133</v>
      </c>
      <c r="T57" s="50">
        <v>291056.5389032249</v>
      </c>
      <c r="U57" s="50">
        <v>729074.1336046762</v>
      </c>
      <c r="V57" s="50">
        <v>438017.5947014513</v>
      </c>
    </row>
    <row r="58">
      <c r="A58" s="54">
        <v>45598.95996199074</v>
      </c>
      <c r="B58" s="47">
        <v>14.31376444380684</v>
      </c>
      <c r="C58" s="7">
        <v>-0.013244560842981201</v>
      </c>
      <c r="D58" s="48">
        <v>1.579056656541773</v>
      </c>
      <c r="E58" s="49">
        <v>152.91448484401505</v>
      </c>
      <c r="F58" s="7">
        <v>2.409691128151259E-4</v>
      </c>
      <c r="G58" s="48">
        <v>1.6249781079605499</v>
      </c>
      <c r="H58" s="50">
        <v>51904.76474216094</v>
      </c>
      <c r="I58" s="56">
        <v>-9.158124563615547E-4</v>
      </c>
      <c r="J58" s="56">
        <v>0.06914630596052407</v>
      </c>
      <c r="K58" s="50">
        <v>698746.5393462108</v>
      </c>
      <c r="L58" s="56">
        <v>-0.012328748386619647</v>
      </c>
      <c r="M58" s="56">
        <v>0.9308536940394759</v>
      </c>
      <c r="N58" s="51">
        <v>-0.013485529955796327</v>
      </c>
      <c r="O58" s="7">
        <v>-0.045921451418776904</v>
      </c>
      <c r="P58" s="52">
        <v>58.25362290842891</v>
      </c>
      <c r="Q58" s="34">
        <v>4908.961403192744</v>
      </c>
      <c r="R58" s="13">
        <v>5080.914596581936</v>
      </c>
      <c r="S58" s="56">
        <v>-0.026363174269353577</v>
      </c>
      <c r="T58" s="50">
        <v>291056.5389032249</v>
      </c>
      <c r="U58" s="50">
        <v>750651.3040883717</v>
      </c>
      <c r="V58" s="50">
        <v>459594.76518514677</v>
      </c>
    </row>
    <row r="59">
      <c r="A59" s="54">
        <v>45597.959964594906</v>
      </c>
      <c r="B59" s="47">
        <v>14.387271756485385</v>
      </c>
      <c r="C59" s="7">
        <v>-0.021420831209787217</v>
      </c>
      <c r="D59" s="48">
        <v>1.5923012173847542</v>
      </c>
      <c r="E59" s="49">
        <v>152.90044752018454</v>
      </c>
      <c r="F59" s="7">
        <v>-0.02118007613541284</v>
      </c>
      <c r="G59" s="48">
        <v>1.6247371388477347</v>
      </c>
      <c r="H59" s="50">
        <v>51962.04852635787</v>
      </c>
      <c r="I59" s="56">
        <v>-0.0014752300790987333</v>
      </c>
      <c r="J59" s="56">
        <v>0.06886894652457268</v>
      </c>
      <c r="K59" s="50">
        <v>702544.1716002652</v>
      </c>
      <c r="L59" s="56">
        <v>-0.019945601130688485</v>
      </c>
      <c r="M59" s="56">
        <v>0.9311310534754274</v>
      </c>
      <c r="N59" s="51">
        <v>-2.4075507437437693E-4</v>
      </c>
      <c r="O59" s="7">
        <v>-0.03243592146298058</v>
      </c>
      <c r="P59" s="52">
        <v>58.25362290842891</v>
      </c>
      <c r="Q59" s="34">
        <v>4934.624014275824</v>
      </c>
      <c r="R59" s="13">
        <v>5080.914596581936</v>
      </c>
      <c r="S59" s="56">
        <v>-0.021273286380106848</v>
      </c>
      <c r="T59" s="50">
        <v>291056.5389032249</v>
      </c>
      <c r="U59" s="50">
        <v>754506.220126623</v>
      </c>
      <c r="V59" s="50">
        <v>463449.68122339813</v>
      </c>
    </row>
    <row r="60">
      <c r="A60" s="54">
        <v>45596.95996765046</v>
      </c>
      <c r="B60" s="47">
        <v>14.506157369699704</v>
      </c>
      <c r="C60" s="7">
        <v>-0.12619125441324286</v>
      </c>
      <c r="D60" s="48">
        <v>1.6137220485945414</v>
      </c>
      <c r="E60" s="49">
        <v>154.1342636885487</v>
      </c>
      <c r="F60" s="7">
        <v>-0.12353527223545413</v>
      </c>
      <c r="G60" s="48">
        <v>1.6459172149831476</v>
      </c>
      <c r="H60" s="50">
        <v>52401.787305151774</v>
      </c>
      <c r="I60" s="56">
        <v>-0.008692377829751926</v>
      </c>
      <c r="J60" s="56">
        <v>0.06888256932042768</v>
      </c>
      <c r="K60" s="50">
        <v>708339.105813822</v>
      </c>
      <c r="L60" s="56">
        <v>-0.11749887658349094</v>
      </c>
      <c r="M60" s="56">
        <v>0.9311174306795723</v>
      </c>
      <c r="N60" s="51">
        <v>-0.0026559821777887294</v>
      </c>
      <c r="O60" s="7">
        <v>-0.0321951663886062</v>
      </c>
      <c r="P60" s="52">
        <v>58.25362290842891</v>
      </c>
      <c r="Q60" s="34">
        <v>4935.572888946772</v>
      </c>
      <c r="R60" s="13">
        <v>5080.914596581936</v>
      </c>
      <c r="S60" s="56">
        <v>-0.02108508784955072</v>
      </c>
      <c r="T60" s="50">
        <v>291056.5389032249</v>
      </c>
      <c r="U60" s="50">
        <v>760740.8931189738</v>
      </c>
      <c r="V60" s="50">
        <v>469684.3542157489</v>
      </c>
    </row>
    <row r="61">
      <c r="A61" s="54">
        <v>45595.95997916667</v>
      </c>
      <c r="B61" s="47">
        <v>15.206518831693202</v>
      </c>
      <c r="C61" s="7">
        <v>-0.09526063756163072</v>
      </c>
      <c r="D61" s="48">
        <v>1.7399133030077842</v>
      </c>
      <c r="E61" s="49">
        <v>161.33064085324295</v>
      </c>
      <c r="F61" s="7">
        <v>-0.08084885988972523</v>
      </c>
      <c r="G61" s="48">
        <v>1.7694524872186017</v>
      </c>
      <c r="H61" s="50">
        <v>54107.01698047207</v>
      </c>
      <c r="I61" s="56">
        <v>-0.006463278849145477</v>
      </c>
      <c r="J61" s="56">
        <v>0.06784836858732898</v>
      </c>
      <c r="K61" s="50">
        <v>743362.6658878766</v>
      </c>
      <c r="L61" s="56">
        <v>-0.08879735871248526</v>
      </c>
      <c r="M61" s="56">
        <v>0.9321516314126711</v>
      </c>
      <c r="N61" s="51">
        <v>-0.01441177767190549</v>
      </c>
      <c r="O61" s="7">
        <v>-0.02953918421081747</v>
      </c>
      <c r="P61" s="52">
        <v>58.25362290842891</v>
      </c>
      <c r="Q61" s="34">
        <v>4943.076396713628</v>
      </c>
      <c r="R61" s="13">
        <v>5080.914596581936</v>
      </c>
      <c r="S61" s="56">
        <v>-0.019596852175256023</v>
      </c>
      <c r="T61" s="50">
        <v>291056.5389032249</v>
      </c>
      <c r="U61" s="50">
        <v>797469.6828683487</v>
      </c>
      <c r="V61" s="50">
        <v>506413.14396512375</v>
      </c>
    </row>
    <row r="62">
      <c r="A62" s="54">
        <v>45594.95996923611</v>
      </c>
      <c r="B62" s="47">
        <v>15.735215370160253</v>
      </c>
      <c r="C62" s="7">
        <v>0.033800257252423194</v>
      </c>
      <c r="D62" s="48">
        <v>1.835173940569415</v>
      </c>
      <c r="E62" s="49">
        <v>166.0403798498354</v>
      </c>
      <c r="F62" s="7">
        <v>0.01735319037248484</v>
      </c>
      <c r="G62" s="48">
        <v>1.850301347108327</v>
      </c>
      <c r="H62" s="50">
        <v>54489.94685721909</v>
      </c>
      <c r="I62" s="56">
        <v>0.002231923582581702</v>
      </c>
      <c r="J62" s="56">
        <v>0.06603273951181812</v>
      </c>
      <c r="K62" s="50">
        <v>770705.9674735323</v>
      </c>
      <c r="L62" s="56">
        <v>0.03156833366984149</v>
      </c>
      <c r="M62" s="56">
        <v>0.9339672604881819</v>
      </c>
      <c r="N62" s="51">
        <v>0.016447066879938355</v>
      </c>
      <c r="O62" s="7">
        <v>-0.01512740653891198</v>
      </c>
      <c r="P62" s="52">
        <v>58.25362290842891</v>
      </c>
      <c r="Q62" s="34">
        <v>4969.850798203708</v>
      </c>
      <c r="R62" s="13">
        <v>5080.914596581936</v>
      </c>
      <c r="S62" s="56">
        <v>-0.014286453266703875</v>
      </c>
      <c r="T62" s="50">
        <v>291056.5389032249</v>
      </c>
      <c r="U62" s="50">
        <v>825195.9143307514</v>
      </c>
      <c r="V62" s="50">
        <v>534139.3754275264</v>
      </c>
    </row>
    <row r="63">
      <c r="A63" s="54">
        <v>45593.95997894676</v>
      </c>
      <c r="B63" s="47">
        <v>15.547623942409304</v>
      </c>
      <c r="C63" s="7">
        <v>0.0379146921411313</v>
      </c>
      <c r="D63" s="48">
        <v>1.8013736833169918</v>
      </c>
      <c r="E63" s="49">
        <v>165.0294936416185</v>
      </c>
      <c r="F63" s="7">
        <v>0.010727906706744506</v>
      </c>
      <c r="G63" s="48">
        <v>1.832948156735842</v>
      </c>
      <c r="H63" s="50">
        <v>52300.185124005206</v>
      </c>
      <c r="I63" s="56">
        <v>0.002431993192602055</v>
      </c>
      <c r="J63" s="56">
        <v>0.06414382011989848</v>
      </c>
      <c r="K63" s="50">
        <v>763057.9433168173</v>
      </c>
      <c r="L63" s="56">
        <v>0.03548269894852925</v>
      </c>
      <c r="M63" s="56">
        <v>0.9358561798801015</v>
      </c>
      <c r="N63" s="51">
        <v>0.027186785434386795</v>
      </c>
      <c r="O63" s="7">
        <v>-0.031574473418850335</v>
      </c>
      <c r="P63" s="52">
        <v>58.25362290842891</v>
      </c>
      <c r="Q63" s="34">
        <v>4940.68127126095</v>
      </c>
      <c r="R63" s="13">
        <v>5080.914596581936</v>
      </c>
      <c r="S63" s="56">
        <v>-0.02007189814759869</v>
      </c>
      <c r="T63" s="50">
        <v>291056.5389032249</v>
      </c>
      <c r="U63" s="50">
        <v>815358.1284408225</v>
      </c>
      <c r="V63" s="50">
        <v>524301.5895375975</v>
      </c>
    </row>
    <row r="64">
      <c r="A64" s="54">
        <v>45592.95996241899</v>
      </c>
      <c r="B64" s="47">
        <v>15.337197401026025</v>
      </c>
      <c r="C64" s="7">
        <v>0.10515499357282376</v>
      </c>
      <c r="D64" s="48">
        <v>1.7634589911758605</v>
      </c>
      <c r="E64" s="49">
        <v>164.404554209727</v>
      </c>
      <c r="F64" s="7">
        <v>0.10256640879518919</v>
      </c>
      <c r="G64" s="48">
        <v>1.8222202500290976</v>
      </c>
      <c r="H64" s="50">
        <v>51101.0413297221</v>
      </c>
      <c r="I64" s="56">
        <v>0.006680812243510512</v>
      </c>
      <c r="J64" s="56">
        <v>0.06353300035041892</v>
      </c>
      <c r="K64" s="50">
        <v>753221.7680429214</v>
      </c>
      <c r="L64" s="56">
        <v>0.09847418132931325</v>
      </c>
      <c r="M64" s="56">
        <v>0.936466999649581</v>
      </c>
      <c r="N64" s="51">
        <v>0.0025885847776345727</v>
      </c>
      <c r="O64" s="7">
        <v>-0.05876125885323713</v>
      </c>
      <c r="P64" s="52">
        <v>58.25362290842891</v>
      </c>
      <c r="Q64" s="34">
        <v>4892.338981963894</v>
      </c>
      <c r="R64" s="13">
        <v>5080.914596581936</v>
      </c>
      <c r="S64" s="56">
        <v>-0.02966004301855356</v>
      </c>
      <c r="T64" s="50">
        <v>291056.5389032249</v>
      </c>
      <c r="U64" s="50">
        <v>804322.8093726436</v>
      </c>
      <c r="V64" s="50">
        <v>513266.27046941867</v>
      </c>
    </row>
    <row r="65">
      <c r="A65" s="54">
        <v>45591.95995643518</v>
      </c>
      <c r="B65" s="47">
        <v>14.753587186696853</v>
      </c>
      <c r="C65" s="7">
        <v>0.053804553785878895</v>
      </c>
      <c r="D65" s="48">
        <v>1.6583039976030367</v>
      </c>
      <c r="E65" s="49">
        <v>158.4296893087003</v>
      </c>
      <c r="F65" s="7">
        <v>0.05081337793460561</v>
      </c>
      <c r="G65" s="48">
        <v>1.7196538412339084</v>
      </c>
      <c r="H65" s="50">
        <v>50402.521293274054</v>
      </c>
      <c r="I65" s="56">
        <v>0.0035050102375074215</v>
      </c>
      <c r="J65" s="56">
        <v>0.06514337525139588</v>
      </c>
      <c r="K65" s="50">
        <v>723314.2396016726</v>
      </c>
      <c r="L65" s="56">
        <v>0.050299543548371475</v>
      </c>
      <c r="M65" s="56">
        <v>0.9348566247486042</v>
      </c>
      <c r="N65" s="51">
        <v>0.0029911758512732867</v>
      </c>
      <c r="O65" s="7">
        <v>-0.0613498436308717</v>
      </c>
      <c r="P65" s="52">
        <v>58.25362290842891</v>
      </c>
      <c r="Q65" s="34">
        <v>4883.6601540470065</v>
      </c>
      <c r="R65" s="13">
        <v>5080.914596581936</v>
      </c>
      <c r="S65" s="56">
        <v>-0.03138139011624417</v>
      </c>
      <c r="T65" s="50">
        <v>291056.5389032249</v>
      </c>
      <c r="U65" s="50">
        <v>773716.7608949466</v>
      </c>
      <c r="V65" s="50">
        <v>482660.2219917217</v>
      </c>
    </row>
    <row r="66">
      <c r="A66" s="54">
        <v>45590.95996157407</v>
      </c>
      <c r="B66" s="47">
        <v>14.454971913185226</v>
      </c>
      <c r="C66" s="7">
        <v>-0.14917061027287914</v>
      </c>
      <c r="D66" s="48">
        <v>1.6044994438171578</v>
      </c>
      <c r="E66" s="49">
        <v>155.46962595179428</v>
      </c>
      <c r="F66" s="7">
        <v>-0.15091090022796116</v>
      </c>
      <c r="G66" s="48">
        <v>1.6688404632993028</v>
      </c>
      <c r="H66" s="50">
        <v>50302.16514528842</v>
      </c>
      <c r="I66" s="56">
        <v>-0.00989847556924051</v>
      </c>
      <c r="J66" s="56">
        <v>0.06635674112436182</v>
      </c>
      <c r="K66" s="50">
        <v>707754.4285475079</v>
      </c>
      <c r="L66" s="56">
        <v>-0.13927213470363864</v>
      </c>
      <c r="M66" s="56">
        <v>0.9336432588756381</v>
      </c>
      <c r="N66" s="51">
        <v>0.0017402899550820194</v>
      </c>
      <c r="O66" s="7">
        <v>-0.06434101948214499</v>
      </c>
      <c r="P66" s="52">
        <v>58.25362290842891</v>
      </c>
      <c r="Q66" s="34">
        <v>4875.91443699648</v>
      </c>
      <c r="R66" s="13">
        <v>5080.914596581936</v>
      </c>
      <c r="S66" s="56">
        <v>-0.032917665255253754</v>
      </c>
      <c r="T66" s="50">
        <v>291056.5389032249</v>
      </c>
      <c r="U66" s="50">
        <v>758056.5936927963</v>
      </c>
      <c r="V66" s="50">
        <v>467000.0547895714</v>
      </c>
    </row>
    <row r="67">
      <c r="A67" s="54">
        <v>45589.959958125</v>
      </c>
      <c r="B67" s="47">
        <v>15.282868800199704</v>
      </c>
      <c r="C67" s="7">
        <v>0.06715872184190097</v>
      </c>
      <c r="D67" s="48">
        <v>1.753670054090037</v>
      </c>
      <c r="E67" s="49">
        <v>164.26073262644547</v>
      </c>
      <c r="F67" s="7">
        <v>0.09124938328372734</v>
      </c>
      <c r="G67" s="48">
        <v>1.819751363527264</v>
      </c>
      <c r="H67" s="50">
        <v>51034.89346103162</v>
      </c>
      <c r="I67" s="56">
        <v>0.004276420199601312</v>
      </c>
      <c r="J67" s="56">
        <v>0.0636763190590267</v>
      </c>
      <c r="K67" s="50">
        <v>750438.7817638707</v>
      </c>
      <c r="L67" s="56">
        <v>0.06288230164229966</v>
      </c>
      <c r="M67" s="56">
        <v>0.9363236809409733</v>
      </c>
      <c r="N67" s="51">
        <v>-0.024090661441826366</v>
      </c>
      <c r="O67" s="7">
        <v>-0.06608130943722701</v>
      </c>
      <c r="P67" s="52">
        <v>58.25362290842891</v>
      </c>
      <c r="Q67" s="34">
        <v>4879.277368423642</v>
      </c>
      <c r="R67" s="13">
        <v>5080.914596581936</v>
      </c>
      <c r="S67" s="56">
        <v>-0.03225066594298328</v>
      </c>
      <c r="T67" s="50">
        <v>291056.5389032249</v>
      </c>
      <c r="U67" s="50">
        <v>801473.6752249023</v>
      </c>
      <c r="V67" s="50">
        <v>510417.1363216774</v>
      </c>
    </row>
    <row r="68">
      <c r="A68" s="54">
        <v>45588.959973425925</v>
      </c>
      <c r="B68" s="47">
        <v>14.910137893977154</v>
      </c>
      <c r="C68" s="7">
        <v>0.1436238996356778</v>
      </c>
      <c r="D68" s="48">
        <v>1.686511332248136</v>
      </c>
      <c r="E68" s="49">
        <v>158.94512546200852</v>
      </c>
      <c r="F68" s="7">
        <v>0.06698087468876013</v>
      </c>
      <c r="G68" s="48">
        <v>1.7285019802435366</v>
      </c>
      <c r="H68" s="50">
        <v>49854.8005750764</v>
      </c>
      <c r="I68" s="56">
        <v>0.009157304597623706</v>
      </c>
      <c r="J68" s="56">
        <v>0.0637589190994848</v>
      </c>
      <c r="K68" s="50">
        <v>732071.8895133578</v>
      </c>
      <c r="L68" s="56">
        <v>0.13446659503805408</v>
      </c>
      <c r="M68" s="56">
        <v>0.9362410809005153</v>
      </c>
      <c r="N68" s="51">
        <v>0.07664302494691766</v>
      </c>
      <c r="O68" s="7">
        <v>-0.04199064799540064</v>
      </c>
      <c r="P68" s="52">
        <v>58.25362290842891</v>
      </c>
      <c r="Q68" s="34">
        <v>4919.475748725194</v>
      </c>
      <c r="R68" s="13">
        <v>5080.914596581936</v>
      </c>
      <c r="S68" s="56">
        <v>-0.024277773067748833</v>
      </c>
      <c r="T68" s="50">
        <v>291056.5389032249</v>
      </c>
      <c r="U68" s="50">
        <v>781926.6900884341</v>
      </c>
      <c r="V68" s="50">
        <v>490870.1511852092</v>
      </c>
    </row>
    <row r="69">
      <c r="A69" s="54">
        <v>45587.95996259259</v>
      </c>
      <c r="B69" s="47">
        <v>14.113025250999142</v>
      </c>
      <c r="C69" s="7">
        <v>0.008880239634001086</v>
      </c>
      <c r="D69" s="48">
        <v>1.5428874326124582</v>
      </c>
      <c r="E69" s="49">
        <v>155.04324684581277</v>
      </c>
      <c r="F69" s="7">
        <v>0.004426122179063796</v>
      </c>
      <c r="G69" s="48">
        <v>1.6615211055547765</v>
      </c>
      <c r="H69" s="50">
        <v>50564.387013741696</v>
      </c>
      <c r="I69" s="56">
        <v>6.066873450318657E-4</v>
      </c>
      <c r="J69" s="56">
        <v>0.06831880332473823</v>
      </c>
      <c r="K69" s="50">
        <v>689559.627942948</v>
      </c>
      <c r="L69" s="56">
        <v>0.00827355228896922</v>
      </c>
      <c r="M69" s="56">
        <v>0.9316811966752618</v>
      </c>
      <c r="N69" s="51">
        <v>0.00445411745493729</v>
      </c>
      <c r="O69" s="7">
        <v>-0.1186336729423183</v>
      </c>
      <c r="P69" s="52">
        <v>58.25362290842891</v>
      </c>
      <c r="Q69" s="34">
        <v>4773.661736410405</v>
      </c>
      <c r="R69" s="13">
        <v>5080.914596581936</v>
      </c>
      <c r="S69" s="56">
        <v>-0.053198328850665416</v>
      </c>
      <c r="T69" s="50">
        <v>291056.5389032249</v>
      </c>
      <c r="U69" s="50">
        <v>740124.0149566897</v>
      </c>
      <c r="V69" s="50">
        <v>449067.47605346475</v>
      </c>
    </row>
    <row r="70">
      <c r="A70" s="54">
        <v>45586.95996255787</v>
      </c>
      <c r="B70" s="47">
        <v>14.063739921030436</v>
      </c>
      <c r="C70" s="7">
        <v>0.07615067084300575</v>
      </c>
      <c r="D70" s="48">
        <v>1.5340071929784571</v>
      </c>
      <c r="E70" s="49">
        <v>154.78540919344695</v>
      </c>
      <c r="F70" s="7">
        <v>0.07064759575835744</v>
      </c>
      <c r="G70" s="48">
        <v>1.6570949833757127</v>
      </c>
      <c r="H70" s="50">
        <v>50659.24231717455</v>
      </c>
      <c r="I70" s="56">
        <v>0.005230548333590508</v>
      </c>
      <c r="J70" s="56">
        <v>0.06868683198305561</v>
      </c>
      <c r="K70" s="50">
        <v>686880.1208270115</v>
      </c>
      <c r="L70" s="56">
        <v>0.07092012250941525</v>
      </c>
      <c r="M70" s="56">
        <v>0.9313131680169444</v>
      </c>
      <c r="N70" s="51">
        <v>0.005503075084648312</v>
      </c>
      <c r="O70" s="7">
        <v>-0.12308779039725559</v>
      </c>
      <c r="P70" s="52">
        <v>58.25362290842891</v>
      </c>
      <c r="Q70" s="34">
        <v>4764.915291352997</v>
      </c>
      <c r="R70" s="13">
        <v>5080.914596581936</v>
      </c>
      <c r="S70" s="56">
        <v>-0.05493308704138649</v>
      </c>
      <c r="T70" s="50">
        <v>291056.5389032249</v>
      </c>
      <c r="U70" s="50">
        <v>737539.3631441861</v>
      </c>
      <c r="V70" s="50">
        <v>446482.82424096117</v>
      </c>
    </row>
    <row r="71">
      <c r="A71" s="54">
        <v>45585.959958657404</v>
      </c>
      <c r="B71" s="47">
        <v>13.641103697851754</v>
      </c>
      <c r="C71" s="7">
        <v>0.10778254754513172</v>
      </c>
      <c r="D71" s="48">
        <v>1.4578565221354514</v>
      </c>
      <c r="E71" s="49">
        <v>150.66993079075246</v>
      </c>
      <c r="F71" s="7">
        <v>0.09894208392167325</v>
      </c>
      <c r="G71" s="48">
        <v>1.5864473876173553</v>
      </c>
      <c r="H71" s="50">
        <v>51184.08819966252</v>
      </c>
      <c r="I71" s="56">
        <v>0.007711689367896888</v>
      </c>
      <c r="J71" s="56">
        <v>0.07154859059782176</v>
      </c>
      <c r="K71" s="50">
        <v>664191.1242537996</v>
      </c>
      <c r="L71" s="56">
        <v>0.10007085817723484</v>
      </c>
      <c r="M71" s="56">
        <v>0.9284514094021783</v>
      </c>
      <c r="N71" s="51">
        <v>0.008840463623458472</v>
      </c>
      <c r="O71" s="7">
        <v>-0.1285908654819039</v>
      </c>
      <c r="P71" s="52">
        <v>58.25362290842891</v>
      </c>
      <c r="Q71" s="34">
        <v>4747.962706951539</v>
      </c>
      <c r="R71" s="13">
        <v>5080.914596581936</v>
      </c>
      <c r="S71" s="56">
        <v>-0.058295439911757646</v>
      </c>
      <c r="T71" s="50">
        <v>291056.5389032249</v>
      </c>
      <c r="U71" s="50">
        <v>715375.2124534621</v>
      </c>
      <c r="V71" s="50">
        <v>424318.67355023714</v>
      </c>
    </row>
    <row r="72">
      <c r="A72" s="54">
        <v>45584.95997327546</v>
      </c>
      <c r="B72" s="47">
        <v>13.042910558976274</v>
      </c>
      <c r="C72" s="7">
        <v>0.05026374546928336</v>
      </c>
      <c r="D72" s="48">
        <v>1.3500739745903196</v>
      </c>
      <c r="E72" s="49">
        <v>144.9061959442052</v>
      </c>
      <c r="F72" s="7">
        <v>0.05386991993592449</v>
      </c>
      <c r="G72" s="48">
        <v>1.487505303695682</v>
      </c>
      <c r="H72" s="50">
        <v>50982.027623465576</v>
      </c>
      <c r="I72" s="56">
        <v>0.003746390623252227</v>
      </c>
      <c r="J72" s="56">
        <v>0.07453464894576312</v>
      </c>
      <c r="K72" s="50">
        <v>633022.3695873383</v>
      </c>
      <c r="L72" s="56">
        <v>0.04651735484603114</v>
      </c>
      <c r="M72" s="56">
        <v>0.925465351054237</v>
      </c>
      <c r="N72" s="51">
        <v>-0.003606174466641132</v>
      </c>
      <c r="O72" s="7">
        <v>-0.13743132910536238</v>
      </c>
      <c r="P72" s="52">
        <v>58.25362290842891</v>
      </c>
      <c r="Q72" s="34">
        <v>4720.325399158042</v>
      </c>
      <c r="R72" s="13">
        <v>5080.914596581936</v>
      </c>
      <c r="S72" s="56">
        <v>-0.06377698650006447</v>
      </c>
      <c r="T72" s="50">
        <v>291056.5389032249</v>
      </c>
      <c r="U72" s="50">
        <v>684004.3972108038</v>
      </c>
      <c r="V72" s="50">
        <v>392947.8583075789</v>
      </c>
    </row>
    <row r="73">
      <c r="A73" s="54">
        <v>45583.95995819445</v>
      </c>
      <c r="B73" s="47">
        <v>12.76394677162175</v>
      </c>
      <c r="C73" s="7">
        <v>0.06674001582717759</v>
      </c>
      <c r="D73" s="48">
        <v>1.2998102291210363</v>
      </c>
      <c r="E73" s="49">
        <v>141.7680779421506</v>
      </c>
      <c r="F73" s="7">
        <v>0.05463696303524923</v>
      </c>
      <c r="G73" s="48">
        <v>1.4336353837597575</v>
      </c>
      <c r="H73" s="50">
        <v>50969.4314335599</v>
      </c>
      <c r="I73" s="56">
        <v>0.005081907226000898</v>
      </c>
      <c r="J73" s="56">
        <v>0.07614483099854862</v>
      </c>
      <c r="K73" s="50">
        <v>618405.3739886417</v>
      </c>
      <c r="L73" s="56">
        <v>0.0616581086011767</v>
      </c>
      <c r="M73" s="56">
        <v>0.9238551690014515</v>
      </c>
      <c r="N73" s="51">
        <v>0.01210305279192836</v>
      </c>
      <c r="O73" s="7">
        <v>-0.13382515463872124</v>
      </c>
      <c r="P73" s="52">
        <v>58.25362290842891</v>
      </c>
      <c r="Q73" s="34">
        <v>4721.618682700519</v>
      </c>
      <c r="R73" s="13">
        <v>5080.914596581936</v>
      </c>
      <c r="S73" s="56">
        <v>-0.06352047837550531</v>
      </c>
      <c r="T73" s="50">
        <v>291056.5389032249</v>
      </c>
      <c r="U73" s="50">
        <v>669374.8054222015</v>
      </c>
      <c r="V73" s="50">
        <v>378318.2665189766</v>
      </c>
    </row>
    <row r="74">
      <c r="A74" s="54">
        <v>45582.959964953705</v>
      </c>
      <c r="B74" s="47">
        <v>12.393539683780915</v>
      </c>
      <c r="C74" s="7">
        <v>-0.06123615311585917</v>
      </c>
      <c r="D74" s="48">
        <v>1.2330702132938587</v>
      </c>
      <c r="E74" s="49">
        <v>138.5852769006334</v>
      </c>
      <c r="F74" s="7">
        <v>-0.05313429130210645</v>
      </c>
      <c r="G74" s="48">
        <v>1.3789984207245083</v>
      </c>
      <c r="H74" s="50">
        <v>50179.0173808405</v>
      </c>
      <c r="I74" s="56">
        <v>-0.004727704391681547</v>
      </c>
      <c r="J74" s="56">
        <v>0.07720446421147163</v>
      </c>
      <c r="K74" s="50">
        <v>599770.6700283563</v>
      </c>
      <c r="L74" s="56">
        <v>-0.05650844872417762</v>
      </c>
      <c r="M74" s="56">
        <v>0.9227955357885284</v>
      </c>
      <c r="N74" s="51">
        <v>-0.00810186181375272</v>
      </c>
      <c r="O74" s="7">
        <v>-0.1459282074306496</v>
      </c>
      <c r="P74" s="52">
        <v>58.25362290842891</v>
      </c>
      <c r="Q74" s="34">
        <v>4689.889878238762</v>
      </c>
      <c r="R74" s="13">
        <v>5080.914596581936</v>
      </c>
      <c r="S74" s="56">
        <v>-0.06981352692958044</v>
      </c>
      <c r="T74" s="50">
        <v>291056.5389032249</v>
      </c>
      <c r="U74" s="50">
        <v>649949.6874091967</v>
      </c>
      <c r="V74" s="50">
        <v>358893.1485059718</v>
      </c>
    </row>
    <row r="75">
      <c r="A75" s="54">
        <v>45581.95996613426</v>
      </c>
      <c r="B75" s="47">
        <v>12.733400333573934</v>
      </c>
      <c r="C75" s="7">
        <v>0.011547180806289248</v>
      </c>
      <c r="D75" s="48">
        <v>1.2943063664097179</v>
      </c>
      <c r="E75" s="49">
        <v>141.68054186965293</v>
      </c>
      <c r="F75" s="7">
        <v>0.017237756538512006</v>
      </c>
      <c r="G75" s="48">
        <v>1.4321327120266147</v>
      </c>
      <c r="H75" s="50">
        <v>50410.78681185442</v>
      </c>
      <c r="I75" s="56">
        <v>8.717072763639262E-4</v>
      </c>
      <c r="J75" s="56">
        <v>0.07549091773891209</v>
      </c>
      <c r="K75" s="50">
        <v>617362.0833789922</v>
      </c>
      <c r="L75" s="56">
        <v>0.01067547352992532</v>
      </c>
      <c r="M75" s="56">
        <v>0.9245090822610879</v>
      </c>
      <c r="N75" s="51">
        <v>-0.005690575732222758</v>
      </c>
      <c r="O75" s="7">
        <v>-0.13782634561689688</v>
      </c>
      <c r="P75" s="52">
        <v>58.25362290842891</v>
      </c>
      <c r="Q75" s="34">
        <v>4713.2292224376315</v>
      </c>
      <c r="R75" s="13">
        <v>5080.914596581936</v>
      </c>
      <c r="S75" s="56">
        <v>-0.06518443268051129</v>
      </c>
      <c r="T75" s="50">
        <v>291056.5389032249</v>
      </c>
      <c r="U75" s="50">
        <v>667772.8701908466</v>
      </c>
      <c r="V75" s="50">
        <v>376716.3312876217</v>
      </c>
    </row>
    <row r="76">
      <c r="A76" s="54">
        <v>45580.95996412037</v>
      </c>
      <c r="B76" s="47">
        <v>12.669313480099028</v>
      </c>
      <c r="C76" s="7">
        <v>-0.021100143355844203</v>
      </c>
      <c r="D76" s="48">
        <v>1.2827591856034286</v>
      </c>
      <c r="E76" s="49">
        <v>140.67638010047116</v>
      </c>
      <c r="F76" s="7">
        <v>-0.035406487430629685</v>
      </c>
      <c r="G76" s="48">
        <v>1.4148949554881027</v>
      </c>
      <c r="H76" s="50">
        <v>49312.878768632705</v>
      </c>
      <c r="I76" s="56">
        <v>-0.0015660596595973388</v>
      </c>
      <c r="J76" s="56">
        <v>0.0742203326862033</v>
      </c>
      <c r="K76" s="50">
        <v>615099.1089426457</v>
      </c>
      <c r="L76" s="56">
        <v>-0.019534083696246866</v>
      </c>
      <c r="M76" s="56">
        <v>0.9257796673137968</v>
      </c>
      <c r="N76" s="51">
        <v>0.014306344074785482</v>
      </c>
      <c r="O76" s="7">
        <v>-0.13213576988467413</v>
      </c>
      <c r="P76" s="52">
        <v>58.25362290842891</v>
      </c>
      <c r="Q76" s="34">
        <v>4722.981834169708</v>
      </c>
      <c r="R76" s="13">
        <v>5080.914596581936</v>
      </c>
      <c r="S76" s="56">
        <v>-0.06325011273999864</v>
      </c>
      <c r="T76" s="50">
        <v>291056.5389032249</v>
      </c>
      <c r="U76" s="50">
        <v>664411.9877112784</v>
      </c>
      <c r="V76" s="50">
        <v>373355.44880805345</v>
      </c>
    </row>
    <row r="77">
      <c r="A77" s="54">
        <v>45579.95998883102</v>
      </c>
      <c r="B77" s="47">
        <v>12.786419275723963</v>
      </c>
      <c r="C77" s="7">
        <v>0.14779849669574396</v>
      </c>
      <c r="D77" s="48">
        <v>1.3038593289592728</v>
      </c>
      <c r="E77" s="49">
        <v>142.7389362677671</v>
      </c>
      <c r="F77" s="7">
        <v>0.1442688945171806</v>
      </c>
      <c r="G77" s="48">
        <v>1.4503014429187324</v>
      </c>
      <c r="H77" s="50">
        <v>48767.54847496918</v>
      </c>
      <c r="I77" s="56">
        <v>0.010748989097938824</v>
      </c>
      <c r="J77" s="56">
        <v>0.0727273236078074</v>
      </c>
      <c r="K77" s="50">
        <v>621785.773931823</v>
      </c>
      <c r="L77" s="56">
        <v>0.13704950759780513</v>
      </c>
      <c r="M77" s="56">
        <v>0.9272726763921926</v>
      </c>
      <c r="N77" s="51">
        <v>0.0035296021785633513</v>
      </c>
      <c r="O77" s="7">
        <v>-0.1464421139594596</v>
      </c>
      <c r="P77" s="52">
        <v>58.25362290842891</v>
      </c>
      <c r="Q77" s="34">
        <v>4697.76040049007</v>
      </c>
      <c r="R77" s="13">
        <v>5080.914596581936</v>
      </c>
      <c r="S77" s="56">
        <v>-0.06825249809431151</v>
      </c>
      <c r="T77" s="50">
        <v>291056.5389032249</v>
      </c>
      <c r="U77" s="50">
        <v>670553.3224067922</v>
      </c>
      <c r="V77" s="50">
        <v>379496.7835035673</v>
      </c>
    </row>
    <row r="78">
      <c r="A78" s="54">
        <v>45578.95996934028</v>
      </c>
      <c r="B78" s="47">
        <v>11.966137619062584</v>
      </c>
      <c r="C78" s="7">
        <v>0.017410484644799773</v>
      </c>
      <c r="D78" s="48">
        <v>1.1560608322635288</v>
      </c>
      <c r="E78" s="49">
        <v>134.33475048914732</v>
      </c>
      <c r="F78" s="7">
        <v>0.013174224618444974</v>
      </c>
      <c r="G78" s="48">
        <v>1.3060325484015518</v>
      </c>
      <c r="H78" s="50">
        <v>46400.90562108789</v>
      </c>
      <c r="I78" s="56">
        <v>0.0012873568452699583</v>
      </c>
      <c r="J78" s="56">
        <v>0.07394147098911866</v>
      </c>
      <c r="K78" s="50">
        <v>581134.6978823415</v>
      </c>
      <c r="L78" s="56">
        <v>0.016123127799529815</v>
      </c>
      <c r="M78" s="56">
        <v>0.9260585290108814</v>
      </c>
      <c r="N78" s="51">
        <v>0.004236260026354799</v>
      </c>
      <c r="O78" s="7">
        <v>-0.14997171613802296</v>
      </c>
      <c r="P78" s="52">
        <v>58.25362290842891</v>
      </c>
      <c r="Q78" s="34">
        <v>4671.431637892735</v>
      </c>
      <c r="R78" s="13">
        <v>5080.914596581936</v>
      </c>
      <c r="S78" s="56">
        <v>-0.07347450958212089</v>
      </c>
      <c r="T78" s="50">
        <v>291056.5389032249</v>
      </c>
      <c r="U78" s="50">
        <v>627535.6035034293</v>
      </c>
      <c r="V78" s="50">
        <v>336479.0646002044</v>
      </c>
    </row>
    <row r="79">
      <c r="A79" s="54">
        <v>45577.959961597226</v>
      </c>
      <c r="B79" s="47">
        <v>11.869509429283946</v>
      </c>
      <c r="C79" s="7">
        <v>0.008702665448991453</v>
      </c>
      <c r="D79" s="48">
        <v>1.138650347618729</v>
      </c>
      <c r="E79" s="49">
        <v>133.5673041761135</v>
      </c>
      <c r="F79" s="7">
        <v>0.005584393675838406</v>
      </c>
      <c r="G79" s="48">
        <v>1.2928583237831068</v>
      </c>
      <c r="H79" s="50">
        <v>46683.08079693136</v>
      </c>
      <c r="I79" s="56">
        <v>6.526715021310171E-4</v>
      </c>
      <c r="J79" s="56">
        <v>0.0749967358801153</v>
      </c>
      <c r="K79" s="50">
        <v>575785.0873051548</v>
      </c>
      <c r="L79" s="56">
        <v>0.008049993946860436</v>
      </c>
      <c r="M79" s="56">
        <v>0.9250032641198846</v>
      </c>
      <c r="N79" s="51">
        <v>0.0031182717731530474</v>
      </c>
      <c r="O79" s="7">
        <v>-0.15420797616437776</v>
      </c>
      <c r="P79" s="52">
        <v>58.25362290842891</v>
      </c>
      <c r="Q79" s="34">
        <v>4660.333394775555</v>
      </c>
      <c r="R79" s="13">
        <v>5080.914596581936</v>
      </c>
      <c r="S79" s="56">
        <v>-0.075675720248143</v>
      </c>
      <c r="T79" s="50">
        <v>291056.5389032249</v>
      </c>
      <c r="U79" s="50">
        <v>622468.1681020862</v>
      </c>
      <c r="V79" s="50">
        <v>331411.62919886125</v>
      </c>
    </row>
    <row r="80">
      <c r="A80" s="54">
        <v>45576.95996612268</v>
      </c>
      <c r="B80" s="47">
        <v>11.821209636042044</v>
      </c>
      <c r="C80" s="7">
        <v>0.11521286784616436</v>
      </c>
      <c r="D80" s="48">
        <v>1.1299476821697376</v>
      </c>
      <c r="E80" s="49">
        <v>133.241993012749</v>
      </c>
      <c r="F80" s="7">
        <v>0.11268054295962182</v>
      </c>
      <c r="G80" s="48">
        <v>1.2872739301072684</v>
      </c>
      <c r="H80" s="50">
        <v>46452.29157908531</v>
      </c>
      <c r="I80" s="56">
        <v>0.008633001848016303</v>
      </c>
      <c r="J80" s="56">
        <v>0.07493088236934908</v>
      </c>
      <c r="K80" s="50">
        <v>573482.9088381847</v>
      </c>
      <c r="L80" s="56">
        <v>0.10657986599814806</v>
      </c>
      <c r="M80" s="56">
        <v>0.9250691176306509</v>
      </c>
      <c r="N80" s="51">
        <v>0.0025323248865425363</v>
      </c>
      <c r="O80" s="7">
        <v>-0.1573262479375308</v>
      </c>
      <c r="P80" s="52">
        <v>58.25362290842891</v>
      </c>
      <c r="Q80" s="34">
        <v>4652.701347374417</v>
      </c>
      <c r="R80" s="13">
        <v>5080.914596581936</v>
      </c>
      <c r="S80" s="56">
        <v>-0.07718945030123245</v>
      </c>
      <c r="T80" s="50">
        <v>291056.5389032249</v>
      </c>
      <c r="U80" s="50">
        <v>619935.20041727</v>
      </c>
      <c r="V80" s="50">
        <v>328878.66151404503</v>
      </c>
    </row>
    <row r="81">
      <c r="A81" s="54">
        <v>45575.96000103009</v>
      </c>
      <c r="B81" s="47">
        <v>11.18177821949583</v>
      </c>
      <c r="C81" s="7">
        <v>-0.011120522011704104</v>
      </c>
      <c r="D81" s="48">
        <v>1.0147348143235733</v>
      </c>
      <c r="E81" s="49">
        <v>126.67794315406216</v>
      </c>
      <c r="F81" s="7">
        <v>-0.018219055294359077</v>
      </c>
      <c r="G81" s="48">
        <v>1.1745933871476466</v>
      </c>
      <c r="H81" s="50">
        <v>44632.877299832006</v>
      </c>
      <c r="I81" s="56">
        <v>-8.46417837846162E-4</v>
      </c>
      <c r="J81" s="56">
        <v>0.07611313901949261</v>
      </c>
      <c r="K81" s="50">
        <v>541768.8645650188</v>
      </c>
      <c r="L81" s="56">
        <v>-0.010274104173857943</v>
      </c>
      <c r="M81" s="56">
        <v>0.9238868609805075</v>
      </c>
      <c r="N81" s="51">
        <v>0.007098533282654973</v>
      </c>
      <c r="O81" s="7">
        <v>-0.15985857282407334</v>
      </c>
      <c r="P81" s="52">
        <v>58.25362290842891</v>
      </c>
      <c r="Q81" s="34">
        <v>4629.07533280427</v>
      </c>
      <c r="R81" s="13">
        <v>5080.914596581936</v>
      </c>
      <c r="S81" s="56">
        <v>-0.08187540236754592</v>
      </c>
      <c r="T81" s="50">
        <v>291056.5389032249</v>
      </c>
      <c r="U81" s="50">
        <v>586401.7418648507</v>
      </c>
      <c r="V81" s="50">
        <v>295345.2029616258</v>
      </c>
    </row>
    <row r="82">
      <c r="A82" s="54">
        <v>45574.95996068287</v>
      </c>
      <c r="B82" s="47">
        <v>11.243497116660789</v>
      </c>
      <c r="C82" s="7">
        <v>-0.062462086324649224</v>
      </c>
      <c r="D82" s="48">
        <v>1.0258553363352774</v>
      </c>
      <c r="E82" s="49">
        <v>127.73926913092758</v>
      </c>
      <c r="F82" s="7">
        <v>-0.059240996759608144</v>
      </c>
      <c r="G82" s="48">
        <v>1.1928124424420057</v>
      </c>
      <c r="H82" s="50">
        <v>45062.24103300767</v>
      </c>
      <c r="I82" s="56">
        <v>-0.004773572051023123</v>
      </c>
      <c r="J82" s="56">
        <v>0.07642351275639896</v>
      </c>
      <c r="K82" s="50">
        <v>544576.2014793669</v>
      </c>
      <c r="L82" s="56">
        <v>-0.057688514273626104</v>
      </c>
      <c r="M82" s="56">
        <v>0.9235764872436011</v>
      </c>
      <c r="N82" s="51">
        <v>-0.00322108956504108</v>
      </c>
      <c r="O82" s="7">
        <v>-0.16695710610672831</v>
      </c>
      <c r="P82" s="52">
        <v>58.25362290842891</v>
      </c>
      <c r="Q82" s="34">
        <v>4615.9528430370065</v>
      </c>
      <c r="R82" s="13">
        <v>5080.914596581936</v>
      </c>
      <c r="S82" s="56">
        <v>-0.08447809940125488</v>
      </c>
      <c r="T82" s="50">
        <v>291056.5389032249</v>
      </c>
      <c r="U82" s="50">
        <v>589638.4425123745</v>
      </c>
      <c r="V82" s="50">
        <v>298581.90360914957</v>
      </c>
    </row>
    <row r="83">
      <c r="A83" s="54">
        <v>45573.95997710648</v>
      </c>
      <c r="B83" s="47">
        <v>11.590161695762593</v>
      </c>
      <c r="C83" s="7">
        <v>-0.03460708523178324</v>
      </c>
      <c r="D83" s="48">
        <v>1.0883174226599266</v>
      </c>
      <c r="E83" s="49">
        <v>131.19027181688125</v>
      </c>
      <c r="F83" s="7">
        <v>-0.04420381629121861</v>
      </c>
      <c r="G83" s="48">
        <v>1.2520534392016138</v>
      </c>
      <c r="H83" s="50">
        <v>46163.96365986045</v>
      </c>
      <c r="I83" s="56">
        <v>-0.002628416837660673</v>
      </c>
      <c r="J83" s="56">
        <v>0.07595025180701229</v>
      </c>
      <c r="K83" s="50">
        <v>561654.4775108409</v>
      </c>
      <c r="L83" s="56">
        <v>-0.03197866839412257</v>
      </c>
      <c r="M83" s="56">
        <v>0.9240497481929878</v>
      </c>
      <c r="N83" s="51">
        <v>0.00959673105943537</v>
      </c>
      <c r="O83" s="7">
        <v>-0.16373601654168723</v>
      </c>
      <c r="P83" s="52">
        <v>58.25362290842891</v>
      </c>
      <c r="Q83" s="34">
        <v>4633.106043252276</v>
      </c>
      <c r="R83" s="13">
        <v>5080.914596581936</v>
      </c>
      <c r="S83" s="56">
        <v>-0.0810759566592371</v>
      </c>
      <c r="T83" s="50">
        <v>291056.5389032249</v>
      </c>
      <c r="U83" s="50">
        <v>607818.4411707013</v>
      </c>
      <c r="V83" s="50">
        <v>316761.90226747637</v>
      </c>
    </row>
    <row r="84">
      <c r="A84" s="54">
        <v>45572.959957175925</v>
      </c>
      <c r="B84" s="47">
        <v>11.782231018798988</v>
      </c>
      <c r="C84" s="7">
        <v>0.01820465806224414</v>
      </c>
      <c r="D84" s="48">
        <v>1.1229245078917098</v>
      </c>
      <c r="E84" s="49">
        <v>133.76530426222337</v>
      </c>
      <c r="F84" s="7">
        <v>0.03700012304750455</v>
      </c>
      <c r="G84" s="48">
        <v>1.2962572554928324</v>
      </c>
      <c r="H84" s="50">
        <v>46707.03156673362</v>
      </c>
      <c r="I84" s="56">
        <v>0.001376109146648011</v>
      </c>
      <c r="J84" s="56">
        <v>0.07559104609067148</v>
      </c>
      <c r="K84" s="50">
        <v>571184.0280530595</v>
      </c>
      <c r="L84" s="56">
        <v>0.01682854891559613</v>
      </c>
      <c r="M84" s="56">
        <v>0.9244089539093285</v>
      </c>
      <c r="N84" s="51">
        <v>-0.018795464985260413</v>
      </c>
      <c r="O84" s="7">
        <v>-0.1733327476011226</v>
      </c>
      <c r="P84" s="52">
        <v>58.25362290842891</v>
      </c>
      <c r="Q84" s="34">
        <v>4619.217688979545</v>
      </c>
      <c r="R84" s="13">
        <v>5080.914596581936</v>
      </c>
      <c r="S84" s="56">
        <v>-0.08383055423255076</v>
      </c>
      <c r="T84" s="50">
        <v>291056.5389032249</v>
      </c>
      <c r="U84" s="50">
        <v>617891.0596197931</v>
      </c>
      <c r="V84" s="50">
        <v>326834.52071656816</v>
      </c>
    </row>
    <row r="85">
      <c r="A85" s="54">
        <v>45571.95996070602</v>
      </c>
      <c r="B85" s="47">
        <v>11.681195166553534</v>
      </c>
      <c r="C85" s="7">
        <v>0.043486279713222054</v>
      </c>
      <c r="D85" s="48">
        <v>1.1047198498294657</v>
      </c>
      <c r="E85" s="49">
        <v>131.60991304664856</v>
      </c>
      <c r="F85" s="7">
        <v>0.04376878697265152</v>
      </c>
      <c r="G85" s="48">
        <v>1.2592571324453279</v>
      </c>
      <c r="H85" s="50">
        <v>45952.163096679265</v>
      </c>
      <c r="I85" s="56">
        <v>0.0032620195315518057</v>
      </c>
      <c r="J85" s="56">
        <v>0.07501261439386789</v>
      </c>
      <c r="K85" s="50">
        <v>566640.3117556004</v>
      </c>
      <c r="L85" s="56">
        <v>0.040224260181670246</v>
      </c>
      <c r="M85" s="56">
        <v>0.9249873856061321</v>
      </c>
      <c r="N85" s="51">
        <v>-2.825072594294653E-4</v>
      </c>
      <c r="O85" s="7">
        <v>-0.1545372826158622</v>
      </c>
      <c r="P85" s="52">
        <v>58.25362290842891</v>
      </c>
      <c r="Q85" s="34">
        <v>4654.607397507732</v>
      </c>
      <c r="R85" s="13">
        <v>5080.914596581936</v>
      </c>
      <c r="S85" s="56">
        <v>-0.07681140687227485</v>
      </c>
      <c r="T85" s="50">
        <v>291056.5389032249</v>
      </c>
      <c r="U85" s="50">
        <v>612592.4748522796</v>
      </c>
      <c r="V85" s="50">
        <v>321535.9359490547</v>
      </c>
    </row>
    <row r="86">
      <c r="A86" s="54">
        <v>45570.959964062495</v>
      </c>
      <c r="B86" s="47">
        <v>11.439846314145152</v>
      </c>
      <c r="C86" s="7">
        <v>-0.033261623885971314</v>
      </c>
      <c r="D86" s="48">
        <v>1.0612335701162436</v>
      </c>
      <c r="E86" s="49">
        <v>129.06022263518437</v>
      </c>
      <c r="F86" s="7">
        <v>-0.028307131431294152</v>
      </c>
      <c r="G86" s="48">
        <v>1.2154883454726764</v>
      </c>
      <c r="H86" s="50">
        <v>45681.876243090985</v>
      </c>
      <c r="I86" s="56">
        <v>-0.0025326945375676113</v>
      </c>
      <c r="J86" s="56">
        <v>0.07614464483905792</v>
      </c>
      <c r="K86" s="50">
        <v>554253.6325460807</v>
      </c>
      <c r="L86" s="56">
        <v>-0.030728929348403704</v>
      </c>
      <c r="M86" s="56">
        <v>0.9238553551609421</v>
      </c>
      <c r="N86" s="51">
        <v>-0.004954492454677162</v>
      </c>
      <c r="O86" s="7">
        <v>-0.15425477535643273</v>
      </c>
      <c r="P86" s="52">
        <v>58.25362290842891</v>
      </c>
      <c r="Q86" s="34">
        <v>4648.4927465607625</v>
      </c>
      <c r="R86" s="13">
        <v>5080.914596581936</v>
      </c>
      <c r="S86" s="56">
        <v>-0.07802417854625578</v>
      </c>
      <c r="T86" s="50">
        <v>291056.5389032249</v>
      </c>
      <c r="U86" s="50">
        <v>599935.5087891717</v>
      </c>
      <c r="V86" s="50">
        <v>308878.9698859468</v>
      </c>
    </row>
    <row r="87">
      <c r="A87" s="54">
        <v>45569.95997141204</v>
      </c>
      <c r="B87" s="47">
        <v>11.624448326712292</v>
      </c>
      <c r="C87" s="7">
        <v>0.11240720758389133</v>
      </c>
      <c r="D87" s="48">
        <v>1.094495194002215</v>
      </c>
      <c r="E87" s="49">
        <v>130.7092155952023</v>
      </c>
      <c r="F87" s="7">
        <v>0.11022789932784383</v>
      </c>
      <c r="G87" s="48">
        <v>1.2437954769039705</v>
      </c>
      <c r="H87" s="50">
        <v>45940.63155198365</v>
      </c>
      <c r="I87" s="56">
        <v>0.008470994341115973</v>
      </c>
      <c r="J87" s="56">
        <v>0.07535988592896885</v>
      </c>
      <c r="K87" s="50">
        <v>563675.8903637397</v>
      </c>
      <c r="L87" s="56">
        <v>0.10393621324277537</v>
      </c>
      <c r="M87" s="56">
        <v>0.9246401140710312</v>
      </c>
      <c r="N87" s="51">
        <v>0.0021793082560475074</v>
      </c>
      <c r="O87" s="7">
        <v>-0.14930028290175557</v>
      </c>
      <c r="P87" s="52">
        <v>58.25362290842891</v>
      </c>
      <c r="Q87" s="34">
        <v>4663.913857487027</v>
      </c>
      <c r="R87" s="13">
        <v>5080.914596581936</v>
      </c>
      <c r="S87" s="56">
        <v>-0.07496557607247736</v>
      </c>
      <c r="T87" s="50">
        <v>291056.5389032249</v>
      </c>
      <c r="U87" s="50">
        <v>609616.5219157233</v>
      </c>
      <c r="V87" s="50">
        <v>318559.9830124984</v>
      </c>
    </row>
    <row r="88">
      <c r="A88" s="54">
        <v>45568.95997506945</v>
      </c>
      <c r="B88" s="47">
        <v>11.000588324621695</v>
      </c>
      <c r="C88" s="7">
        <v>-0.05571211181885993</v>
      </c>
      <c r="D88" s="48">
        <v>0.9820879864183236</v>
      </c>
      <c r="E88" s="49">
        <v>124.28804111376984</v>
      </c>
      <c r="F88" s="7">
        <v>-0.047040249527730005</v>
      </c>
      <c r="G88" s="48">
        <v>1.1335675775761267</v>
      </c>
      <c r="H88" s="50">
        <v>44698.43547544611</v>
      </c>
      <c r="I88" s="56">
        <v>-0.004316598480802947</v>
      </c>
      <c r="J88" s="56">
        <v>0.0774804318105506</v>
      </c>
      <c r="K88" s="50">
        <v>532201.2336531335</v>
      </c>
      <c r="L88" s="56">
        <v>-0.05139551333805699</v>
      </c>
      <c r="M88" s="56">
        <v>0.9225195681894495</v>
      </c>
      <c r="N88" s="51">
        <v>-0.008671862291129928</v>
      </c>
      <c r="O88" s="7">
        <v>-0.15147959115780307</v>
      </c>
      <c r="P88" s="52">
        <v>58.25362290842891</v>
      </c>
      <c r="Q88" s="34">
        <v>4641.634576897882</v>
      </c>
      <c r="R88" s="13">
        <v>5080.914596581936</v>
      </c>
      <c r="S88" s="56">
        <v>-0.07938441872588858</v>
      </c>
      <c r="T88" s="50">
        <v>291056.5389032249</v>
      </c>
      <c r="U88" s="50">
        <v>576899.6691285796</v>
      </c>
      <c r="V88" s="50">
        <v>285843.13022535463</v>
      </c>
    </row>
    <row r="89">
      <c r="A89" s="54">
        <v>45567.95996114583</v>
      </c>
      <c r="B89" s="47">
        <v>11.309790545216368</v>
      </c>
      <c r="C89" s="7">
        <v>-0.08021225414133193</v>
      </c>
      <c r="D89" s="48">
        <v>1.0378000982371836</v>
      </c>
      <c r="E89" s="49">
        <v>127.02830607127662</v>
      </c>
      <c r="F89" s="7">
        <v>-0.0882609379463628</v>
      </c>
      <c r="G89" s="48">
        <v>1.1806078271038567</v>
      </c>
      <c r="H89" s="50">
        <v>44480.92234874213</v>
      </c>
      <c r="I89" s="56">
        <v>-0.006015553114966094</v>
      </c>
      <c r="J89" s="56">
        <v>0.07499543778394313</v>
      </c>
      <c r="K89" s="50">
        <v>548634.1212208242</v>
      </c>
      <c r="L89" s="56">
        <v>-0.07419670102636583</v>
      </c>
      <c r="M89" s="56">
        <v>0.9250045622160569</v>
      </c>
      <c r="N89" s="51">
        <v>0.008048683805030876</v>
      </c>
      <c r="O89" s="7">
        <v>-0.14280772886667314</v>
      </c>
      <c r="P89" s="52">
        <v>58.25362290842891</v>
      </c>
      <c r="Q89" s="34">
        <v>4669.156520411794</v>
      </c>
      <c r="R89" s="13">
        <v>5080.914596581936</v>
      </c>
      <c r="S89" s="56">
        <v>-0.07392575333418358</v>
      </c>
      <c r="T89" s="50">
        <v>291056.5389032249</v>
      </c>
      <c r="U89" s="50">
        <v>593115.0435695663</v>
      </c>
      <c r="V89" s="50">
        <v>302058.5046663414</v>
      </c>
    </row>
    <row r="90">
      <c r="A90" s="54">
        <v>45566.95996847222</v>
      </c>
      <c r="B90" s="47">
        <v>11.75496855570076</v>
      </c>
      <c r="C90" s="7">
        <v>-0.14185275007329512</v>
      </c>
      <c r="D90" s="48">
        <v>1.1180123523785155</v>
      </c>
      <c r="E90" s="49">
        <v>132.16982546794827</v>
      </c>
      <c r="F90" s="7">
        <v>-0.12969601140729337</v>
      </c>
      <c r="G90" s="48">
        <v>1.2688687650502195</v>
      </c>
      <c r="H90" s="50">
        <v>44336.66049212802</v>
      </c>
      <c r="I90" s="7">
        <v>-0.00951770007029601</v>
      </c>
      <c r="J90" s="7">
        <v>0.06709563307992428</v>
      </c>
      <c r="K90" s="50">
        <v>616461.3446375683</v>
      </c>
      <c r="L90" s="56">
        <v>-0.14185275007329512</v>
      </c>
      <c r="M90" s="7">
        <v>0.9329043669200757</v>
      </c>
      <c r="N90" s="51">
        <v>-0.012156738666001754</v>
      </c>
      <c r="O90" s="7">
        <v>-0.15085641267170402</v>
      </c>
      <c r="P90" s="52">
        <v>58.25362290842891</v>
      </c>
      <c r="Q90" s="34">
        <v>4664.160994803332</v>
      </c>
      <c r="R90" s="13">
        <v>5080.914596581936</v>
      </c>
      <c r="S90" s="56">
        <v>-0.07491655918837423</v>
      </c>
      <c r="T90" s="50">
        <v>291056.5389032249</v>
      </c>
      <c r="U90" s="50">
        <v>616461.3446375683</v>
      </c>
      <c r="V90" s="50">
        <v>325404.8057343434</v>
      </c>
    </row>
    <row r="91">
      <c r="A91" s="54">
        <v>45565.959979583335</v>
      </c>
      <c r="B91" s="47">
        <v>12.542251318607548</v>
      </c>
      <c r="C91" s="7">
        <v>-0.07026173786573064</v>
      </c>
      <c r="D91" s="48">
        <v>1.2598651024518106</v>
      </c>
      <c r="E91" s="49">
        <v>139.72508800919604</v>
      </c>
      <c r="F91" s="7">
        <v>-0.062009423694515675</v>
      </c>
      <c r="G91" s="48">
        <v>1.3985647764575129</v>
      </c>
      <c r="H91" s="50">
        <v>44336.66049212802</v>
      </c>
      <c r="I91" s="7">
        <v>-0.004437026910129348</v>
      </c>
      <c r="J91" s="7">
        <v>0.06314997386783194</v>
      </c>
      <c r="K91" s="50">
        <v>657748.5151078058</v>
      </c>
      <c r="L91" s="56">
        <v>-0.07026173786573064</v>
      </c>
      <c r="M91" s="7">
        <v>0.9368500261321681</v>
      </c>
      <c r="N91" s="51">
        <v>-0.00825231417121497</v>
      </c>
      <c r="O91" s="7">
        <v>-0.13869967400570227</v>
      </c>
      <c r="P91" s="52">
        <v>58.25362290842891</v>
      </c>
      <c r="Q91" s="34">
        <v>4707.447491924399</v>
      </c>
      <c r="R91" s="13">
        <v>5080.914596581936</v>
      </c>
      <c r="S91" s="56">
        <v>-0.06633117336184402</v>
      </c>
      <c r="T91" s="50">
        <v>291056.5389032249</v>
      </c>
      <c r="U91" s="50">
        <v>657748.5151078058</v>
      </c>
      <c r="V91" s="50">
        <v>366691.9762045809</v>
      </c>
    </row>
    <row r="92">
      <c r="A92" s="54">
        <v>45564.95996862269</v>
      </c>
      <c r="B92" s="47">
        <v>12.932203963762353</v>
      </c>
      <c r="C92" s="7">
        <v>0.050278930127022115</v>
      </c>
      <c r="D92" s="48">
        <v>1.3301268403175412</v>
      </c>
      <c r="E92" s="49">
        <v>143.33736159386535</v>
      </c>
      <c r="F92" s="7">
        <v>0.052493424968029334</v>
      </c>
      <c r="G92" s="48">
        <v>1.4605742001520285</v>
      </c>
      <c r="H92" s="50">
        <v>44336.66049212802</v>
      </c>
      <c r="I92" s="7">
        <v>0.0030852469246111206</v>
      </c>
      <c r="J92" s="7">
        <v>0.06136262081982872</v>
      </c>
      <c r="K92" s="50">
        <v>678198.653348331</v>
      </c>
      <c r="L92" s="56">
        <v>0.050278930127022115</v>
      </c>
      <c r="M92" s="7">
        <v>0.9386373791801713</v>
      </c>
      <c r="N92" s="51">
        <v>-0.0022144948410072196</v>
      </c>
      <c r="O92" s="7">
        <v>-0.1304473598344873</v>
      </c>
      <c r="P92" s="52">
        <v>58.25362290842891</v>
      </c>
      <c r="Q92" s="34">
        <v>4731.48553738523</v>
      </c>
      <c r="R92" s="13">
        <v>5080.914596581936</v>
      </c>
      <c r="S92" s="56">
        <v>-0.06156349964087529</v>
      </c>
      <c r="T92" s="50">
        <v>291056.5389032249</v>
      </c>
      <c r="U92" s="50">
        <v>678198.653348331</v>
      </c>
      <c r="V92" s="50">
        <v>387142.11444510607</v>
      </c>
    </row>
    <row r="93">
      <c r="A93" s="54">
        <v>45563.95996384259</v>
      </c>
      <c r="B93" s="47">
        <v>12.653155901557382</v>
      </c>
      <c r="C93" s="7">
        <v>-0.02044439309844881</v>
      </c>
      <c r="D93" s="48">
        <v>1.2798479101905191</v>
      </c>
      <c r="E93" s="49">
        <v>140.27942941060587</v>
      </c>
      <c r="F93" s="7">
        <v>-0.014424272561099905</v>
      </c>
      <c r="G93" s="48">
        <v>1.4080807751839992</v>
      </c>
      <c r="H93" s="50">
        <v>44336.66049212802</v>
      </c>
      <c r="I93" s="7">
        <v>-0.0012804554994125016</v>
      </c>
      <c r="J93" s="7">
        <v>0.06263113281213784</v>
      </c>
      <c r="K93" s="50">
        <v>663564.6419658029</v>
      </c>
      <c r="L93" s="56">
        <v>-0.02044439309844881</v>
      </c>
      <c r="M93" s="7">
        <v>0.9373688671878622</v>
      </c>
      <c r="N93" s="51">
        <v>-0.006020120537348905</v>
      </c>
      <c r="O93" s="7">
        <v>-0.12823286499348008</v>
      </c>
      <c r="P93" s="52">
        <v>58.25362290842891</v>
      </c>
      <c r="Q93" s="34">
        <v>4730.306109411889</v>
      </c>
      <c r="R93" s="13">
        <v>5080.914596581936</v>
      </c>
      <c r="S93" s="56">
        <v>-0.061797425804441</v>
      </c>
      <c r="T93" s="50">
        <v>291056.5389032249</v>
      </c>
      <c r="U93" s="50">
        <v>663564.6419658029</v>
      </c>
      <c r="V93" s="50">
        <v>372508.10306257795</v>
      </c>
    </row>
    <row r="94">
      <c r="A94" s="54">
        <v>45562.95995554398</v>
      </c>
      <c r="B94" s="47">
        <v>12.766622283253772</v>
      </c>
      <c r="C94" s="7">
        <v>0.03216945024063467</v>
      </c>
      <c r="D94" s="48">
        <v>1.300292303288968</v>
      </c>
      <c r="E94" s="49">
        <v>141.11969554510858</v>
      </c>
      <c r="F94" s="7">
        <v>0.03363259102332172</v>
      </c>
      <c r="G94" s="48">
        <v>1.4225050477450991</v>
      </c>
      <c r="H94" s="50">
        <v>44336.66049212802</v>
      </c>
      <c r="I94" s="7">
        <v>0.001998014209651047</v>
      </c>
      <c r="J94" s="7">
        <v>0.06210905672013214</v>
      </c>
      <c r="K94" s="50">
        <v>669515.1162610144</v>
      </c>
      <c r="L94" s="56">
        <v>0.03216945024063467</v>
      </c>
      <c r="M94" s="7">
        <v>0.9378909432798679</v>
      </c>
      <c r="N94" s="51">
        <v>-0.0014631407826870557</v>
      </c>
      <c r="O94" s="7">
        <v>-0.12221274445613117</v>
      </c>
      <c r="P94" s="52">
        <v>58.25362290842891</v>
      </c>
      <c r="Q94" s="34">
        <v>4744.306694220478</v>
      </c>
      <c r="R94" s="13">
        <v>5080.914596581936</v>
      </c>
      <c r="S94" s="56">
        <v>-0.05902056857705662</v>
      </c>
      <c r="T94" s="50">
        <v>291056.5389032249</v>
      </c>
      <c r="U94" s="50">
        <v>669515.1162610144</v>
      </c>
      <c r="V94" s="50">
        <v>378458.57735778944</v>
      </c>
    </row>
    <row r="95">
      <c r="A95" s="54">
        <v>45561.95996157407</v>
      </c>
      <c r="B95" s="47">
        <v>12.588081834418249</v>
      </c>
      <c r="C95" s="7">
        <v>0.09086039936600132</v>
      </c>
      <c r="D95" s="48">
        <v>1.2681228530483333</v>
      </c>
      <c r="E95" s="49">
        <v>139.16047527020257</v>
      </c>
      <c r="F95" s="7">
        <v>0.08250144870045517</v>
      </c>
      <c r="G95" s="48">
        <v>1.3888724567217774</v>
      </c>
      <c r="H95" s="50">
        <v>44336.66049212802</v>
      </c>
      <c r="I95" s="7">
        <v>0.00571825634214826</v>
      </c>
      <c r="J95" s="7">
        <v>0.0629345279356977</v>
      </c>
      <c r="K95" s="50">
        <v>660151.9874155557</v>
      </c>
      <c r="L95" s="56">
        <v>0.09086039936600132</v>
      </c>
      <c r="M95" s="7">
        <v>0.9370654720643024</v>
      </c>
      <c r="N95" s="51">
        <v>0.00835895066554615</v>
      </c>
      <c r="O95" s="7">
        <v>-0.12074960367344412</v>
      </c>
      <c r="P95" s="52">
        <v>58.25362290842891</v>
      </c>
      <c r="Q95" s="34">
        <v>4743.818143289349</v>
      </c>
      <c r="R95" s="13">
        <v>5080.914596581936</v>
      </c>
      <c r="S95" s="56">
        <v>-0.05911746711398191</v>
      </c>
      <c r="T95" s="50">
        <v>291056.5389032249</v>
      </c>
      <c r="U95" s="50">
        <v>660151.9874155557</v>
      </c>
      <c r="V95" s="50">
        <v>369095.4485123308</v>
      </c>
    </row>
    <row r="96">
      <c r="A96" s="54">
        <v>45560.960008298614</v>
      </c>
      <c r="B96" s="47">
        <v>12.083806617936942</v>
      </c>
      <c r="C96" s="7">
        <v>0.028941753034886553</v>
      </c>
      <c r="D96" s="48">
        <v>1.177262453682332</v>
      </c>
      <c r="E96" s="49">
        <v>134.35446698820718</v>
      </c>
      <c r="F96" s="7">
        <v>0.029662354701875948</v>
      </c>
      <c r="G96" s="48">
        <v>1.3063710080213222</v>
      </c>
      <c r="H96" s="50">
        <v>44336.66049212802</v>
      </c>
      <c r="I96" s="7">
        <v>0.0018924764708607225</v>
      </c>
      <c r="J96" s="7">
        <v>0.06538914448546088</v>
      </c>
      <c r="K96" s="50">
        <v>633706.4740527226</v>
      </c>
      <c r="L96" s="56">
        <v>0.028941753034886553</v>
      </c>
      <c r="M96" s="7">
        <v>0.9346108555145392</v>
      </c>
      <c r="N96" s="51">
        <v>-7.206016669893955E-4</v>
      </c>
      <c r="O96" s="7">
        <v>-0.12910855433899027</v>
      </c>
      <c r="P96" s="52">
        <v>58.25362290842891</v>
      </c>
      <c r="Q96" s="34">
        <v>4716.675881780287</v>
      </c>
      <c r="R96" s="13">
        <v>5080.914596581936</v>
      </c>
      <c r="S96" s="56">
        <v>-0.0645008268856937</v>
      </c>
      <c r="T96" s="50">
        <v>291056.5389032249</v>
      </c>
      <c r="U96" s="50">
        <v>633706.4740527226</v>
      </c>
      <c r="V96" s="50">
        <v>342649.93514949764</v>
      </c>
    </row>
    <row r="97">
      <c r="A97" s="54">
        <v>45559.95998880787</v>
      </c>
      <c r="B97" s="47">
        <v>11.923179888593321</v>
      </c>
      <c r="C97" s="7">
        <v>0.06514761017510518</v>
      </c>
      <c r="D97" s="48">
        <v>1.1483207006474454</v>
      </c>
      <c r="E97" s="49">
        <v>132.62652736282803</v>
      </c>
      <c r="F97" s="7">
        <v>0.05115923359042451</v>
      </c>
      <c r="G97" s="48">
        <v>1.2767086533194463</v>
      </c>
      <c r="H97" s="50">
        <v>44336.66049212802</v>
      </c>
      <c r="I97" s="7">
        <v>0.004313535818744901</v>
      </c>
      <c r="J97" s="7">
        <v>0.06621172760061167</v>
      </c>
      <c r="K97" s="50">
        <v>625282.7875845967</v>
      </c>
      <c r="L97" s="56">
        <v>0.06514761017510518</v>
      </c>
      <c r="M97" s="7">
        <v>0.9337882723993883</v>
      </c>
      <c r="N97" s="51">
        <v>0.013988376584680662</v>
      </c>
      <c r="O97" s="7">
        <v>-0.12838795267200087</v>
      </c>
      <c r="P97" s="52">
        <v>58.25362290842891</v>
      </c>
      <c r="Q97" s="34">
        <v>4714.613283012401</v>
      </c>
      <c r="R97" s="13">
        <v>5080.914596581936</v>
      </c>
      <c r="S97" s="56">
        <v>-0.06490991996102632</v>
      </c>
      <c r="T97" s="50">
        <v>291056.5389032249</v>
      </c>
      <c r="U97" s="50">
        <v>625282.7875845967</v>
      </c>
      <c r="V97" s="50">
        <v>334226.24868137174</v>
      </c>
    </row>
    <row r="98">
      <c r="A98" s="54">
        <v>45558.95996306713</v>
      </c>
      <c r="B98" s="47">
        <v>11.561610652121487</v>
      </c>
      <c r="C98" s="7">
        <v>0.03615035931643229</v>
      </c>
      <c r="D98" s="48">
        <v>1.0831730904723402</v>
      </c>
      <c r="E98" s="49">
        <v>129.64631666096722</v>
      </c>
      <c r="F98" s="7">
        <v>0.04292660387734859</v>
      </c>
      <c r="G98" s="48">
        <v>1.2255494197290218</v>
      </c>
      <c r="H98" s="50">
        <v>44336.66049212802</v>
      </c>
      <c r="I98" s="7">
        <v>0.0024633320044724024</v>
      </c>
      <c r="J98" s="7">
        <v>0.06814128686551353</v>
      </c>
      <c r="K98" s="50">
        <v>606321.149649214</v>
      </c>
      <c r="L98" s="56">
        <v>0.03615035931643229</v>
      </c>
      <c r="M98" s="7">
        <v>0.9318587131344865</v>
      </c>
      <c r="N98" s="51">
        <v>-0.0067762445609163</v>
      </c>
      <c r="O98" s="7">
        <v>-0.14237632925668153</v>
      </c>
      <c r="P98" s="52">
        <v>58.25362290842891</v>
      </c>
      <c r="Q98" s="34">
        <v>4676.7325541132</v>
      </c>
      <c r="R98" s="13">
        <v>5080.914596581936</v>
      </c>
      <c r="S98" s="56">
        <v>-0.07242313296322933</v>
      </c>
      <c r="T98" s="50">
        <v>291056.5389032249</v>
      </c>
      <c r="U98" s="50">
        <v>606321.149649214</v>
      </c>
      <c r="V98" s="50">
        <v>315264.6107459891</v>
      </c>
    </row>
    <row r="99">
      <c r="A99" s="54">
        <v>45557.95997163195</v>
      </c>
      <c r="B99" s="47">
        <v>11.360976157915289</v>
      </c>
      <c r="C99" s="7">
        <v>-0.08361284483706344</v>
      </c>
      <c r="D99" s="48">
        <v>1.047022731155908</v>
      </c>
      <c r="E99" s="49">
        <v>127.14568646595664</v>
      </c>
      <c r="F99" s="7">
        <v>-0.08959131137160359</v>
      </c>
      <c r="G99" s="48">
        <v>1.1826228158516732</v>
      </c>
      <c r="H99" s="50">
        <v>45360.91548471212</v>
      </c>
      <c r="I99" s="56">
        <v>-0.0063658263147443024</v>
      </c>
      <c r="J99" s="56">
        <v>0.0761345499863018</v>
      </c>
      <c r="K99" s="50">
        <v>550438.4357017531</v>
      </c>
      <c r="L99" s="56">
        <v>-0.07724701852231913</v>
      </c>
      <c r="M99" s="56">
        <v>0.9238654500136982</v>
      </c>
      <c r="N99" s="51">
        <v>0.00597846653454015</v>
      </c>
      <c r="O99" s="7">
        <v>-0.13560008469576523</v>
      </c>
      <c r="P99" s="52">
        <v>58.25362290842891</v>
      </c>
      <c r="Q99" s="34">
        <v>4685.958035595576</v>
      </c>
      <c r="R99" s="13">
        <v>5080.914596581936</v>
      </c>
      <c r="S99" s="56">
        <v>-0.07059336332998371</v>
      </c>
      <c r="T99" s="50">
        <v>291056.5389032249</v>
      </c>
      <c r="U99" s="50">
        <v>595799.3511864652</v>
      </c>
      <c r="V99" s="50">
        <v>304742.8122832403</v>
      </c>
    </row>
    <row r="100">
      <c r="A100" s="54">
        <v>45556.95996826389</v>
      </c>
      <c r="B100" s="47">
        <v>11.825027446760991</v>
      </c>
      <c r="C100" s="7">
        <v>0.00983728301849851</v>
      </c>
      <c r="D100" s="48">
        <v>1.1306355759929714</v>
      </c>
      <c r="E100" s="49">
        <v>132.36470493446967</v>
      </c>
      <c r="F100" s="7">
        <v>0.009273149753261212</v>
      </c>
      <c r="G100" s="48">
        <v>1.2722141272232768</v>
      </c>
      <c r="H100" s="50">
        <v>45748.0929293421</v>
      </c>
      <c r="I100" s="56">
        <v>7.257075241822453E-4</v>
      </c>
      <c r="J100" s="56">
        <v>0.07377113404357577</v>
      </c>
      <c r="K100" s="50">
        <v>574387.3234832513</v>
      </c>
      <c r="L100" s="56">
        <v>0.009111575494316265</v>
      </c>
      <c r="M100" s="56">
        <v>0.9262288659564243</v>
      </c>
      <c r="N100" s="51">
        <v>5.641332652372988E-4</v>
      </c>
      <c r="O100" s="7">
        <v>-0.14157855123030538</v>
      </c>
      <c r="P100" s="52">
        <v>58.25362290842891</v>
      </c>
      <c r="Q100" s="34">
        <v>4685.051175232901</v>
      </c>
      <c r="R100" s="13">
        <v>5080.914596581936</v>
      </c>
      <c r="S100" s="56">
        <v>-0.07077322879894447</v>
      </c>
      <c r="T100" s="50">
        <v>291056.5389032249</v>
      </c>
      <c r="U100" s="50">
        <v>620135.4164125933</v>
      </c>
      <c r="V100" s="50">
        <v>329078.8775093684</v>
      </c>
    </row>
    <row r="101">
      <c r="A101" s="54">
        <v>45555.95997725695</v>
      </c>
      <c r="B101" s="47">
        <v>11.770430526008324</v>
      </c>
      <c r="C101" s="7">
        <v>0.08970481586030044</v>
      </c>
      <c r="D101" s="48">
        <v>1.1207982929744729</v>
      </c>
      <c r="E101" s="49">
        <v>131.8245103655698</v>
      </c>
      <c r="F101" s="7">
        <v>0.08271356154560783</v>
      </c>
      <c r="G101" s="48">
        <v>1.2629409774700155</v>
      </c>
      <c r="H101" s="50">
        <v>45688.45527503885</v>
      </c>
      <c r="I101" s="56">
        <v>0.006639654912774241</v>
      </c>
      <c r="J101" s="56">
        <v>0.07401670522477123</v>
      </c>
      <c r="K101" s="50">
        <v>571583.7555899789</v>
      </c>
      <c r="L101" s="56">
        <v>0.0830651609475262</v>
      </c>
      <c r="M101" s="56">
        <v>0.9259832947752288</v>
      </c>
      <c r="N101" s="51">
        <v>0.006991254314692608</v>
      </c>
      <c r="O101" s="7">
        <v>-0.14214268449554268</v>
      </c>
      <c r="P101" s="52">
        <v>58.25362290842891</v>
      </c>
      <c r="Q101" s="34">
        <v>4682.529896399586</v>
      </c>
      <c r="R101" s="13">
        <v>5080.914596581936</v>
      </c>
      <c r="S101" s="56">
        <v>-0.07127329586373228</v>
      </c>
      <c r="T101" s="50">
        <v>291056.5389032249</v>
      </c>
      <c r="U101" s="50">
        <v>617272.2108650177</v>
      </c>
      <c r="V101" s="50">
        <v>326215.6719617928</v>
      </c>
    </row>
    <row r="102">
      <c r="A102" s="54">
        <v>45554.95996590277</v>
      </c>
      <c r="B102" s="47">
        <v>11.272568797983656</v>
      </c>
      <c r="C102" s="7">
        <v>0.15232941074149786</v>
      </c>
      <c r="D102" s="48">
        <v>1.0310934771141724</v>
      </c>
      <c r="E102" s="49">
        <v>127.00614574187884</v>
      </c>
      <c r="F102" s="7">
        <v>0.15379472352250456</v>
      </c>
      <c r="G102" s="48">
        <v>1.1802274159244077</v>
      </c>
      <c r="H102" s="50">
        <v>45649.32521895491</v>
      </c>
      <c r="I102" s="56">
        <v>0.01176280377598856</v>
      </c>
      <c r="J102" s="56">
        <v>0.07721951866504605</v>
      </c>
      <c r="K102" s="50">
        <v>545513.7124188126</v>
      </c>
      <c r="L102" s="56">
        <v>0.1405666069655093</v>
      </c>
      <c r="M102" s="56">
        <v>0.9227804813349539</v>
      </c>
      <c r="N102" s="51">
        <v>-0.0014653127810067001</v>
      </c>
      <c r="O102" s="7">
        <v>-0.1491339388102353</v>
      </c>
      <c r="P102" s="52">
        <v>58.25362290842891</v>
      </c>
      <c r="Q102" s="34">
        <v>4654.601824066205</v>
      </c>
      <c r="R102" s="13">
        <v>5080.914596581936</v>
      </c>
      <c r="S102" s="56">
        <v>-0.07681251230119768</v>
      </c>
      <c r="T102" s="50">
        <v>291056.5389032249</v>
      </c>
      <c r="U102" s="50">
        <v>591163.0376377675</v>
      </c>
      <c r="V102" s="50">
        <v>300106.4987345426</v>
      </c>
    </row>
    <row r="103">
      <c r="A103" s="54">
        <v>45553.95998127315</v>
      </c>
      <c r="B103" s="47">
        <v>10.253632638172238</v>
      </c>
      <c r="C103" s="7">
        <v>-0.0544688292678448</v>
      </c>
      <c r="D103" s="48">
        <v>0.8475013762472503</v>
      </c>
      <c r="E103" s="49">
        <v>118.04704591249279</v>
      </c>
      <c r="F103" s="7">
        <v>-0.02002901954026104</v>
      </c>
      <c r="G103" s="48">
        <v>1.0264326924019032</v>
      </c>
      <c r="H103" s="50">
        <v>43956.9</v>
      </c>
      <c r="I103" s="7">
        <v>-0.0043785013889206</v>
      </c>
      <c r="J103" s="7">
        <v>0.08038545068390904</v>
      </c>
      <c r="K103" s="50">
        <v>502869.6665741794</v>
      </c>
      <c r="L103" s="7">
        <v>-0.050090327878924194</v>
      </c>
      <c r="M103" s="7">
        <v>0.9196145493160909</v>
      </c>
      <c r="N103" s="51">
        <v>-0.03443980972758376</v>
      </c>
      <c r="O103" s="7">
        <v>-0.17893131615465285</v>
      </c>
      <c r="P103" s="52">
        <v>58.25362290842891</v>
      </c>
      <c r="Q103" s="34">
        <v>4632.276583859091</v>
      </c>
      <c r="R103" s="13">
        <v>5080.914596581936</v>
      </c>
      <c r="S103" s="7">
        <v>-0.0882986722557107</v>
      </c>
      <c r="T103" s="52">
        <v>295981.6829392163</v>
      </c>
      <c r="U103" s="52">
        <v>546826.5665741795</v>
      </c>
      <c r="V103" s="52">
        <v>250844.88363496313</v>
      </c>
    </row>
    <row r="104">
      <c r="A104" s="54">
        <v>45552.95996788194</v>
      </c>
      <c r="B104" s="47">
        <v>10.555934640608777</v>
      </c>
      <c r="C104" s="7">
        <v>0.02832982295973241</v>
      </c>
      <c r="D104" s="48">
        <v>0.9019702055150951</v>
      </c>
      <c r="E104" s="49">
        <v>119.2138088640167</v>
      </c>
      <c r="F104" s="7">
        <v>0.03226839452453456</v>
      </c>
      <c r="G104" s="48">
        <v>1.0464617119421642</v>
      </c>
      <c r="H104" s="50">
        <v>41928.45</v>
      </c>
      <c r="I104" s="7">
        <v>0.0021100081058283548</v>
      </c>
      <c r="J104" s="7">
        <v>0.07448010207573444</v>
      </c>
      <c r="K104" s="50">
        <v>521019.892328605</v>
      </c>
      <c r="L104" s="7">
        <v>0.026219814853904053</v>
      </c>
      <c r="M104" s="7">
        <v>0.9255198979242655</v>
      </c>
      <c r="N104" s="51">
        <v>-0.003938571564802151</v>
      </c>
      <c r="O104" s="7">
        <v>-0.1444915064270691</v>
      </c>
      <c r="P104" s="52">
        <v>58.25362290842891</v>
      </c>
      <c r="Q104" s="34">
        <v>4722.173946901921</v>
      </c>
      <c r="R104" s="13">
        <v>5080.914596581936</v>
      </c>
      <c r="S104" s="7">
        <v>-0.07060552639899698</v>
      </c>
      <c r="T104" s="52">
        <v>295981.6829392163</v>
      </c>
      <c r="U104" s="52">
        <v>562948.342328605</v>
      </c>
      <c r="V104" s="52">
        <v>266966.6593893887</v>
      </c>
    </row>
    <row r="105">
      <c r="A105" s="54">
        <v>45551.959958437496</v>
      </c>
      <c r="B105" s="47">
        <v>10.398704123182263</v>
      </c>
      <c r="C105" s="7">
        <v>-0.04045282955675322</v>
      </c>
      <c r="D105" s="48">
        <v>0.8736403825553627</v>
      </c>
      <c r="E105" s="49">
        <v>117.33405797752405</v>
      </c>
      <c r="F105" s="7">
        <v>-0.0329486193671209</v>
      </c>
      <c r="G105" s="48">
        <v>1.0141933174176296</v>
      </c>
      <c r="H105" s="50">
        <v>41959.77295410315</v>
      </c>
      <c r="I105" s="56">
        <v>-0.003112565041296538</v>
      </c>
      <c r="J105" s="56">
        <v>0.07694307358474815</v>
      </c>
      <c r="K105" s="50">
        <v>503375.51194177504</v>
      </c>
      <c r="L105" s="56">
        <v>-0.03734026451545669</v>
      </c>
      <c r="M105" s="56">
        <v>0.9230569264152519</v>
      </c>
      <c r="N105" s="51">
        <v>-0.007504210189632321</v>
      </c>
      <c r="O105" s="7">
        <v>-0.14055293486226694</v>
      </c>
      <c r="P105" s="52">
        <v>58.25362290842891</v>
      </c>
      <c r="Q105" s="34">
        <v>4647.715201330035</v>
      </c>
      <c r="R105" s="13">
        <v>5080.914596581936</v>
      </c>
      <c r="S105" s="56">
        <v>-0.07817839582525403</v>
      </c>
      <c r="T105" s="50">
        <v>291056.5389032249</v>
      </c>
      <c r="U105" s="50">
        <v>545335.2848958782</v>
      </c>
      <c r="V105" s="50">
        <v>254278.74599265325</v>
      </c>
    </row>
    <row r="106">
      <c r="A106" s="54">
        <v>45550.959961238426</v>
      </c>
      <c r="B106" s="47">
        <v>10.623217327222243</v>
      </c>
      <c r="C106" s="7">
        <v>-0.0748810259260233</v>
      </c>
      <c r="D106" s="48">
        <v>0.9140932121121159</v>
      </c>
      <c r="E106" s="49">
        <v>119.25343442548966</v>
      </c>
      <c r="F106" s="7">
        <v>-0.07583091049254742</v>
      </c>
      <c r="G106" s="48">
        <v>1.0471419367847505</v>
      </c>
      <c r="H106" s="50">
        <v>43610.02056368766</v>
      </c>
      <c r="I106" s="56">
        <v>-0.005861619639128269</v>
      </c>
      <c r="J106" s="56">
        <v>0.07827910430766664</v>
      </c>
      <c r="K106" s="50">
        <v>513499.32489182113</v>
      </c>
      <c r="L106" s="56">
        <v>-0.06901940628689504</v>
      </c>
      <c r="M106" s="56">
        <v>0.9217208956923334</v>
      </c>
      <c r="N106" s="51">
        <v>9.498845665241173E-4</v>
      </c>
      <c r="O106" s="7">
        <v>-0.13304872467263462</v>
      </c>
      <c r="P106" s="52">
        <v>58.25362290842891</v>
      </c>
      <c r="Q106" s="34">
        <v>4671.641937520839</v>
      </c>
      <c r="R106" s="13">
        <v>5080.914596581936</v>
      </c>
      <c r="S106" s="56">
        <v>-0.07343279903572586</v>
      </c>
      <c r="T106" s="50">
        <v>291056.5389032249</v>
      </c>
      <c r="U106" s="50">
        <v>557109.3454555088</v>
      </c>
      <c r="V106" s="50">
        <v>266052.8065522839</v>
      </c>
    </row>
    <row r="107">
      <c r="A107" s="54">
        <v>45549.95996692129</v>
      </c>
      <c r="B107" s="47">
        <v>11.038807021111673</v>
      </c>
      <c r="C107" s="7">
        <v>-0.02387913007411724</v>
      </c>
      <c r="D107" s="48">
        <v>0.9889742380381392</v>
      </c>
      <c r="E107" s="49">
        <v>123.67085969012535</v>
      </c>
      <c r="F107" s="7">
        <v>-0.0288849340830426</v>
      </c>
      <c r="G107" s="48">
        <v>1.122972847277298</v>
      </c>
      <c r="H107" s="50">
        <v>43883.70333246919</v>
      </c>
      <c r="I107" s="56">
        <v>-0.0018101528692074217</v>
      </c>
      <c r="J107" s="56">
        <v>0.07580480794689667</v>
      </c>
      <c r="K107" s="50">
        <v>535020.2543585906</v>
      </c>
      <c r="L107" s="56">
        <v>-0.022068977204909815</v>
      </c>
      <c r="M107" s="56">
        <v>0.9241951920531033</v>
      </c>
      <c r="N107" s="51">
        <v>0.005005804008925363</v>
      </c>
      <c r="O107" s="7">
        <v>-0.13399860923915874</v>
      </c>
      <c r="P107" s="52">
        <v>58.25362290842891</v>
      </c>
      <c r="Q107" s="34">
        <v>4681.005364898285</v>
      </c>
      <c r="R107" s="13">
        <v>5080.914596581936</v>
      </c>
      <c r="S107" s="56">
        <v>-0.07157566939852672</v>
      </c>
      <c r="T107" s="50">
        <v>291056.5389032249</v>
      </c>
      <c r="U107" s="50">
        <v>578903.9576910598</v>
      </c>
      <c r="V107" s="50">
        <v>287847.4187878349</v>
      </c>
    </row>
    <row r="108">
      <c r="A108" s="54">
        <v>45548.95996324074</v>
      </c>
      <c r="B108" s="47">
        <v>11.171336193023023</v>
      </c>
      <c r="C108" s="7">
        <v>0.03997402733155231</v>
      </c>
      <c r="D108" s="48">
        <v>1.0128533681122565</v>
      </c>
      <c r="E108" s="49">
        <v>125.35351174793375</v>
      </c>
      <c r="F108" s="7">
        <v>0.02963993687592259</v>
      </c>
      <c r="G108" s="48">
        <v>1.1518577813603406</v>
      </c>
      <c r="H108" s="50">
        <v>39129.22939868905</v>
      </c>
      <c r="I108" s="56">
        <v>0.002669867451563488</v>
      </c>
      <c r="J108" s="56">
        <v>0.06679005418741252</v>
      </c>
      <c r="K108" s="50">
        <v>546724.9052437632</v>
      </c>
      <c r="L108" s="56">
        <v>0.03730415987998882</v>
      </c>
      <c r="M108" s="56">
        <v>0.9332099458125875</v>
      </c>
      <c r="N108" s="51">
        <v>0.010334090455629719</v>
      </c>
      <c r="O108" s="7">
        <v>-0.1390044132480841</v>
      </c>
      <c r="P108" s="52">
        <v>58.25362290842891</v>
      </c>
      <c r="Q108" s="34">
        <v>4673.615652830796</v>
      </c>
      <c r="R108" s="13">
        <v>5080.914596581936</v>
      </c>
      <c r="S108" s="56">
        <v>-0.07304133498631768</v>
      </c>
      <c r="T108" s="50">
        <v>291056.5389032249</v>
      </c>
      <c r="U108" s="50">
        <v>585854.1346424522</v>
      </c>
      <c r="V108" s="50">
        <v>294797.5957392273</v>
      </c>
    </row>
    <row r="109">
      <c r="A109" s="54">
        <v>45547.95996136574</v>
      </c>
      <c r="B109" s="47">
        <v>10.949480341332908</v>
      </c>
      <c r="C109" s="7">
        <v>0.053852579228509834</v>
      </c>
      <c r="D109" s="48">
        <v>0.9728793407807041</v>
      </c>
      <c r="E109" s="49">
        <v>122.51089057053586</v>
      </c>
      <c r="F109" s="7">
        <v>0.03998078809862715</v>
      </c>
      <c r="G109" s="48">
        <v>1.122217844484418</v>
      </c>
      <c r="H109" s="50">
        <v>37745.31997050677</v>
      </c>
      <c r="I109" s="56">
        <v>0.0035399060338463036</v>
      </c>
      <c r="J109" s="56">
        <v>0.06573326820291384</v>
      </c>
      <c r="K109" s="50">
        <v>536474.112630801</v>
      </c>
      <c r="L109" s="56">
        <v>0.05031267319466354</v>
      </c>
      <c r="M109" s="56">
        <v>0.9342667317970863</v>
      </c>
      <c r="N109" s="51">
        <v>0.013871791129882682</v>
      </c>
      <c r="O109" s="7">
        <v>-0.14933850370371382</v>
      </c>
      <c r="P109" s="52">
        <v>57.72776385277226</v>
      </c>
      <c r="Q109" s="34">
        <v>4687.088877790011</v>
      </c>
      <c r="R109" s="13">
        <v>5041.881401218479</v>
      </c>
      <c r="S109" s="56">
        <v>-0.07036907360469154</v>
      </c>
      <c r="T109" s="50">
        <v>291056.5389032249</v>
      </c>
      <c r="U109" s="50">
        <v>574219.4326013078</v>
      </c>
      <c r="V109" s="50">
        <v>283162.89369808283</v>
      </c>
    </row>
    <row r="110">
      <c r="A110" s="54">
        <v>45546.95996232639</v>
      </c>
      <c r="B110" s="47">
        <v>10.650598526614678</v>
      </c>
      <c r="C110" s="7">
        <v>-0.04552421162950471</v>
      </c>
      <c r="D110" s="48">
        <v>0.9190267615521943</v>
      </c>
      <c r="E110" s="49">
        <v>120.20288907653057</v>
      </c>
      <c r="F110" s="7">
        <v>-0.045820130019671446</v>
      </c>
      <c r="G110" s="48">
        <v>1.0822370563857908</v>
      </c>
      <c r="H110" s="50">
        <v>37480.3572618043</v>
      </c>
      <c r="I110" s="56">
        <v>-0.0030548350416576492</v>
      </c>
      <c r="J110" s="56">
        <v>0.06710352430744301</v>
      </c>
      <c r="K110" s="50">
        <v>521064.93001824163</v>
      </c>
      <c r="L110" s="56">
        <v>-0.04246937658784706</v>
      </c>
      <c r="M110" s="56">
        <v>0.9328964756925571</v>
      </c>
      <c r="N110" s="51">
        <v>2.959183901667384E-4</v>
      </c>
      <c r="O110" s="7">
        <v>-0.1632102948335965</v>
      </c>
      <c r="P110" s="52">
        <v>57.72776385277226</v>
      </c>
      <c r="Q110" s="34">
        <v>4646.6877091817005</v>
      </c>
      <c r="R110" s="13">
        <v>5041.881401218479</v>
      </c>
      <c r="S110" s="56">
        <v>-0.07838218724091206</v>
      </c>
      <c r="T110" s="50">
        <v>291056.5389032249</v>
      </c>
      <c r="U110" s="50">
        <v>558545.2872800459</v>
      </c>
      <c r="V110" s="50">
        <v>267488.748376821</v>
      </c>
    </row>
    <row r="111">
      <c r="A111" s="54">
        <v>45545.95996238426</v>
      </c>
      <c r="B111" s="47">
        <v>10.90325790115843</v>
      </c>
      <c r="C111" s="7">
        <v>0.008534992307478895</v>
      </c>
      <c r="D111" s="48">
        <v>0.964550973181699</v>
      </c>
      <c r="E111" s="49">
        <v>122.84798272200949</v>
      </c>
      <c r="F111" s="7">
        <v>0.006184630177101802</v>
      </c>
      <c r="G111" s="48">
        <v>1.1280571864054623</v>
      </c>
      <c r="H111" s="50">
        <v>37600.389181553815</v>
      </c>
      <c r="I111" s="56">
        <v>5.612480069488823E-4</v>
      </c>
      <c r="J111" s="56">
        <v>0.06575846664291445</v>
      </c>
      <c r="K111" s="50">
        <v>534195.0175716737</v>
      </c>
      <c r="L111" s="56">
        <v>0.007973744300530012</v>
      </c>
      <c r="M111" s="56">
        <v>0.9342415333570855</v>
      </c>
      <c r="N111" s="51">
        <v>0.0023503621303770927</v>
      </c>
      <c r="O111" s="7">
        <v>-0.16350621322376324</v>
      </c>
      <c r="P111" s="52">
        <v>57.72776385277226</v>
      </c>
      <c r="Q111" s="34">
        <v>4654.495695278393</v>
      </c>
      <c r="R111" s="13">
        <v>5041.881401218479</v>
      </c>
      <c r="S111" s="56">
        <v>-0.07683356174273874</v>
      </c>
      <c r="T111" s="50">
        <v>291056.5389032249</v>
      </c>
      <c r="U111" s="50">
        <v>571795.4067532276</v>
      </c>
      <c r="V111" s="50">
        <v>280738.86785000266</v>
      </c>
    </row>
    <row r="112">
      <c r="A112" s="54">
        <v>45544.95996033565</v>
      </c>
      <c r="B112" s="47">
        <v>10.855888693851922</v>
      </c>
      <c r="C112" s="7">
        <v>0.08026313832721566</v>
      </c>
      <c r="D112" s="48">
        <v>0.9560159808742201</v>
      </c>
      <c r="E112" s="49">
        <v>122.49095785162903</v>
      </c>
      <c r="F112" s="7">
        <v>0.10322780141663745</v>
      </c>
      <c r="G112" s="48">
        <v>1.1218725562283605</v>
      </c>
      <c r="H112" s="50">
        <v>37551.91585934443</v>
      </c>
      <c r="I112" s="56">
        <v>0.005294177240354218</v>
      </c>
      <c r="J112" s="56">
        <v>0.06596025710795146</v>
      </c>
      <c r="K112" s="50">
        <v>531759.3255733027</v>
      </c>
      <c r="L112" s="56">
        <v>0.07496896108686145</v>
      </c>
      <c r="M112" s="56">
        <v>0.9340397428920486</v>
      </c>
      <c r="N112" s="51">
        <v>-0.0229646630894218</v>
      </c>
      <c r="O112" s="7">
        <v>-0.16585657535414033</v>
      </c>
      <c r="P112" s="52">
        <v>57.72776385277226</v>
      </c>
      <c r="Q112" s="34">
        <v>4647.781774408549</v>
      </c>
      <c r="R112" s="13">
        <v>5041.881401218479</v>
      </c>
      <c r="S112" s="56">
        <v>-0.07816519181008263</v>
      </c>
      <c r="T112" s="50">
        <v>291056.5389032249</v>
      </c>
      <c r="U112" s="50">
        <v>569311.2414326471</v>
      </c>
      <c r="V112" s="50">
        <v>278254.7025294222</v>
      </c>
    </row>
    <row r="113">
      <c r="A113" s="54">
        <v>45543.959963622685</v>
      </c>
      <c r="B113" s="47">
        <v>10.410428276135875</v>
      </c>
      <c r="C113" s="7">
        <v>0.03247717484171031</v>
      </c>
      <c r="D113" s="48">
        <v>0.8757528425470045</v>
      </c>
      <c r="E113" s="49">
        <v>116.53184770840852</v>
      </c>
      <c r="F113" s="7">
        <v>0.036624177922228496</v>
      </c>
      <c r="G113" s="48">
        <v>1.018644754811723</v>
      </c>
      <c r="H113" s="50">
        <v>35416.169831300955</v>
      </c>
      <c r="I113" s="56">
        <v>0.0021068172278581173</v>
      </c>
      <c r="J113" s="56">
        <v>0.06487070498362253</v>
      </c>
      <c r="K113" s="50">
        <v>510533.96035831596</v>
      </c>
      <c r="L113" s="56">
        <v>0.030370357613852192</v>
      </c>
      <c r="M113" s="56">
        <v>0.9351292950163774</v>
      </c>
      <c r="N113" s="51">
        <v>-0.004147003080518186</v>
      </c>
      <c r="O113" s="7">
        <v>-0.14289191226471853</v>
      </c>
      <c r="P113" s="52">
        <v>57.72776385277226</v>
      </c>
      <c r="Q113" s="34">
        <v>4684.986473017394</v>
      </c>
      <c r="R113" s="13">
        <v>5041.881401218479</v>
      </c>
      <c r="S113" s="56">
        <v>-0.0707860617496544</v>
      </c>
      <c r="T113" s="50">
        <v>291056.5389032249</v>
      </c>
      <c r="U113" s="50">
        <v>545950.1301896169</v>
      </c>
      <c r="V113" s="50">
        <v>254893.591286392</v>
      </c>
    </row>
    <row r="114">
      <c r="A114" s="54">
        <v>45542.959964375</v>
      </c>
      <c r="B114" s="47">
        <v>10.230179955764383</v>
      </c>
      <c r="C114" s="7">
        <v>0.036678230305180026</v>
      </c>
      <c r="D114" s="48">
        <v>0.8432756677052942</v>
      </c>
      <c r="E114" s="49">
        <v>114.4176158140122</v>
      </c>
      <c r="F114" s="7">
        <v>0.03644028200487859</v>
      </c>
      <c r="G114" s="48">
        <v>0.9820205768894945</v>
      </c>
      <c r="H114" s="50">
        <v>35060.33253989278</v>
      </c>
      <c r="I114" s="56">
        <v>0.0023969377390766307</v>
      </c>
      <c r="J114" s="56">
        <v>0.06535041955767734</v>
      </c>
      <c r="K114" s="50">
        <v>501437.10354694107</v>
      </c>
      <c r="L114" s="56">
        <v>0.0342812925661034</v>
      </c>
      <c r="M114" s="56">
        <v>0.9346495804423227</v>
      </c>
      <c r="N114" s="51">
        <v>2.379483003014382E-4</v>
      </c>
      <c r="O114" s="7">
        <v>-0.13874490918420035</v>
      </c>
      <c r="P114" s="52">
        <v>57.72776385277226</v>
      </c>
      <c r="Q114" s="34">
        <v>4688.940879164268</v>
      </c>
      <c r="R114" s="13">
        <v>5041.881401218479</v>
      </c>
      <c r="S114" s="56">
        <v>-0.07000175013416926</v>
      </c>
      <c r="T114" s="50">
        <v>291056.5389032249</v>
      </c>
      <c r="U114" s="50">
        <v>536497.4360868338</v>
      </c>
      <c r="V114" s="50">
        <v>245440.8971836089</v>
      </c>
    </row>
    <row r="115">
      <c r="A115" s="54">
        <v>45541.95998050926</v>
      </c>
      <c r="B115" s="47">
        <v>10.026615777570633</v>
      </c>
      <c r="C115" s="7">
        <v>-0.049087134256611265</v>
      </c>
      <c r="D115" s="48">
        <v>0.8065974374001141</v>
      </c>
      <c r="E115" s="49">
        <v>112.31399981970613</v>
      </c>
      <c r="F115" s="7">
        <v>-0.07280929942255376</v>
      </c>
      <c r="G115" s="48">
        <v>0.9455802948846159</v>
      </c>
      <c r="H115" s="50">
        <v>34868.54181663578</v>
      </c>
      <c r="I115" s="56">
        <v>-0.0032550878476090344</v>
      </c>
      <c r="J115" s="56">
        <v>0.06631244412420807</v>
      </c>
      <c r="K115" s="50">
        <v>490953.455504477</v>
      </c>
      <c r="L115" s="56">
        <v>-0.045832046409002236</v>
      </c>
      <c r="M115" s="56">
        <v>0.933687555875792</v>
      </c>
      <c r="N115" s="51">
        <v>0.0237221651659425</v>
      </c>
      <c r="O115" s="7">
        <v>-0.1389828574845018</v>
      </c>
      <c r="P115" s="52">
        <v>57.72776385277226</v>
      </c>
      <c r="Q115" s="34">
        <v>4681.713750424677</v>
      </c>
      <c r="R115" s="13">
        <v>5041.881401218479</v>
      </c>
      <c r="S115" s="56">
        <v>-0.0714351691625988</v>
      </c>
      <c r="T115" s="50">
        <v>291056.5389032249</v>
      </c>
      <c r="U115" s="50">
        <v>525821.9973211128</v>
      </c>
      <c r="V115" s="50">
        <v>234765.45841788786</v>
      </c>
    </row>
    <row r="116">
      <c r="A116" s="54">
        <v>45540.95996033565</v>
      </c>
      <c r="B116" s="47">
        <v>10.299049372694826</v>
      </c>
      <c r="C116" s="7">
        <v>-0.08006882708324392</v>
      </c>
      <c r="D116" s="48">
        <v>0.8556845716567254</v>
      </c>
      <c r="E116" s="49">
        <v>116.5171178630571</v>
      </c>
      <c r="F116" s="7">
        <v>-0.08015388104862486</v>
      </c>
      <c r="G116" s="48">
        <v>1.0183895943071697</v>
      </c>
      <c r="H116" s="50">
        <v>36411.188709907736</v>
      </c>
      <c r="I116" s="56">
        <v>-0.005397800217901422</v>
      </c>
      <c r="J116" s="56">
        <v>0.06741450342827646</v>
      </c>
      <c r="K116" s="50">
        <v>503697.9400126122</v>
      </c>
      <c r="L116" s="56">
        <v>-0.0746710268653425</v>
      </c>
      <c r="M116" s="56">
        <v>0.9325854965717235</v>
      </c>
      <c r="N116" s="51">
        <v>8.505396538094345E-5</v>
      </c>
      <c r="O116" s="7">
        <v>-0.1627050226504443</v>
      </c>
      <c r="P116" s="52">
        <v>57.72776385277226</v>
      </c>
      <c r="Q116" s="34">
        <v>4635.448753180728</v>
      </c>
      <c r="R116" s="13">
        <v>5041.881401218479</v>
      </c>
      <c r="S116" s="56">
        <v>-0.08061130671172234</v>
      </c>
      <c r="T116" s="50">
        <v>291056.5389032249</v>
      </c>
      <c r="U116" s="50">
        <v>540109.12872252</v>
      </c>
      <c r="V116" s="50">
        <v>249052.58981929504</v>
      </c>
    </row>
    <row r="117">
      <c r="A117" s="54">
        <v>45539.95996902778</v>
      </c>
      <c r="B117" s="47">
        <v>10.74343136300683</v>
      </c>
      <c r="C117" s="7">
        <v>0.053065233241499365</v>
      </c>
      <c r="D117" s="48">
        <v>0.9357533987399693</v>
      </c>
      <c r="E117" s="49">
        <v>121.14422218011532</v>
      </c>
      <c r="F117" s="7">
        <v>0.05893957659835758</v>
      </c>
      <c r="G117" s="48">
        <v>1.0985434753557946</v>
      </c>
      <c r="H117" s="50">
        <v>37757.8081495406</v>
      </c>
      <c r="I117" s="56">
        <v>0.0035562268925905536</v>
      </c>
      <c r="J117" s="56">
        <v>0.06701613609057741</v>
      </c>
      <c r="K117" s="50">
        <v>525655.8762578692</v>
      </c>
      <c r="L117" s="56">
        <v>0.04950900634890881</v>
      </c>
      <c r="M117" s="56">
        <v>0.9329838639094227</v>
      </c>
      <c r="N117" s="51">
        <v>-0.005874343356858214</v>
      </c>
      <c r="O117" s="7">
        <v>-0.16279007661582523</v>
      </c>
      <c r="P117" s="52">
        <v>57.72776385277226</v>
      </c>
      <c r="Q117" s="34">
        <v>4650.768103242556</v>
      </c>
      <c r="R117" s="13">
        <v>5041.881401218479</v>
      </c>
      <c r="S117" s="56">
        <v>-0.07757288735141651</v>
      </c>
      <c r="T117" s="50">
        <v>291056.5389032249</v>
      </c>
      <c r="U117" s="50">
        <v>563413.6844074097</v>
      </c>
      <c r="V117" s="50">
        <v>272357.1455041848</v>
      </c>
    </row>
    <row r="118">
      <c r="A118" s="54">
        <v>45538.95996865741</v>
      </c>
      <c r="B118" s="47">
        <v>10.448919318516507</v>
      </c>
      <c r="C118" s="7">
        <v>-0.03329648968351395</v>
      </c>
      <c r="D118" s="48">
        <v>0.88268816549847</v>
      </c>
      <c r="E118" s="49">
        <v>117.74177222066294</v>
      </c>
      <c r="F118" s="7">
        <v>-0.058315095349105395</v>
      </c>
      <c r="G118" s="48">
        <v>1.039603898757437</v>
      </c>
      <c r="H118" s="50">
        <v>37867.909722642835</v>
      </c>
      <c r="I118" s="56">
        <v>-0.002300986283453127</v>
      </c>
      <c r="J118" s="56">
        <v>0.06910597199056726</v>
      </c>
      <c r="K118" s="50">
        <v>510100.79156140366</v>
      </c>
      <c r="L118" s="56">
        <v>-0.030995503400060822</v>
      </c>
      <c r="M118" s="56">
        <v>0.9308940280094327</v>
      </c>
      <c r="N118" s="51">
        <v>0.025018605665591442</v>
      </c>
      <c r="O118" s="7">
        <v>-0.15691573325896702</v>
      </c>
      <c r="P118" s="52">
        <v>57.72776385277226</v>
      </c>
      <c r="Q118" s="34">
        <v>4653.9872039388365</v>
      </c>
      <c r="R118" s="13">
        <v>5041.881401218479</v>
      </c>
      <c r="S118" s="56">
        <v>-0.07693441523354752</v>
      </c>
      <c r="T118" s="50">
        <v>291056.5389032249</v>
      </c>
      <c r="U118" s="50">
        <v>547968.7012840465</v>
      </c>
      <c r="V118" s="50">
        <v>256912.1623808216</v>
      </c>
    </row>
    <row r="119">
      <c r="A119" s="54">
        <v>45537.95996552083</v>
      </c>
      <c r="B119" s="47">
        <v>10.63371483626001</v>
      </c>
      <c r="C119" s="7">
        <v>0.0069204687601480686</v>
      </c>
      <c r="D119" s="48">
        <v>0.9159846551819839</v>
      </c>
      <c r="E119" s="49">
        <v>121.10817227402801</v>
      </c>
      <c r="F119" s="7">
        <v>0.003777741785913502</v>
      </c>
      <c r="G119" s="48">
        <v>1.0979189941065424</v>
      </c>
      <c r="H119" s="50">
        <v>38393.522714594976</v>
      </c>
      <c r="I119" s="56">
        <v>4.76457411563997E-4</v>
      </c>
      <c r="J119" s="56">
        <v>0.06884756337716678</v>
      </c>
      <c r="K119" s="50">
        <v>519266.3396143621</v>
      </c>
      <c r="L119" s="56">
        <v>0.006444011348584072</v>
      </c>
      <c r="M119" s="56">
        <v>0.9311524366228332</v>
      </c>
      <c r="N119" s="51">
        <v>0.0031427269742345665</v>
      </c>
      <c r="O119" s="7">
        <v>-0.18193433892455846</v>
      </c>
      <c r="P119" s="52">
        <v>57.72776385277226</v>
      </c>
      <c r="Q119" s="34">
        <v>4604.642707902122</v>
      </c>
      <c r="R119" s="13">
        <v>5041.881401218479</v>
      </c>
      <c r="S119" s="56">
        <v>-0.08672133644609112</v>
      </c>
      <c r="T119" s="50">
        <v>291056.5389032249</v>
      </c>
      <c r="U119" s="50">
        <v>557659.8623289571</v>
      </c>
      <c r="V119" s="50">
        <v>266603.32342573215</v>
      </c>
    </row>
    <row r="120">
      <c r="A120" s="54">
        <v>45536.95996166667</v>
      </c>
      <c r="B120" s="47">
        <v>10.595306234641189</v>
      </c>
      <c r="C120" s="7">
        <v>-0.0693855226657667</v>
      </c>
      <c r="D120" s="48">
        <v>0.9090641864218358</v>
      </c>
      <c r="E120" s="49">
        <v>120.89009168831403</v>
      </c>
      <c r="F120" s="7">
        <v>-0.03505676255028867</v>
      </c>
      <c r="G120" s="48">
        <v>1.0941412523206289</v>
      </c>
      <c r="H120" s="50">
        <v>37975.95902704197</v>
      </c>
      <c r="I120" s="56">
        <v>-0.004742198437961359</v>
      </c>
      <c r="J120" s="56">
        <v>0.0683456469846707</v>
      </c>
      <c r="K120" s="50">
        <v>517669.6556169986</v>
      </c>
      <c r="L120" s="56">
        <v>-0.06464332422780533</v>
      </c>
      <c r="M120" s="56">
        <v>0.9316543530153293</v>
      </c>
      <c r="N120" s="51">
        <v>-0.03432876011547803</v>
      </c>
      <c r="O120" s="7">
        <v>-0.18507706589879303</v>
      </c>
      <c r="P120" s="52">
        <v>57.72776385277226</v>
      </c>
      <c r="Q120" s="34">
        <v>4596.287478022921</v>
      </c>
      <c r="R120" s="13">
        <v>5041.881401218479</v>
      </c>
      <c r="S120" s="56">
        <v>-0.08837850154267228</v>
      </c>
      <c r="T120" s="50">
        <v>291056.5389032249</v>
      </c>
      <c r="U120" s="50">
        <v>555645.6146440406</v>
      </c>
      <c r="V120" s="50">
        <v>264589.07574081566</v>
      </c>
    </row>
    <row r="121">
      <c r="A121" s="54">
        <v>45535.95995556713</v>
      </c>
      <c r="B121" s="47">
        <v>10.980395885436193</v>
      </c>
      <c r="C121" s="7">
        <v>0.01220261593587213</v>
      </c>
      <c r="D121" s="48">
        <v>0.9784497090876025</v>
      </c>
      <c r="E121" s="49">
        <v>122.9138401982598</v>
      </c>
      <c r="F121" s="7">
        <v>-0.01301794761713193</v>
      </c>
      <c r="G121" s="48">
        <v>1.1291980148709175</v>
      </c>
      <c r="H121" s="50">
        <v>38447.74725744549</v>
      </c>
      <c r="I121" s="56">
        <v>8.147445521663934E-4</v>
      </c>
      <c r="J121" s="56">
        <v>0.06676802387685432</v>
      </c>
      <c r="K121" s="50">
        <v>537392.9774636843</v>
      </c>
      <c r="L121" s="56">
        <v>0.011387871383705736</v>
      </c>
      <c r="M121" s="56">
        <v>0.9332319761231457</v>
      </c>
      <c r="N121" s="51">
        <v>0.02522056355300406</v>
      </c>
      <c r="O121" s="7">
        <v>-0.150748305783315</v>
      </c>
      <c r="P121" s="52">
        <v>57.72776385277226</v>
      </c>
      <c r="Q121" s="34">
        <v>4684.913625612052</v>
      </c>
      <c r="R121" s="13">
        <v>5041.881401218479</v>
      </c>
      <c r="S121" s="56">
        <v>-0.07080051020640005</v>
      </c>
      <c r="T121" s="50">
        <v>291056.5389032249</v>
      </c>
      <c r="U121" s="50">
        <v>575840.7247211298</v>
      </c>
      <c r="V121" s="50">
        <v>284784.1858179048</v>
      </c>
    </row>
    <row r="122">
      <c r="A122" s="54">
        <v>45534.959958680556</v>
      </c>
      <c r="B122" s="47">
        <v>10.912671366992104</v>
      </c>
      <c r="C122" s="7">
        <v>-0.0352033521125068</v>
      </c>
      <c r="D122" s="48">
        <v>0.9662470931517304</v>
      </c>
      <c r="E122" s="49">
        <v>123.66533720414937</v>
      </c>
      <c r="F122" s="7">
        <v>-0.04365805548657642</v>
      </c>
      <c r="G122" s="48">
        <v>1.1422159624880495</v>
      </c>
      <c r="H122" s="50">
        <v>37285.960509605815</v>
      </c>
      <c r="I122" s="56">
        <v>-0.0022935800407731365</v>
      </c>
      <c r="J122" s="56">
        <v>0.0651523193996713</v>
      </c>
      <c r="K122" s="50">
        <v>535003.1130516637</v>
      </c>
      <c r="L122" s="56">
        <v>-0.032909772071733664</v>
      </c>
      <c r="M122" s="56">
        <v>0.9348476806003287</v>
      </c>
      <c r="N122" s="51">
        <v>0.008454703374069616</v>
      </c>
      <c r="O122" s="7">
        <v>-0.17596886933631906</v>
      </c>
      <c r="P122" s="52">
        <v>57.72776385277226</v>
      </c>
      <c r="Q122" s="34">
        <v>4627.724199033417</v>
      </c>
      <c r="R122" s="13">
        <v>5041.881401218479</v>
      </c>
      <c r="S122" s="56">
        <v>-0.08214338442887063</v>
      </c>
      <c r="T122" s="50">
        <v>291056.5389032249</v>
      </c>
      <c r="U122" s="50">
        <v>572289.0735612696</v>
      </c>
      <c r="V122" s="50">
        <v>281232.53465804463</v>
      </c>
    </row>
    <row r="123">
      <c r="A123" s="54">
        <v>45533.95997003472</v>
      </c>
      <c r="B123" s="47">
        <v>11.108049971216516</v>
      </c>
      <c r="C123" s="7">
        <v>-0.05190339241413078</v>
      </c>
      <c r="D123" s="48">
        <v>1.0014504452642372</v>
      </c>
      <c r="E123" s="49">
        <v>126.18561912154966</v>
      </c>
      <c r="F123" s="7">
        <v>-0.05197273017904713</v>
      </c>
      <c r="G123" s="48">
        <v>1.1858740179746259</v>
      </c>
      <c r="H123" s="50">
        <v>37354.51627240494</v>
      </c>
      <c r="I123" s="56">
        <v>-0.003328255503604874</v>
      </c>
      <c r="J123" s="56">
        <v>0.06412404563172158</v>
      </c>
      <c r="K123" s="50">
        <v>545180.7231125224</v>
      </c>
      <c r="L123" s="56">
        <v>-0.0485751369105259</v>
      </c>
      <c r="M123" s="56">
        <v>0.9358759543682784</v>
      </c>
      <c r="N123" s="51">
        <v>6.933776491635513E-5</v>
      </c>
      <c r="O123" s="7">
        <v>-0.18442357271038867</v>
      </c>
      <c r="P123" s="52">
        <v>57.72776385277226</v>
      </c>
      <c r="Q123" s="34">
        <v>4616.49468014096</v>
      </c>
      <c r="R123" s="13">
        <v>5041.881401218479</v>
      </c>
      <c r="S123" s="56">
        <v>-0.08437063215622562</v>
      </c>
      <c r="T123" s="50">
        <v>291056.5389032249</v>
      </c>
      <c r="U123" s="50">
        <v>582535.2393849273</v>
      </c>
      <c r="V123" s="50">
        <v>291478.7004817024</v>
      </c>
    </row>
    <row r="124">
      <c r="A124" s="54">
        <v>45532.95995584491</v>
      </c>
      <c r="B124" s="47">
        <v>11.396113799114943</v>
      </c>
      <c r="C124" s="7">
        <v>-0.050924933608472944</v>
      </c>
      <c r="D124" s="48">
        <v>1.053353837678368</v>
      </c>
      <c r="E124" s="49">
        <v>129.18588861610957</v>
      </c>
      <c r="F124" s="7">
        <v>-0.055052705477544706</v>
      </c>
      <c r="G124" s="48">
        <v>1.237846748153673</v>
      </c>
      <c r="H124" s="50">
        <v>37063.770312936715</v>
      </c>
      <c r="I124" s="56">
        <v>-0.0031581947878148936</v>
      </c>
      <c r="J124" s="56">
        <v>0.06201666971421304</v>
      </c>
      <c r="K124" s="50">
        <v>560578.2908253834</v>
      </c>
      <c r="L124" s="56">
        <v>-0.04776673882065805</v>
      </c>
      <c r="M124" s="56">
        <v>0.937983330285787</v>
      </c>
      <c r="N124" s="51">
        <v>0.004127771869071761</v>
      </c>
      <c r="O124" s="7">
        <v>-0.18449291047530503</v>
      </c>
      <c r="P124" s="52">
        <v>57.72776385277226</v>
      </c>
      <c r="Q124" s="34">
        <v>4626.217828746612</v>
      </c>
      <c r="R124" s="13">
        <v>5041.881401218479</v>
      </c>
      <c r="S124" s="56">
        <v>-0.08244215589272154</v>
      </c>
      <c r="T124" s="50">
        <v>291056.5389032249</v>
      </c>
      <c r="U124" s="50">
        <v>597642.0611383201</v>
      </c>
      <c r="V124" s="50">
        <v>306585.5222350952</v>
      </c>
    </row>
    <row r="125">
      <c r="A125" s="54">
        <v>45531.95996166667</v>
      </c>
      <c r="B125" s="47">
        <v>11.678747180641967</v>
      </c>
      <c r="C125" s="7">
        <v>-0.1681294421544659</v>
      </c>
      <c r="D125" s="48">
        <v>1.104278771286841</v>
      </c>
      <c r="E125" s="49">
        <v>132.36395819737348</v>
      </c>
      <c r="F125" s="7">
        <v>-0.1568230318517827</v>
      </c>
      <c r="G125" s="48">
        <v>1.2928994536312177</v>
      </c>
      <c r="H125" s="50">
        <v>37654.58918389208</v>
      </c>
      <c r="I125" s="56">
        <v>-0.01033667951278723</v>
      </c>
      <c r="J125" s="56">
        <v>0.061480484205084035</v>
      </c>
      <c r="K125" s="50">
        <v>574809.5068743867</v>
      </c>
      <c r="L125" s="56">
        <v>-0.15779276264167866</v>
      </c>
      <c r="M125" s="56">
        <v>0.9385195157949159</v>
      </c>
      <c r="N125" s="51">
        <v>-0.0113064103026832</v>
      </c>
      <c r="O125" s="7">
        <v>-0.1886206823443768</v>
      </c>
      <c r="P125" s="52">
        <v>57.72776385277226</v>
      </c>
      <c r="Q125" s="34">
        <v>4627.121343296548</v>
      </c>
      <c r="R125" s="13">
        <v>5041.881401218479</v>
      </c>
      <c r="S125" s="56">
        <v>-0.08226295402777539</v>
      </c>
      <c r="T125" s="50">
        <v>291056.5389032249</v>
      </c>
      <c r="U125" s="50">
        <v>612464.0960582788</v>
      </c>
      <c r="V125" s="50">
        <v>321407.5571550539</v>
      </c>
    </row>
    <row r="126">
      <c r="A126" s="54">
        <v>45530.959956018516</v>
      </c>
      <c r="B126" s="47">
        <v>12.611865584599252</v>
      </c>
      <c r="C126" s="7">
        <v>-0.0444060888134179</v>
      </c>
      <c r="D126" s="48">
        <v>1.2724082134413068</v>
      </c>
      <c r="E126" s="49">
        <v>141.41700114678898</v>
      </c>
      <c r="F126" s="7">
        <v>-0.0489125880314174</v>
      </c>
      <c r="G126" s="48">
        <v>1.4497224854830004</v>
      </c>
      <c r="H126" s="50">
        <v>39432.10346095878</v>
      </c>
      <c r="I126" s="56">
        <v>-0.0026474560358987196</v>
      </c>
      <c r="J126" s="56">
        <v>0.05961921228916597</v>
      </c>
      <c r="K126" s="50">
        <v>621967.1661185288</v>
      </c>
      <c r="L126" s="56">
        <v>-0.04175863277751918</v>
      </c>
      <c r="M126" s="56">
        <v>0.940380787710834</v>
      </c>
      <c r="N126" s="51">
        <v>0.0045064992179995045</v>
      </c>
      <c r="O126" s="7">
        <v>-0.1773142720416936</v>
      </c>
      <c r="P126" s="52">
        <v>57.72776385277226</v>
      </c>
      <c r="Q126" s="34">
        <v>4676.943113034648</v>
      </c>
      <c r="R126" s="13">
        <v>5041.881401218479</v>
      </c>
      <c r="S126" s="56">
        <v>-0.07238137098893992</v>
      </c>
      <c r="T126" s="50">
        <v>291056.5389032249</v>
      </c>
      <c r="U126" s="50">
        <v>661399.2695794876</v>
      </c>
      <c r="V126" s="50">
        <v>370342.7306762627</v>
      </c>
    </row>
    <row r="127">
      <c r="A127" s="54">
        <v>45529.95995532407</v>
      </c>
      <c r="B127" s="47">
        <v>12.858319377513721</v>
      </c>
      <c r="C127" s="7">
        <v>0.041693713584759706</v>
      </c>
      <c r="D127" s="48">
        <v>1.3168143022547247</v>
      </c>
      <c r="E127" s="49">
        <v>144.24061547809458</v>
      </c>
      <c r="F127" s="7">
        <v>0.05005572050324014</v>
      </c>
      <c r="G127" s="48">
        <v>1.4986350735144178</v>
      </c>
      <c r="H127" s="50">
        <v>40238.62469837128</v>
      </c>
      <c r="I127" s="56">
        <v>0.002487969896374534</v>
      </c>
      <c r="J127" s="56">
        <v>0.05967254251211533</v>
      </c>
      <c r="K127" s="50">
        <v>634085.327397379</v>
      </c>
      <c r="L127" s="56">
        <v>0.039205743688385176</v>
      </c>
      <c r="M127" s="56">
        <v>0.9403274574878847</v>
      </c>
      <c r="N127" s="51">
        <v>-0.008362006918480436</v>
      </c>
      <c r="O127" s="7">
        <v>-0.1818207712596931</v>
      </c>
      <c r="P127" s="52">
        <v>57.72776385277226</v>
      </c>
      <c r="Q127" s="34">
        <v>4674.993585271813</v>
      </c>
      <c r="R127" s="13">
        <v>5041.881401218479</v>
      </c>
      <c r="S127" s="56">
        <v>-0.0727680377126682</v>
      </c>
      <c r="T127" s="50">
        <v>291056.5389032249</v>
      </c>
      <c r="U127" s="50">
        <v>674323.9520957503</v>
      </c>
      <c r="V127" s="50">
        <v>383267.41319252533</v>
      </c>
    </row>
    <row r="128">
      <c r="A128" s="54">
        <v>45528.95995966435</v>
      </c>
      <c r="B128" s="47">
        <v>12.626919267118305</v>
      </c>
      <c r="C128" s="7">
        <v>0.08890260011640416</v>
      </c>
      <c r="D128" s="48">
        <v>1.275120588669965</v>
      </c>
      <c r="E128" s="49">
        <v>141.35101066540315</v>
      </c>
      <c r="F128" s="7">
        <v>0.09904304604049408</v>
      </c>
      <c r="G128" s="48">
        <v>1.4485793530111777</v>
      </c>
      <c r="H128" s="50">
        <v>39536.673891332466</v>
      </c>
      <c r="I128" s="56">
        <v>0.005308023197668246</v>
      </c>
      <c r="J128" s="56">
        <v>0.05970605123717656</v>
      </c>
      <c r="K128" s="50">
        <v>622652.0502344152</v>
      </c>
      <c r="L128" s="56">
        <v>0.08359457691873592</v>
      </c>
      <c r="M128" s="56">
        <v>0.9402939487628235</v>
      </c>
      <c r="N128" s="51">
        <v>-0.010140445924089914</v>
      </c>
      <c r="O128" s="7">
        <v>-0.17345876434121266</v>
      </c>
      <c r="P128" s="52">
        <v>57.72776385277226</v>
      </c>
      <c r="Q128" s="34">
        <v>4684.711633885926</v>
      </c>
      <c r="R128" s="13">
        <v>5041.881401218479</v>
      </c>
      <c r="S128" s="56">
        <v>-0.07084057297465102</v>
      </c>
      <c r="T128" s="50">
        <v>291056.5389032249</v>
      </c>
      <c r="U128" s="50">
        <v>662188.7241257477</v>
      </c>
      <c r="V128" s="50">
        <v>371132.18522252276</v>
      </c>
    </row>
    <row r="129">
      <c r="A129" s="54">
        <v>45527.95996565973</v>
      </c>
      <c r="B129" s="47">
        <v>12.133509836472262</v>
      </c>
      <c r="C129" s="7">
        <v>0.131873026869898</v>
      </c>
      <c r="D129" s="48">
        <v>1.1862179885535609</v>
      </c>
      <c r="E129" s="49">
        <v>135.63347709231826</v>
      </c>
      <c r="F129" s="7">
        <v>0.11442075516670869</v>
      </c>
      <c r="G129" s="48">
        <v>1.3495363069706836</v>
      </c>
      <c r="H129" s="50">
        <v>40054.78030390069</v>
      </c>
      <c r="I129" s="56">
        <v>0.008301173759822795</v>
      </c>
      <c r="J129" s="56">
        <v>0.06294823101324948</v>
      </c>
      <c r="K129" s="50">
        <v>596258.2607324689</v>
      </c>
      <c r="L129" s="56">
        <v>0.1235718531100752</v>
      </c>
      <c r="M129" s="56">
        <v>0.9370517689867505</v>
      </c>
      <c r="N129" s="51">
        <v>0.017452271703189304</v>
      </c>
      <c r="O129" s="7">
        <v>-0.16331831841712274</v>
      </c>
      <c r="P129" s="52">
        <v>57.72776385277226</v>
      </c>
      <c r="Q129" s="34">
        <v>4691.415826516534</v>
      </c>
      <c r="R129" s="13">
        <v>5041.881401218479</v>
      </c>
      <c r="S129" s="56">
        <v>-0.06951087239323947</v>
      </c>
      <c r="T129" s="50">
        <v>291056.5389032249</v>
      </c>
      <c r="U129" s="50">
        <v>636313.0410363696</v>
      </c>
      <c r="V129" s="50">
        <v>345256.5021331447</v>
      </c>
    </row>
    <row r="130">
      <c r="A130" s="54">
        <v>45526.959970104166</v>
      </c>
      <c r="B130" s="47">
        <v>11.40161453734433</v>
      </c>
      <c r="C130" s="7">
        <v>0.0022071031618997594</v>
      </c>
      <c r="D130" s="48">
        <v>1.0543449616836629</v>
      </c>
      <c r="E130" s="49">
        <v>129.02822275819864</v>
      </c>
      <c r="F130" s="7">
        <v>0.0029764374995671083</v>
      </c>
      <c r="G130" s="48">
        <v>1.235115551803975</v>
      </c>
      <c r="H130" s="50">
        <v>38109.57936249572</v>
      </c>
      <c r="I130" s="56">
        <v>1.4067147986279187E-4</v>
      </c>
      <c r="J130" s="56">
        <v>0.06373579735244872</v>
      </c>
      <c r="K130" s="50">
        <v>559820.9548984295</v>
      </c>
      <c r="L130" s="56">
        <v>0.002066431682036968</v>
      </c>
      <c r="M130" s="56">
        <v>0.9362642026475514</v>
      </c>
      <c r="N130" s="51">
        <v>-7.693343376673489E-4</v>
      </c>
      <c r="O130" s="7">
        <v>-0.18077059012031205</v>
      </c>
      <c r="P130" s="52">
        <v>57.72776385277226</v>
      </c>
      <c r="Q130" s="34">
        <v>4634.106565828302</v>
      </c>
      <c r="R130" s="13">
        <v>5041.881401218479</v>
      </c>
      <c r="S130" s="56">
        <v>-0.08087751435240612</v>
      </c>
      <c r="T130" s="50">
        <v>291056.5389032249</v>
      </c>
      <c r="U130" s="50">
        <v>597930.5342609251</v>
      </c>
      <c r="V130" s="50">
        <v>306873.9953577002</v>
      </c>
    </row>
    <row r="131">
      <c r="A131" s="54">
        <v>45525.95997927083</v>
      </c>
      <c r="B131" s="47">
        <v>11.389365114795785</v>
      </c>
      <c r="C131" s="7">
        <v>0.012762223703609799</v>
      </c>
      <c r="D131" s="48">
        <v>1.0521378585217631</v>
      </c>
      <c r="E131" s="49">
        <v>128.85639967710108</v>
      </c>
      <c r="F131" s="7">
        <v>0.004336092632663657</v>
      </c>
      <c r="G131" s="48">
        <v>1.2321391143044078</v>
      </c>
      <c r="H131" s="50">
        <v>38217.565542698896</v>
      </c>
      <c r="I131" s="56">
        <v>8.165926731103092E-4</v>
      </c>
      <c r="J131" s="56">
        <v>0.06398514021340464</v>
      </c>
      <c r="K131" s="50">
        <v>559070.5769109214</v>
      </c>
      <c r="L131" s="56">
        <v>0.011945631030499492</v>
      </c>
      <c r="M131" s="56">
        <v>0.9360148597865955</v>
      </c>
      <c r="N131" s="51">
        <v>0.008426131070946141</v>
      </c>
      <c r="O131" s="7">
        <v>-0.1800012557826447</v>
      </c>
      <c r="P131" s="52">
        <v>57.72776385277226</v>
      </c>
      <c r="Q131" s="34">
        <v>4635.300566757675</v>
      </c>
      <c r="R131" s="13">
        <v>5041.881401218479</v>
      </c>
      <c r="S131" s="56">
        <v>-0.08064069780827153</v>
      </c>
      <c r="T131" s="50">
        <v>291056.5389032249</v>
      </c>
      <c r="U131" s="50">
        <v>597288.1424536202</v>
      </c>
      <c r="V131" s="50">
        <v>306231.6035503953</v>
      </c>
    </row>
    <row r="132">
      <c r="A132" s="54">
        <v>45524.95996532407</v>
      </c>
      <c r="B132" s="47">
        <v>11.318534773240751</v>
      </c>
      <c r="C132" s="7">
        <v>-0.009778267615042413</v>
      </c>
      <c r="D132" s="48">
        <v>1.0393756348181533</v>
      </c>
      <c r="E132" s="49">
        <v>128.60608674555894</v>
      </c>
      <c r="F132" s="7">
        <v>-0.017280142880881755</v>
      </c>
      <c r="G132" s="48">
        <v>1.2278030216717442</v>
      </c>
      <c r="H132" s="50">
        <v>37248.6207205039</v>
      </c>
      <c r="I132" s="56">
        <v>-6.136172047278141E-4</v>
      </c>
      <c r="J132" s="56">
        <v>0.06275316128430103</v>
      </c>
      <c r="K132" s="50">
        <v>556324.993073235</v>
      </c>
      <c r="L132" s="56">
        <v>-0.0091646504103146</v>
      </c>
      <c r="M132" s="56">
        <v>0.937246838715699</v>
      </c>
      <c r="N132" s="51">
        <v>0.007501875265839342</v>
      </c>
      <c r="O132" s="7">
        <v>-0.18842738685359084</v>
      </c>
      <c r="P132" s="52">
        <v>57.72776385277226</v>
      </c>
      <c r="Q132" s="34">
        <v>4615.4395084588505</v>
      </c>
      <c r="R132" s="13">
        <v>5041.881401218479</v>
      </c>
      <c r="S132" s="56">
        <v>-0.08457991349351653</v>
      </c>
      <c r="T132" s="50">
        <v>291056.5389032249</v>
      </c>
      <c r="U132" s="50">
        <v>593573.6137937389</v>
      </c>
      <c r="V132" s="50">
        <v>302517.07489051396</v>
      </c>
    </row>
    <row r="133">
      <c r="A133" s="54">
        <v>45523.96000057871</v>
      </c>
      <c r="B133" s="47">
        <v>11.372804158504236</v>
      </c>
      <c r="C133" s="7">
        <v>-0.0335967108867119</v>
      </c>
      <c r="D133" s="48">
        <v>1.0491539024331957</v>
      </c>
      <c r="E133" s="49">
        <v>129.60363075312864</v>
      </c>
      <c r="F133" s="7">
        <v>-0.034735448450871065</v>
      </c>
      <c r="G133" s="48">
        <v>1.245083164552626</v>
      </c>
      <c r="H133" s="50">
        <v>37173.01345676571</v>
      </c>
      <c r="I133" s="56">
        <v>-0.002093980306572872</v>
      </c>
      <c r="J133" s="56">
        <v>0.0623269436592699</v>
      </c>
      <c r="K133" s="50">
        <v>559246.6290654769</v>
      </c>
      <c r="L133" s="56">
        <v>-0.031502730580139034</v>
      </c>
      <c r="M133" s="56">
        <v>0.9376730563407302</v>
      </c>
      <c r="N133" s="51">
        <v>0.0011387375641591646</v>
      </c>
      <c r="O133" s="7">
        <v>-0.19592926211943018</v>
      </c>
      <c r="P133" s="52">
        <v>57.72776385277226</v>
      </c>
      <c r="Q133" s="34">
        <v>4601.874492685422</v>
      </c>
      <c r="R133" s="13">
        <v>5041.881401218479</v>
      </c>
      <c r="S133" s="56">
        <v>-0.08727038054221581</v>
      </c>
      <c r="T133" s="50">
        <v>291056.5389032249</v>
      </c>
      <c r="U133" s="50">
        <v>596419.6425222426</v>
      </c>
      <c r="V133" s="50">
        <v>305363.1036190177</v>
      </c>
    </row>
    <row r="134">
      <c r="A134" s="54">
        <v>45522.95995798611</v>
      </c>
      <c r="B134" s="47">
        <v>11.559265903925487</v>
      </c>
      <c r="C134" s="7">
        <v>0.058843125231322624</v>
      </c>
      <c r="D134" s="48">
        <v>1.0827506133199076</v>
      </c>
      <c r="E134" s="49">
        <v>131.60883051862066</v>
      </c>
      <c r="F134" s="7">
        <v>0.06123371411321621</v>
      </c>
      <c r="G134" s="48">
        <v>1.279818613003497</v>
      </c>
      <c r="H134" s="50">
        <v>37641.453635851765</v>
      </c>
      <c r="I134" s="56">
        <v>0.003653822834370503</v>
      </c>
      <c r="J134" s="56">
        <v>0.06209430277550157</v>
      </c>
      <c r="K134" s="50">
        <v>568556.7312756096</v>
      </c>
      <c r="L134" s="56">
        <v>0.05518930239695212</v>
      </c>
      <c r="M134" s="56">
        <v>0.9379056972244985</v>
      </c>
      <c r="N134" s="51">
        <v>-0.002390588881893585</v>
      </c>
      <c r="O134" s="7">
        <v>-0.19706799968358935</v>
      </c>
      <c r="P134" s="52">
        <v>57.72776385277226</v>
      </c>
      <c r="Q134" s="34">
        <v>4606.0601140718545</v>
      </c>
      <c r="R134" s="13">
        <v>5041.881401218479</v>
      </c>
      <c r="S134" s="56">
        <v>-0.08644021000599086</v>
      </c>
      <c r="T134" s="50">
        <v>291056.5389032249</v>
      </c>
      <c r="U134" s="50">
        <v>606198.1849114613</v>
      </c>
      <c r="V134" s="50">
        <v>315141.6460082364</v>
      </c>
    </row>
    <row r="135">
      <c r="A135" s="54">
        <v>45521.9599534838</v>
      </c>
      <c r="B135" s="47">
        <v>11.232686558891647</v>
      </c>
      <c r="C135" s="7">
        <v>0.020207545986368203</v>
      </c>
      <c r="D135" s="48">
        <v>1.023907488088585</v>
      </c>
      <c r="E135" s="49">
        <v>128.07394513046475</v>
      </c>
      <c r="F135" s="7">
        <v>0.02089188500152117</v>
      </c>
      <c r="G135" s="48">
        <v>1.2185848988902808</v>
      </c>
      <c r="H135" s="50">
        <v>37565.57586887183</v>
      </c>
      <c r="I135" s="56">
        <v>0.0012886518714030197</v>
      </c>
      <c r="J135" s="56">
        <v>0.0637708246351304</v>
      </c>
      <c r="K135" s="50">
        <v>551505.9326745116</v>
      </c>
      <c r="L135" s="56">
        <v>0.018918894114965182</v>
      </c>
      <c r="M135" s="56">
        <v>0.9362291753648695</v>
      </c>
      <c r="N135" s="51">
        <v>-6.843390151529682E-4</v>
      </c>
      <c r="O135" s="7">
        <v>-0.19467741080169576</v>
      </c>
      <c r="P135" s="52">
        <v>57.72776385277226</v>
      </c>
      <c r="Q135" s="34">
        <v>4599.464066975648</v>
      </c>
      <c r="R135" s="13">
        <v>5041.881401218479</v>
      </c>
      <c r="S135" s="56">
        <v>-0.08774846114704553</v>
      </c>
      <c r="T135" s="50">
        <v>291056.5389032249</v>
      </c>
      <c r="U135" s="50">
        <v>589071.5085433834</v>
      </c>
      <c r="V135" s="50">
        <v>298014.9696401585</v>
      </c>
    </row>
    <row r="136">
      <c r="A136" s="54">
        <v>45520.959958402775</v>
      </c>
      <c r="B136" s="47">
        <v>11.120534678667303</v>
      </c>
      <c r="C136" s="7">
        <v>-0.03728809776888653</v>
      </c>
      <c r="D136" s="48">
        <v>1.0036999421022168</v>
      </c>
      <c r="E136" s="49">
        <v>126.86790332665767</v>
      </c>
      <c r="F136" s="7">
        <v>-0.0413409225153214</v>
      </c>
      <c r="G136" s="48">
        <v>1.1976930138887596</v>
      </c>
      <c r="H136" s="50">
        <v>37179.373714834255</v>
      </c>
      <c r="I136" s="56">
        <v>-0.002377181009664543</v>
      </c>
      <c r="J136" s="56">
        <v>0.06375173720039108</v>
      </c>
      <c r="K136" s="50">
        <v>546010.5964340292</v>
      </c>
      <c r="L136" s="56">
        <v>-0.034910916759221984</v>
      </c>
      <c r="M136" s="56">
        <v>0.9362482627996089</v>
      </c>
      <c r="N136" s="51">
        <v>0.004052824746434869</v>
      </c>
      <c r="O136" s="7">
        <v>-0.1939930717865428</v>
      </c>
      <c r="P136" s="52">
        <v>57.72776385277226</v>
      </c>
      <c r="Q136" s="34">
        <v>4596.828313992659</v>
      </c>
      <c r="R136" s="13">
        <v>5041.881401218479</v>
      </c>
      <c r="S136" s="56">
        <v>-0.08827123286126164</v>
      </c>
      <c r="T136" s="50">
        <v>291056.5389032249</v>
      </c>
      <c r="U136" s="50">
        <v>583189.9701488634</v>
      </c>
      <c r="V136" s="50">
        <v>292133.43124563847</v>
      </c>
    </row>
    <row r="137">
      <c r="A137" s="54">
        <v>45519.95995621527</v>
      </c>
      <c r="B137" s="47">
        <v>11.327483621284623</v>
      </c>
      <c r="C137" s="7">
        <v>-0.030580434350136798</v>
      </c>
      <c r="D137" s="48">
        <v>1.0409880398711033</v>
      </c>
      <c r="E137" s="49">
        <v>129.2544223390779</v>
      </c>
      <c r="F137" s="7">
        <v>-0.024079666218047358</v>
      </c>
      <c r="G137" s="48">
        <v>1.239033936404081</v>
      </c>
      <c r="H137" s="50">
        <v>36758.573769908726</v>
      </c>
      <c r="I137" s="56">
        <v>-0.0018922760021492368</v>
      </c>
      <c r="J137" s="56">
        <v>0.061878650266482295</v>
      </c>
      <c r="K137" s="50">
        <v>557284.3410578518</v>
      </c>
      <c r="L137" s="56">
        <v>-0.02868815834798756</v>
      </c>
      <c r="M137" s="56">
        <v>0.9381213497335177</v>
      </c>
      <c r="N137" s="51">
        <v>-0.006500768132089441</v>
      </c>
      <c r="O137" s="7">
        <v>-0.19804589653297766</v>
      </c>
      <c r="P137" s="52">
        <v>57.72776385277226</v>
      </c>
      <c r="Q137" s="34">
        <v>4595.919459292354</v>
      </c>
      <c r="R137" s="13">
        <v>5041.881401218479</v>
      </c>
      <c r="S137" s="56">
        <v>-0.08845149388447514</v>
      </c>
      <c r="T137" s="50">
        <v>291056.5389032249</v>
      </c>
      <c r="U137" s="50">
        <v>594042.9148277605</v>
      </c>
      <c r="V137" s="50">
        <v>302986.3759245356</v>
      </c>
    </row>
    <row r="138">
      <c r="A138" s="54">
        <v>45518.95996409722</v>
      </c>
      <c r="B138" s="47">
        <v>11.497205031927882</v>
      </c>
      <c r="C138" s="7">
        <v>-0.07544515912414029</v>
      </c>
      <c r="D138" s="48">
        <v>1.0715684742212401</v>
      </c>
      <c r="E138" s="49">
        <v>130.6444876241669</v>
      </c>
      <c r="F138" s="7">
        <v>-0.06688585479619569</v>
      </c>
      <c r="G138" s="48">
        <v>1.2631136026221284</v>
      </c>
      <c r="H138" s="50">
        <v>37360.7091224186</v>
      </c>
      <c r="I138" s="56">
        <v>-0.004674873201247167</v>
      </c>
      <c r="J138" s="56">
        <v>0.06196385898736002</v>
      </c>
      <c r="K138" s="50">
        <v>565582.84108545</v>
      </c>
      <c r="L138" s="56">
        <v>-0.07077028592289311</v>
      </c>
      <c r="M138" s="56">
        <v>0.9380361410126399</v>
      </c>
      <c r="N138" s="51">
        <v>-0.008559304327944606</v>
      </c>
      <c r="O138" s="7">
        <v>-0.19154512840088822</v>
      </c>
      <c r="P138" s="52">
        <v>57.72776385277226</v>
      </c>
      <c r="Q138" s="34">
        <v>4615.147268535307</v>
      </c>
      <c r="R138" s="13">
        <v>5041.881401218479</v>
      </c>
      <c r="S138" s="56">
        <v>-0.08463787596829281</v>
      </c>
      <c r="T138" s="50">
        <v>291056.5389032249</v>
      </c>
      <c r="U138" s="50">
        <v>602943.5502078687</v>
      </c>
      <c r="V138" s="50">
        <v>311887.01130464376</v>
      </c>
    </row>
    <row r="139">
      <c r="A139" s="54">
        <v>45517.95996775463</v>
      </c>
      <c r="B139" s="47">
        <v>11.915925665066862</v>
      </c>
      <c r="C139" s="7">
        <v>0.05629017716756657</v>
      </c>
      <c r="D139" s="48">
        <v>1.1470136333453804</v>
      </c>
      <c r="E139" s="49">
        <v>134.5056584549325</v>
      </c>
      <c r="F139" s="7">
        <v>0.05562036325614983</v>
      </c>
      <c r="G139" s="48">
        <v>1.329999457418324</v>
      </c>
      <c r="H139" s="50">
        <v>38860.07078050676</v>
      </c>
      <c r="I139" s="56">
        <v>0.003500451301114957</v>
      </c>
      <c r="J139" s="56">
        <v>0.06218582845626318</v>
      </c>
      <c r="K139" s="50">
        <v>586042.2863190373</v>
      </c>
      <c r="L139" s="56">
        <v>0.052789725866451614</v>
      </c>
      <c r="M139" s="56">
        <v>0.9378141715437369</v>
      </c>
      <c r="N139" s="51">
        <v>6.69813911416739E-4</v>
      </c>
      <c r="O139" s="7">
        <v>-0.18298582407294361</v>
      </c>
      <c r="P139" s="52">
        <v>57.72776385277226</v>
      </c>
      <c r="Q139" s="34">
        <v>4645.918723998693</v>
      </c>
      <c r="R139" s="13">
        <v>5041.881401218479</v>
      </c>
      <c r="S139" s="56">
        <v>-0.07853470673151758</v>
      </c>
      <c r="T139" s="50">
        <v>291056.5389032249</v>
      </c>
      <c r="U139" s="50">
        <v>624902.357099544</v>
      </c>
      <c r="V139" s="50">
        <v>333845.8181963191</v>
      </c>
    </row>
    <row r="140">
      <c r="A140" s="54">
        <v>45516.959970752316</v>
      </c>
      <c r="B140" s="47">
        <v>11.603515181786866</v>
      </c>
      <c r="C140" s="7">
        <v>-7.178413863373478E-5</v>
      </c>
      <c r="D140" s="48">
        <v>1.0907234561778139</v>
      </c>
      <c r="E140" s="49">
        <v>131.29481925947607</v>
      </c>
      <c r="F140" s="7">
        <v>-0.002351848420958813</v>
      </c>
      <c r="G140" s="48">
        <v>1.2743790941621742</v>
      </c>
      <c r="H140" s="50">
        <v>37784.89331522483</v>
      </c>
      <c r="I140" s="56">
        <v>-4.457308991643091E-6</v>
      </c>
      <c r="J140" s="56">
        <v>0.06209322945819105</v>
      </c>
      <c r="K140" s="50">
        <v>570733.8396436779</v>
      </c>
      <c r="L140" s="56">
        <v>-6.73268296420917E-5</v>
      </c>
      <c r="M140" s="56">
        <v>0.937906770541809</v>
      </c>
      <c r="N140" s="51">
        <v>0.0022800642823250783</v>
      </c>
      <c r="O140" s="7">
        <v>-0.18365563798436035</v>
      </c>
      <c r="P140" s="52">
        <v>57.72776385277226</v>
      </c>
      <c r="Q140" s="34">
        <v>4634.750528551289</v>
      </c>
      <c r="R140" s="13">
        <v>5041.881401218479</v>
      </c>
      <c r="S140" s="56">
        <v>-0.0807497916489663</v>
      </c>
      <c r="T140" s="50">
        <v>291056.5389032249</v>
      </c>
      <c r="U140" s="50">
        <v>608518.7329589027</v>
      </c>
      <c r="V140" s="50">
        <v>317462.1940556778</v>
      </c>
    </row>
    <row r="141">
      <c r="A141" s="54">
        <v>45515.95996432871</v>
      </c>
      <c r="B141" s="47">
        <v>11.603913583756285</v>
      </c>
      <c r="C141" s="7">
        <v>-0.1793511341067724</v>
      </c>
      <c r="D141" s="48">
        <v>1.0907952403164476</v>
      </c>
      <c r="E141" s="49">
        <v>131.43058620973872</v>
      </c>
      <c r="F141" s="7">
        <v>-0.18134055002070637</v>
      </c>
      <c r="G141" s="48">
        <v>1.276730942583133</v>
      </c>
      <c r="H141" s="50">
        <v>37773.2427050065</v>
      </c>
      <c r="I141" s="56">
        <v>-0.011132675057361418</v>
      </c>
      <c r="J141" s="56">
        <v>0.062071952389962846</v>
      </c>
      <c r="K141" s="50">
        <v>570766.3834968351</v>
      </c>
      <c r="L141" s="56">
        <v>-0.16821845904941096</v>
      </c>
      <c r="M141" s="56">
        <v>0.9379280476100371</v>
      </c>
      <c r="N141" s="51">
        <v>0.0019894159139339784</v>
      </c>
      <c r="O141" s="7">
        <v>-0.18593570226668543</v>
      </c>
      <c r="P141" s="52">
        <v>57.72776385277226</v>
      </c>
      <c r="Q141" s="34">
        <v>4630.1218289533135</v>
      </c>
      <c r="R141" s="13">
        <v>5041.881401218479</v>
      </c>
      <c r="S141" s="56">
        <v>-0.08166784172385635</v>
      </c>
      <c r="T141" s="50">
        <v>291056.5389032249</v>
      </c>
      <c r="U141" s="50">
        <v>608539.6262018416</v>
      </c>
      <c r="V141" s="50">
        <v>317483.0872986167</v>
      </c>
    </row>
    <row r="142">
      <c r="A142" s="54">
        <v>45514.95995859954</v>
      </c>
      <c r="B142" s="47">
        <v>12.59931237804887</v>
      </c>
      <c r="C142" s="7">
        <v>0.013330300085100166</v>
      </c>
      <c r="D142" s="48">
        <v>1.27014637442322</v>
      </c>
      <c r="E142" s="49">
        <v>141.89897065826588</v>
      </c>
      <c r="F142" s="7">
        <v>0.012989535631004134</v>
      </c>
      <c r="G142" s="48">
        <v>1.4580714926038394</v>
      </c>
      <c r="H142" s="50">
        <v>39168.062443978946</v>
      </c>
      <c r="I142" s="56">
        <v>7.90206856199344E-4</v>
      </c>
      <c r="J142" s="56">
        <v>0.0592789998090584</v>
      </c>
      <c r="K142" s="50">
        <v>621572.884099348</v>
      </c>
      <c r="L142" s="56">
        <v>0.01254009322890082</v>
      </c>
      <c r="M142" s="56">
        <v>0.9407210001909415</v>
      </c>
      <c r="N142" s="51">
        <v>3.4076445409603195E-4</v>
      </c>
      <c r="O142" s="7">
        <v>-0.1879251181806194</v>
      </c>
      <c r="P142" s="52">
        <v>57.72776385277226</v>
      </c>
      <c r="Q142" s="34">
        <v>4656.418178921001</v>
      </c>
      <c r="R142" s="13">
        <v>5041.881401218479</v>
      </c>
      <c r="S142" s="56">
        <v>-0.07645225891357207</v>
      </c>
      <c r="T142" s="50">
        <v>291056.5389032249</v>
      </c>
      <c r="U142" s="50">
        <v>660740.946543327</v>
      </c>
      <c r="V142" s="50">
        <v>369684.407640102</v>
      </c>
    </row>
    <row r="143">
      <c r="A143" s="54">
        <v>45513.95997111111</v>
      </c>
      <c r="B143" s="47">
        <v>12.525329212576565</v>
      </c>
      <c r="C143" s="7">
        <v>-0.08695634250690043</v>
      </c>
      <c r="D143" s="48">
        <v>1.2568160743381198</v>
      </c>
      <c r="E143" s="49">
        <v>141.1491138128021</v>
      </c>
      <c r="F143" s="7">
        <v>-0.09850692167222608</v>
      </c>
      <c r="G143" s="48">
        <v>1.4450819569728353</v>
      </c>
      <c r="H143" s="50">
        <v>38982.874886686135</v>
      </c>
      <c r="I143" s="56">
        <v>-0.0051606166764773375</v>
      </c>
      <c r="J143" s="56">
        <v>0.05934721410422496</v>
      </c>
      <c r="K143" s="50">
        <v>617878.2006513302</v>
      </c>
      <c r="L143" s="56">
        <v>-0.08179572583042309</v>
      </c>
      <c r="M143" s="56">
        <v>0.9406527858957751</v>
      </c>
      <c r="N143" s="51">
        <v>0.011550579165325647</v>
      </c>
      <c r="O143" s="7">
        <v>-0.18826588263471544</v>
      </c>
      <c r="P143" s="52">
        <v>57.72776385277226</v>
      </c>
      <c r="Q143" s="34">
        <v>4653.667726240018</v>
      </c>
      <c r="R143" s="13">
        <v>5041.881401218479</v>
      </c>
      <c r="S143" s="56">
        <v>-0.0769977800121679</v>
      </c>
      <c r="T143" s="50">
        <v>291056.5389032249</v>
      </c>
      <c r="U143" s="50">
        <v>656861.0755380163</v>
      </c>
      <c r="V143" s="50">
        <v>365804.53663479135</v>
      </c>
    </row>
    <row r="144">
      <c r="A144" s="54">
        <v>45512.959970497686</v>
      </c>
      <c r="B144" s="47">
        <v>13.007936913489862</v>
      </c>
      <c r="C144" s="7">
        <v>0.22310588648424856</v>
      </c>
      <c r="D144" s="48">
        <v>1.3437724168450202</v>
      </c>
      <c r="E144" s="49">
        <v>146.83569812495992</v>
      </c>
      <c r="F144" s="7">
        <v>0.22032350703286463</v>
      </c>
      <c r="G144" s="48">
        <v>1.5435888786450613</v>
      </c>
      <c r="H144" s="50">
        <v>39034.90942712992</v>
      </c>
      <c r="I144" s="56">
        <v>0.012766486945522697</v>
      </c>
      <c r="J144" s="56">
        <v>0.05722164998288389</v>
      </c>
      <c r="K144" s="50">
        <v>643135.3781966282</v>
      </c>
      <c r="L144" s="56">
        <v>0.21033939953872588</v>
      </c>
      <c r="M144" s="56">
        <v>0.9427783500171162</v>
      </c>
      <c r="N144" s="51">
        <v>0.0027823794513839317</v>
      </c>
      <c r="O144" s="7">
        <v>-0.1998164618000411</v>
      </c>
      <c r="P144" s="52">
        <v>57.72776385277226</v>
      </c>
      <c r="Q144" s="34">
        <v>4645.806819014941</v>
      </c>
      <c r="R144" s="13">
        <v>5041.881401218479</v>
      </c>
      <c r="S144" s="56">
        <v>-0.07855690181602026</v>
      </c>
      <c r="T144" s="50">
        <v>291056.5389032249</v>
      </c>
      <c r="U144" s="50">
        <v>682170.2876237581</v>
      </c>
      <c r="V144" s="50">
        <v>391113.74872053316</v>
      </c>
    </row>
    <row r="145">
      <c r="A145" s="54">
        <v>45511.9599790625</v>
      </c>
      <c r="B145" s="47">
        <v>11.769699243502282</v>
      </c>
      <c r="C145" s="7">
        <v>-0.02722102593481468</v>
      </c>
      <c r="D145" s="48">
        <v>1.1206665303607717</v>
      </c>
      <c r="E145" s="49">
        <v>134.11691473975208</v>
      </c>
      <c r="F145" s="7">
        <v>-0.011865142470070644</v>
      </c>
      <c r="G145" s="48">
        <v>1.3232653716121967</v>
      </c>
      <c r="H145" s="50">
        <v>35511.5219999366</v>
      </c>
      <c r="I145" s="56">
        <v>-0.001566116383456721</v>
      </c>
      <c r="J145" s="56">
        <v>0.05753333423975458</v>
      </c>
      <c r="K145" s="50">
        <v>581722.3384947804</v>
      </c>
      <c r="L145" s="56">
        <v>-0.025654909551357963</v>
      </c>
      <c r="M145" s="56">
        <v>0.9424666657602455</v>
      </c>
      <c r="N145" s="51">
        <v>-0.015355883464744036</v>
      </c>
      <c r="O145" s="7">
        <v>-0.20259884125142502</v>
      </c>
      <c r="P145" s="52">
        <v>57.72776385277226</v>
      </c>
      <c r="Q145" s="34">
        <v>4602.207422474875</v>
      </c>
      <c r="R145" s="13">
        <v>5041.881401218479</v>
      </c>
      <c r="S145" s="56">
        <v>-0.08720434769396754</v>
      </c>
      <c r="T145" s="50">
        <v>291056.5389032249</v>
      </c>
      <c r="U145" s="50">
        <v>617233.8604947169</v>
      </c>
      <c r="V145" s="50">
        <v>326177.321591492</v>
      </c>
    </row>
    <row r="146">
      <c r="A146" s="54">
        <v>45510.95995607639</v>
      </c>
      <c r="B146" s="47">
        <v>11.920775937440505</v>
      </c>
      <c r="C146" s="7">
        <v>0.25945573361408547</v>
      </c>
      <c r="D146" s="48">
        <v>1.1478875562955864</v>
      </c>
      <c r="E146" s="49">
        <v>134.8018628823438</v>
      </c>
      <c r="F146" s="7">
        <v>0.2571133280932476</v>
      </c>
      <c r="G146" s="48">
        <v>1.3351305140822674</v>
      </c>
      <c r="H146" s="50">
        <v>36107.826148251035</v>
      </c>
      <c r="I146" s="56">
        <v>0.014985654399022419</v>
      </c>
      <c r="J146" s="56">
        <v>0.057758039070017565</v>
      </c>
      <c r="K146" s="50">
        <v>589048.891940448</v>
      </c>
      <c r="L146" s="56">
        <v>0.24447007921506303</v>
      </c>
      <c r="M146" s="56">
        <v>0.9422419609299824</v>
      </c>
      <c r="N146" s="51">
        <v>0.0023424055208378647</v>
      </c>
      <c r="O146" s="7">
        <v>-0.18724295778668099</v>
      </c>
      <c r="P146" s="52">
        <v>57.72776385277226</v>
      </c>
      <c r="Q146" s="34">
        <v>4637.597023672744</v>
      </c>
      <c r="R146" s="13">
        <v>5041.881401218479</v>
      </c>
      <c r="S146" s="56">
        <v>-0.08018522162144293</v>
      </c>
      <c r="T146" s="50">
        <v>291056.5389032249</v>
      </c>
      <c r="U146" s="50">
        <v>625156.718088699</v>
      </c>
      <c r="V146" s="50">
        <v>334100.1791854741</v>
      </c>
    </row>
    <row r="147">
      <c r="A147" s="54">
        <v>45509.959963506946</v>
      </c>
      <c r="B147" s="47">
        <v>10.48079661588233</v>
      </c>
      <c r="C147" s="7">
        <v>-0.1731260824066605</v>
      </c>
      <c r="D147" s="48">
        <v>0.8884318226815009</v>
      </c>
      <c r="E147" s="49">
        <v>119.95928539477647</v>
      </c>
      <c r="F147" s="7">
        <v>-0.14845127412612902</v>
      </c>
      <c r="G147" s="48">
        <v>1.0780171859890197</v>
      </c>
      <c r="H147" s="50">
        <v>34692.773522712996</v>
      </c>
      <c r="I147" s="56">
        <v>-0.010927551244583163</v>
      </c>
      <c r="J147" s="56">
        <v>0.06311903494076153</v>
      </c>
      <c r="K147" s="50">
        <v>514947.65674167324</v>
      </c>
      <c r="L147" s="56">
        <v>-0.16219853116207733</v>
      </c>
      <c r="M147" s="56">
        <v>0.9368809650592385</v>
      </c>
      <c r="N147" s="51">
        <v>-0.02467480828053148</v>
      </c>
      <c r="O147" s="7">
        <v>-0.18958536330751885</v>
      </c>
      <c r="P147" s="52">
        <v>57.72776385277226</v>
      </c>
      <c r="Q147" s="34">
        <v>4581.891501400357</v>
      </c>
      <c r="R147" s="13">
        <v>5041.881401218479</v>
      </c>
      <c r="S147" s="56">
        <v>-0.09123378025253748</v>
      </c>
      <c r="T147" s="50">
        <v>291056.5389032249</v>
      </c>
      <c r="U147" s="50">
        <v>549640.4302643862</v>
      </c>
      <c r="V147" s="50">
        <v>258583.8913611613</v>
      </c>
    </row>
    <row r="148">
      <c r="A148" s="54">
        <v>45508.959957824074</v>
      </c>
      <c r="B148" s="47">
        <v>11.441646373239296</v>
      </c>
      <c r="C148" s="7">
        <v>-0.03171182246420878</v>
      </c>
      <c r="D148" s="48">
        <v>1.0615579050881614</v>
      </c>
      <c r="E148" s="49">
        <v>128.5290454911728</v>
      </c>
      <c r="F148" s="7">
        <v>-0.03824072651604826</v>
      </c>
      <c r="G148" s="48">
        <v>1.2264684601151488</v>
      </c>
      <c r="H148" s="50">
        <v>37482.2433390482</v>
      </c>
      <c r="I148" s="56">
        <v>-0.0019809516647169836</v>
      </c>
      <c r="J148" s="56">
        <v>0.0624672917159764</v>
      </c>
      <c r="K148" s="50">
        <v>562547.6652644951</v>
      </c>
      <c r="L148" s="56">
        <v>-0.0297308707994918</v>
      </c>
      <c r="M148" s="56">
        <v>0.9375327082840236</v>
      </c>
      <c r="N148" s="51">
        <v>0.006528904051839479</v>
      </c>
      <c r="O148" s="7">
        <v>-0.16491055502698737</v>
      </c>
      <c r="P148" s="52">
        <v>57.72776385277226</v>
      </c>
      <c r="Q148" s="34">
        <v>4668.438221964019</v>
      </c>
      <c r="R148" s="13">
        <v>5041.881401218479</v>
      </c>
      <c r="S148" s="56">
        <v>-0.07406821968565336</v>
      </c>
      <c r="T148" s="50">
        <v>291056.5389032249</v>
      </c>
      <c r="U148" s="50">
        <v>600029.9086035433</v>
      </c>
      <c r="V148" s="50">
        <v>308973.3697003184</v>
      </c>
    </row>
    <row r="149">
      <c r="A149" s="54">
        <v>45507.95996462963</v>
      </c>
      <c r="B149" s="47">
        <v>11.617646987915654</v>
      </c>
      <c r="C149" s="7">
        <v>-0.18811954672735043</v>
      </c>
      <c r="D149" s="48">
        <v>1.0932697275523702</v>
      </c>
      <c r="E149" s="49">
        <v>130.7365971210497</v>
      </c>
      <c r="F149" s="7">
        <v>-0.186198427939543</v>
      </c>
      <c r="G149" s="48">
        <v>1.264709186631197</v>
      </c>
      <c r="H149" s="50">
        <v>38900.24956948743</v>
      </c>
      <c r="I149" s="56">
        <v>-0.012011126966557085</v>
      </c>
      <c r="J149" s="56">
        <v>0.06384837288580818</v>
      </c>
      <c r="K149" s="50">
        <v>570359.592322802</v>
      </c>
      <c r="L149" s="56">
        <v>-0.17610841976079336</v>
      </c>
      <c r="M149" s="56">
        <v>0.9361516271141919</v>
      </c>
      <c r="N149" s="51">
        <v>-0.0019211187878074298</v>
      </c>
      <c r="O149" s="7">
        <v>-0.17143945907882685</v>
      </c>
      <c r="P149" s="52">
        <v>57.72776385277226</v>
      </c>
      <c r="Q149" s="34">
        <v>4660.208811524845</v>
      </c>
      <c r="R149" s="13">
        <v>5041.881401218479</v>
      </c>
      <c r="S149" s="56">
        <v>-0.07570042992312248</v>
      </c>
      <c r="T149" s="50">
        <v>291056.5389032249</v>
      </c>
      <c r="U149" s="50">
        <v>609259.8418922895</v>
      </c>
      <c r="V149" s="50">
        <v>318203.30298906454</v>
      </c>
    </row>
    <row r="150">
      <c r="A150" s="54">
        <v>45506.95996825231</v>
      </c>
      <c r="B150" s="47">
        <v>12.661710472252448</v>
      </c>
      <c r="C150" s="7">
        <v>-0.22218887778260488</v>
      </c>
      <c r="D150" s="48">
        <v>1.2813892742797206</v>
      </c>
      <c r="E150" s="49">
        <v>141.48541599890106</v>
      </c>
      <c r="F150" s="7">
        <v>-0.2164684069405829</v>
      </c>
      <c r="G150" s="48">
        <v>1.45090761457074</v>
      </c>
      <c r="H150" s="50">
        <v>39757.67289193347</v>
      </c>
      <c r="I150" s="56">
        <v>-0.013303518430415195</v>
      </c>
      <c r="J150" s="56">
        <v>0.05987481715188142</v>
      </c>
      <c r="K150" s="50">
        <v>624255.5931708621</v>
      </c>
      <c r="L150" s="56">
        <v>-0.2088853593521897</v>
      </c>
      <c r="M150" s="56">
        <v>0.9401251828481186</v>
      </c>
      <c r="N150" s="51">
        <v>-0.005720470842021985</v>
      </c>
      <c r="O150" s="7">
        <v>-0.16951834029101942</v>
      </c>
      <c r="P150" s="52">
        <v>57.72776385277226</v>
      </c>
      <c r="Q150" s="34">
        <v>4693.156968686815</v>
      </c>
      <c r="R150" s="13">
        <v>5041.881401218479</v>
      </c>
      <c r="S150" s="56">
        <v>-0.06916553658866062</v>
      </c>
      <c r="T150" s="50">
        <v>291056.5389032249</v>
      </c>
      <c r="U150" s="50">
        <v>664013.2660627955</v>
      </c>
      <c r="V150" s="50">
        <v>372956.7271595706</v>
      </c>
    </row>
    <row r="151">
      <c r="A151" s="54">
        <v>45505.9599608912</v>
      </c>
      <c r="B151" s="47">
        <v>13.894858743945907</v>
      </c>
      <c r="C151" s="7">
        <v>-0.09307061759844615</v>
      </c>
      <c r="D151" s="48">
        <v>1.5035781520623255</v>
      </c>
      <c r="E151" s="49">
        <v>153.98165307635284</v>
      </c>
      <c r="F151" s="7">
        <v>-0.11360060599924626</v>
      </c>
      <c r="G151" s="48">
        <v>1.667376021511323</v>
      </c>
      <c r="H151" s="50">
        <v>42005.30609682983</v>
      </c>
      <c r="I151" s="56">
        <v>-0.005365105124984266</v>
      </c>
      <c r="J151" s="56">
        <v>0.05764553049526384</v>
      </c>
      <c r="K151" s="50">
        <v>686677.4857161624</v>
      </c>
      <c r="L151" s="56">
        <v>-0.0877055124734619</v>
      </c>
      <c r="M151" s="56">
        <v>0.9423544695047362</v>
      </c>
      <c r="N151" s="51">
        <v>0.020529988400800114</v>
      </c>
      <c r="O151" s="7">
        <v>-0.16379786944899744</v>
      </c>
      <c r="P151" s="52">
        <v>57.72776385277226</v>
      </c>
      <c r="Q151" s="34">
        <v>4732.270223464025</v>
      </c>
      <c r="R151" s="13">
        <v>5041.881401218479</v>
      </c>
      <c r="S151" s="56">
        <v>-0.06140786605564155</v>
      </c>
      <c r="T151" s="50">
        <v>291056.5389032249</v>
      </c>
      <c r="U151" s="50">
        <v>728682.7918129922</v>
      </c>
      <c r="V151" s="50">
        <v>437626.25290976727</v>
      </c>
    </row>
    <row r="152">
      <c r="A152" s="54">
        <v>45504.95995236111</v>
      </c>
      <c r="B152" s="47">
        <v>14.411400671617281</v>
      </c>
      <c r="C152" s="7">
        <v>-0.09457693074101314</v>
      </c>
      <c r="D152" s="48">
        <v>1.5966487696607716</v>
      </c>
      <c r="E152" s="49">
        <v>160.53956203300916</v>
      </c>
      <c r="F152" s="7">
        <v>-0.09463142724514606</v>
      </c>
      <c r="G152" s="48">
        <v>1.7809766275105692</v>
      </c>
      <c r="H152" s="50">
        <v>42002.8859692047</v>
      </c>
      <c r="I152" s="56">
        <v>-0.005256222935704862</v>
      </c>
      <c r="J152" s="56">
        <v>0.05557616317766072</v>
      </c>
      <c r="K152" s="50">
        <v>713768.7176755768</v>
      </c>
      <c r="L152" s="56">
        <v>-0.08932070780530828</v>
      </c>
      <c r="M152" s="56">
        <v>0.9444238368223392</v>
      </c>
      <c r="N152" s="51">
        <v>5.449650413291707E-5</v>
      </c>
      <c r="O152" s="7">
        <v>-0.18432785784979755</v>
      </c>
      <c r="P152" s="52">
        <v>57.72776385277226</v>
      </c>
      <c r="Q152" s="34">
        <v>4707.696931983559</v>
      </c>
      <c r="R152" s="13">
        <v>5041.881401218479</v>
      </c>
      <c r="S152" s="56">
        <v>-0.0662816997548093</v>
      </c>
      <c r="T152" s="50">
        <v>291056.5389032249</v>
      </c>
      <c r="U152" s="50">
        <v>755771.6036447815</v>
      </c>
      <c r="V152" s="50">
        <v>464715.0647415566</v>
      </c>
    </row>
    <row r="153">
      <c r="A153" s="54">
        <v>45503.9599646875</v>
      </c>
      <c r="B153" s="47">
        <v>14.936302637229906</v>
      </c>
      <c r="C153" s="7">
        <v>-0.11359598422783002</v>
      </c>
      <c r="D153" s="48">
        <v>1.6912257004017848</v>
      </c>
      <c r="E153" s="49">
        <v>166.00242271806775</v>
      </c>
      <c r="F153" s="7">
        <v>-0.0663741510199598</v>
      </c>
      <c r="G153" s="48">
        <v>1.8756080547557152</v>
      </c>
      <c r="H153" s="50">
        <v>42955.4221717855</v>
      </c>
      <c r="I153" s="56">
        <v>-0.006229504276350585</v>
      </c>
      <c r="J153" s="56">
        <v>0.05483912410016702</v>
      </c>
      <c r="K153" s="50">
        <v>740343.4155945653</v>
      </c>
      <c r="L153" s="56">
        <v>-0.10736647995147944</v>
      </c>
      <c r="M153" s="56">
        <v>0.945160875899833</v>
      </c>
      <c r="N153" s="51">
        <v>-0.04722183320787021</v>
      </c>
      <c r="O153" s="7">
        <v>-0.18438235435393047</v>
      </c>
      <c r="P153" s="52">
        <v>57.72776385277226</v>
      </c>
      <c r="Q153" s="34">
        <v>4718.598830913908</v>
      </c>
      <c r="R153" s="13">
        <v>5041.881401218479</v>
      </c>
      <c r="S153" s="56">
        <v>-0.06411943173166326</v>
      </c>
      <c r="T153" s="50">
        <v>291056.5389032249</v>
      </c>
      <c r="U153" s="50">
        <v>783298.8377663508</v>
      </c>
      <c r="V153" s="50">
        <v>492242.2988631259</v>
      </c>
    </row>
    <row r="154">
      <c r="A154" s="54">
        <v>45502.95997679398</v>
      </c>
      <c r="B154" s="47">
        <v>15.566760349694361</v>
      </c>
      <c r="C154" s="7">
        <v>0.02768693757987606</v>
      </c>
      <c r="D154" s="48">
        <v>1.8048216846296148</v>
      </c>
      <c r="E154" s="49">
        <v>169.83405403407622</v>
      </c>
      <c r="F154" s="7">
        <v>-0.0022444821253748692</v>
      </c>
      <c r="G154" s="48">
        <v>1.941982205775675</v>
      </c>
      <c r="H154" s="50">
        <v>43531.432882593006</v>
      </c>
      <c r="I154" s="56">
        <v>0.0014763701887716039</v>
      </c>
      <c r="J154" s="56">
        <v>0.05332370850016605</v>
      </c>
      <c r="K154" s="50">
        <v>772830.2588864153</v>
      </c>
      <c r="L154" s="56">
        <v>0.026210567391104455</v>
      </c>
      <c r="M154" s="56">
        <v>0.9466762914998339</v>
      </c>
      <c r="N154" s="51">
        <v>0.029931419705250928</v>
      </c>
      <c r="O154" s="7">
        <v>-0.13716052114606025</v>
      </c>
      <c r="P154" s="52">
        <v>57.72776385277226</v>
      </c>
      <c r="Q154" s="34">
        <v>4806.819788952397</v>
      </c>
      <c r="R154" s="13">
        <v>5041.881401218479</v>
      </c>
      <c r="S154" s="56">
        <v>-0.04662180514783122</v>
      </c>
      <c r="T154" s="50">
        <v>291056.5389032249</v>
      </c>
      <c r="U154" s="50">
        <v>816361.6917690083</v>
      </c>
      <c r="V154" s="50">
        <v>525305.1528657833</v>
      </c>
    </row>
    <row r="155">
      <c r="A155" s="54">
        <v>45501.95995988426</v>
      </c>
      <c r="B155" s="47">
        <v>15.41309784612605</v>
      </c>
      <c r="C155" s="7">
        <v>-0.01621037947768711</v>
      </c>
      <c r="D155" s="48">
        <v>1.7771347470497387</v>
      </c>
      <c r="E155" s="49">
        <v>169.96362296818162</v>
      </c>
      <c r="F155" s="7">
        <v>-0.020935216967064907</v>
      </c>
      <c r="G155" s="48">
        <v>1.94422668790105</v>
      </c>
      <c r="H155" s="50">
        <v>43808.335226405114</v>
      </c>
      <c r="I155" s="56">
        <v>-8.785684803750702E-4</v>
      </c>
      <c r="J155" s="56">
        <v>0.05419789719200478</v>
      </c>
      <c r="K155" s="50">
        <v>764494.8923177749</v>
      </c>
      <c r="L155" s="56">
        <v>-0.01533181099731204</v>
      </c>
      <c r="M155" s="56">
        <v>0.9458021028079953</v>
      </c>
      <c r="N155" s="51">
        <v>0.004724837489377798</v>
      </c>
      <c r="O155" s="7">
        <v>-0.16709194085131118</v>
      </c>
      <c r="P155" s="52">
        <v>57.72776385277226</v>
      </c>
      <c r="Q155" s="34">
        <v>4755.7425137701375</v>
      </c>
      <c r="R155" s="13">
        <v>5041.881401218479</v>
      </c>
      <c r="S155" s="56">
        <v>-0.05675240345383575</v>
      </c>
      <c r="T155" s="50">
        <v>291056.5389032249</v>
      </c>
      <c r="U155" s="50">
        <v>808303.22754418</v>
      </c>
      <c r="V155" s="50">
        <v>517246.6886409551</v>
      </c>
    </row>
    <row r="156">
      <c r="A156" s="54">
        <v>45500.959961875</v>
      </c>
      <c r="B156" s="47">
        <v>15.503065452227213</v>
      </c>
      <c r="C156" s="7">
        <v>0.07657643566790728</v>
      </c>
      <c r="D156" s="48">
        <v>1.7933451265274258</v>
      </c>
      <c r="E156" s="49">
        <v>171.1721662294629</v>
      </c>
      <c r="F156" s="7">
        <v>0.05883977937255702</v>
      </c>
      <c r="G156" s="48">
        <v>1.9651619048681148</v>
      </c>
      <c r="H156" s="50">
        <v>44276.75614557894</v>
      </c>
      <c r="I156" s="56">
        <v>0.0041703162015865065</v>
      </c>
      <c r="J156" s="56">
        <v>0.054459523549413004</v>
      </c>
      <c r="K156" s="50">
        <v>768744.6083436846</v>
      </c>
      <c r="L156" s="56">
        <v>0.07240611946632078</v>
      </c>
      <c r="M156" s="56">
        <v>0.945540476450587</v>
      </c>
      <c r="N156" s="51">
        <v>0.01773665629535026</v>
      </c>
      <c r="O156" s="7">
        <v>-0.17181677834068898</v>
      </c>
      <c r="P156" s="52">
        <v>57.72776385277226</v>
      </c>
      <c r="Q156" s="34">
        <v>4749.728781251602</v>
      </c>
      <c r="R156" s="13">
        <v>5041.881401218479</v>
      </c>
      <c r="S156" s="56">
        <v>-0.05794515910197173</v>
      </c>
      <c r="T156" s="50">
        <v>291056.5389032249</v>
      </c>
      <c r="U156" s="50">
        <v>813021.3644892635</v>
      </c>
      <c r="V156" s="50">
        <v>521964.8255860386</v>
      </c>
    </row>
    <row r="157">
      <c r="A157" s="54">
        <v>45499.959973391204</v>
      </c>
      <c r="B157" s="47">
        <v>15.078066234270327</v>
      </c>
      <c r="C157" s="7">
        <v>0.1750664112462581</v>
      </c>
      <c r="D157" s="48">
        <v>1.7167686908595186</v>
      </c>
      <c r="E157" s="49">
        <v>167.77547734069472</v>
      </c>
      <c r="F157" s="7">
        <v>0.16294046529431494</v>
      </c>
      <c r="G157" s="48">
        <v>1.9063221254955578</v>
      </c>
      <c r="H157" s="50">
        <v>43740.74489779893</v>
      </c>
      <c r="I157" s="56">
        <v>0.00968409362600204</v>
      </c>
      <c r="J157" s="56">
        <v>0.05531668557699431</v>
      </c>
      <c r="K157" s="50">
        <v>746992.547264418</v>
      </c>
      <c r="L157" s="56">
        <v>0.16538231762025607</v>
      </c>
      <c r="M157" s="56">
        <v>0.9446833144230057</v>
      </c>
      <c r="N157" s="51">
        <v>0.012125945951943162</v>
      </c>
      <c r="O157" s="7">
        <v>-0.18955343463603924</v>
      </c>
      <c r="P157" s="52">
        <v>57.72776385277226</v>
      </c>
      <c r="Q157" s="34">
        <v>4713.044508623317</v>
      </c>
      <c r="R157" s="13">
        <v>5041.881401218479</v>
      </c>
      <c r="S157" s="56">
        <v>-0.06522106857088947</v>
      </c>
      <c r="T157" s="50">
        <v>291056.5389032249</v>
      </c>
      <c r="U157" s="50">
        <v>790733.292162217</v>
      </c>
      <c r="V157" s="50">
        <v>499676.75325899204</v>
      </c>
    </row>
    <row r="158">
      <c r="A158" s="54">
        <v>45498.95996695602</v>
      </c>
      <c r="B158" s="47">
        <v>14.106447651853594</v>
      </c>
      <c r="C158" s="7">
        <v>-0.07934023600475681</v>
      </c>
      <c r="D158" s="48">
        <v>1.5417022796132605</v>
      </c>
      <c r="E158" s="49">
        <v>158.36928863812366</v>
      </c>
      <c r="F158" s="7">
        <v>-0.08406899865468631</v>
      </c>
      <c r="G158" s="48">
        <v>1.7433816602012429</v>
      </c>
      <c r="H158" s="50">
        <v>42374.50680677435</v>
      </c>
      <c r="I158" s="56">
        <v>-0.004544604617950063</v>
      </c>
      <c r="J158" s="56">
        <v>0.05727994831875208</v>
      </c>
      <c r="K158" s="50">
        <v>697404.5616198981</v>
      </c>
      <c r="L158" s="56">
        <v>-0.07479563138680675</v>
      </c>
      <c r="M158" s="56">
        <v>0.942720051681248</v>
      </c>
      <c r="N158" s="51">
        <v>0.004728762649929497</v>
      </c>
      <c r="O158" s="7">
        <v>-0.2016793805879824</v>
      </c>
      <c r="P158" s="52">
        <v>57.72776385277226</v>
      </c>
      <c r="Q158" s="34">
        <v>4671.228082087805</v>
      </c>
      <c r="R158" s="13">
        <v>5041.881401218479</v>
      </c>
      <c r="S158" s="56">
        <v>-0.07351488256766572</v>
      </c>
      <c r="T158" s="50">
        <v>291056.5389032249</v>
      </c>
      <c r="U158" s="50">
        <v>739779.0684266724</v>
      </c>
      <c r="V158" s="50">
        <v>448722.52952344745</v>
      </c>
    </row>
    <row r="159">
      <c r="A159" s="54">
        <v>45497.95995630787</v>
      </c>
      <c r="B159" s="47">
        <v>14.546785961679996</v>
      </c>
      <c r="C159" s="7">
        <v>0.07095922490383488</v>
      </c>
      <c r="D159" s="48">
        <v>1.6210425156180173</v>
      </c>
      <c r="E159" s="49">
        <v>163.22240393980042</v>
      </c>
      <c r="F159" s="7">
        <v>0.06482598471989709</v>
      </c>
      <c r="G159" s="48">
        <v>1.8274506588559292</v>
      </c>
      <c r="H159" s="50">
        <v>42158.52807594199</v>
      </c>
      <c r="I159" s="56">
        <v>0.003921415636373272</v>
      </c>
      <c r="J159" s="56">
        <v>0.055262943495896964</v>
      </c>
      <c r="K159" s="50">
        <v>720713.03483804</v>
      </c>
      <c r="L159" s="56">
        <v>0.06703780926746161</v>
      </c>
      <c r="M159" s="56">
        <v>0.9447370565041031</v>
      </c>
      <c r="N159" s="51">
        <v>0.006133240183937794</v>
      </c>
      <c r="O159" s="7">
        <v>-0.2064081432379119</v>
      </c>
      <c r="P159" s="52">
        <v>57.72776385277226</v>
      </c>
      <c r="Q159" s="34">
        <v>4673.816489036295</v>
      </c>
      <c r="R159" s="13">
        <v>5041.881401218479</v>
      </c>
      <c r="S159" s="56">
        <v>-0.07300150140247914</v>
      </c>
      <c r="T159" s="50">
        <v>291056.5389032249</v>
      </c>
      <c r="U159" s="50">
        <v>762871.562913982</v>
      </c>
      <c r="V159" s="50">
        <v>471815.02401075704</v>
      </c>
    </row>
    <row r="160">
      <c r="A160" s="54">
        <v>45496.959958472224</v>
      </c>
      <c r="B160" s="47">
        <v>14.152962263463712</v>
      </c>
      <c r="C160" s="7">
        <v>-0.12573785513878688</v>
      </c>
      <c r="D160" s="48">
        <v>1.5500832907141824</v>
      </c>
      <c r="E160" s="49">
        <v>159.4801448023668</v>
      </c>
      <c r="F160" s="7">
        <v>-0.1119215135159135</v>
      </c>
      <c r="G160" s="48">
        <v>1.762624674136032</v>
      </c>
      <c r="H160" s="50">
        <v>42354.04451216739</v>
      </c>
      <c r="I160" s="56">
        <v>-0.007175120685434154</v>
      </c>
      <c r="J160" s="56">
        <v>0.05706412502037992</v>
      </c>
      <c r="K160" s="50">
        <v>699864.3719980489</v>
      </c>
      <c r="L160" s="56">
        <v>-0.11856273445335273</v>
      </c>
      <c r="M160" s="56">
        <v>0.9429358749796202</v>
      </c>
      <c r="N160" s="51">
        <v>-0.013816341622873374</v>
      </c>
      <c r="O160" s="7">
        <v>-0.2125413834218497</v>
      </c>
      <c r="P160" s="52">
        <v>57.72776385277226</v>
      </c>
      <c r="Q160" s="34">
        <v>4653.986346889755</v>
      </c>
      <c r="R160" s="13">
        <v>5041.881401218479</v>
      </c>
      <c r="S160" s="56">
        <v>-0.07693458521951378</v>
      </c>
      <c r="T160" s="50">
        <v>291056.5389032249</v>
      </c>
      <c r="U160" s="50">
        <v>742218.4165102162</v>
      </c>
      <c r="V160" s="50">
        <v>451161.8776069913</v>
      </c>
    </row>
    <row r="161">
      <c r="A161" s="54">
        <v>45495.95995701389</v>
      </c>
      <c r="B161" s="47">
        <v>14.850807359483978</v>
      </c>
      <c r="C161" s="7">
        <v>-0.053976537846617045</v>
      </c>
      <c r="D161" s="48">
        <v>1.6758211458529693</v>
      </c>
      <c r="E161" s="49">
        <v>165.9411235046583</v>
      </c>
      <c r="F161" s="7">
        <v>-0.04466774288806352</v>
      </c>
      <c r="G161" s="48">
        <v>1.8745461876519456</v>
      </c>
      <c r="H161" s="50">
        <v>43594.45744772758</v>
      </c>
      <c r="I161" s="56">
        <v>-0.0030213557171676004</v>
      </c>
      <c r="J161" s="56">
        <v>0.05597535221234947</v>
      </c>
      <c r="K161" s="50">
        <v>735220.7839882991</v>
      </c>
      <c r="L161" s="56">
        <v>-0.050955182129449446</v>
      </c>
      <c r="M161" s="56">
        <v>0.9440246477876506</v>
      </c>
      <c r="N161" s="51">
        <v>-0.009308794958553523</v>
      </c>
      <c r="O161" s="7">
        <v>-0.19872504179897632</v>
      </c>
      <c r="P161" s="52">
        <v>57.72776385277226</v>
      </c>
      <c r="Q161" s="34">
        <v>4693.322697758906</v>
      </c>
      <c r="R161" s="13">
        <v>5041.881401218479</v>
      </c>
      <c r="S161" s="56">
        <v>-0.06913266610661191</v>
      </c>
      <c r="T161" s="50">
        <v>291056.5389032249</v>
      </c>
      <c r="U161" s="50">
        <v>778815.2414360266</v>
      </c>
      <c r="V161" s="50">
        <v>487758.7025328017</v>
      </c>
    </row>
    <row r="162">
      <c r="A162" s="54">
        <v>45494.959989641204</v>
      </c>
      <c r="B162" s="47">
        <v>15.150377144532703</v>
      </c>
      <c r="C162" s="7">
        <v>0.1330288254726515</v>
      </c>
      <c r="D162" s="48">
        <v>1.7297976836995863</v>
      </c>
      <c r="E162" s="49">
        <v>168.51969241793677</v>
      </c>
      <c r="F162" s="7">
        <v>0.142663861473439</v>
      </c>
      <c r="G162" s="48">
        <v>1.919213930540009</v>
      </c>
      <c r="H162" s="50">
        <v>43690.467004150014</v>
      </c>
      <c r="I162" s="56">
        <v>0.0073151733464202374</v>
      </c>
      <c r="J162" s="56">
        <v>0.05498938534884768</v>
      </c>
      <c r="K162" s="50">
        <v>750834.9987194919</v>
      </c>
      <c r="L162" s="56">
        <v>0.12571365212623126</v>
      </c>
      <c r="M162" s="56">
        <v>0.9450106146511523</v>
      </c>
      <c r="N162" s="51">
        <v>-0.009635036000787522</v>
      </c>
      <c r="O162" s="7">
        <v>-0.1894162468404228</v>
      </c>
      <c r="P162" s="52">
        <v>57.72776385277226</v>
      </c>
      <c r="Q162" s="34">
        <v>4714.733657080155</v>
      </c>
      <c r="R162" s="13">
        <v>5041.881401218479</v>
      </c>
      <c r="S162" s="56">
        <v>-0.06488604512975289</v>
      </c>
      <c r="T162" s="50">
        <v>291056.5389032249</v>
      </c>
      <c r="U162" s="50">
        <v>794525.4657236419</v>
      </c>
      <c r="V162" s="50">
        <v>503468.926820417</v>
      </c>
    </row>
    <row r="163">
      <c r="A163" s="54">
        <v>45493.95995875</v>
      </c>
      <c r="B163" s="47">
        <v>14.412067163159488</v>
      </c>
      <c r="C163" s="7">
        <v>0.046537403246631914</v>
      </c>
      <c r="D163" s="48">
        <v>1.5967688582269348</v>
      </c>
      <c r="E163" s="49">
        <v>160.28402671247346</v>
      </c>
      <c r="F163" s="7">
        <v>0.09377430608600745</v>
      </c>
      <c r="G163" s="48">
        <v>1.77655006906657</v>
      </c>
      <c r="H163" s="50">
        <v>43195.267642014725</v>
      </c>
      <c r="I163" s="56">
        <v>0.002659669424793291</v>
      </c>
      <c r="J163" s="56">
        <v>0.05715122115211234</v>
      </c>
      <c r="K163" s="50">
        <v>712611.288565196</v>
      </c>
      <c r="L163" s="56">
        <v>0.04387773382183862</v>
      </c>
      <c r="M163" s="56">
        <v>0.9428487788478876</v>
      </c>
      <c r="N163" s="51">
        <v>-0.04723690283937554</v>
      </c>
      <c r="O163" s="7">
        <v>-0.17978121083963527</v>
      </c>
      <c r="P163" s="52">
        <v>57.72776385277226</v>
      </c>
      <c r="Q163" s="34">
        <v>4715.420317977282</v>
      </c>
      <c r="R163" s="13">
        <v>5041.881401218479</v>
      </c>
      <c r="S163" s="56">
        <v>-0.0647498537276781</v>
      </c>
      <c r="T163" s="50">
        <v>291056.5389032249</v>
      </c>
      <c r="U163" s="50">
        <v>755806.5562072108</v>
      </c>
      <c r="V163" s="50">
        <v>464750.01730398583</v>
      </c>
    </row>
    <row r="164">
      <c r="A164" s="54">
        <v>45492.95995607639</v>
      </c>
      <c r="B164" s="47">
        <v>14.15378457514068</v>
      </c>
      <c r="C164" s="7">
        <v>0.16520296001547452</v>
      </c>
      <c r="D164" s="48">
        <v>1.550231454980303</v>
      </c>
      <c r="E164" s="49">
        <v>154.87064571528285</v>
      </c>
      <c r="F164" s="7">
        <v>0.16478138002328668</v>
      </c>
      <c r="G164" s="48">
        <v>1.6827757629805626</v>
      </c>
      <c r="H164" s="50">
        <v>42857.64594182593</v>
      </c>
      <c r="I164" s="56">
        <v>0.009538699744992187</v>
      </c>
      <c r="J164" s="56">
        <v>0.05773927866727509</v>
      </c>
      <c r="K164" s="50">
        <v>699403.8947468764</v>
      </c>
      <c r="L164" s="56">
        <v>0.15566426027048233</v>
      </c>
      <c r="M164" s="56">
        <v>0.9422607213327249</v>
      </c>
      <c r="N164" s="51">
        <v>4.2157999218783715E-4</v>
      </c>
      <c r="O164" s="7">
        <v>-0.13254430800025974</v>
      </c>
      <c r="P164" s="52">
        <v>57.72776385277226</v>
      </c>
      <c r="Q164" s="34">
        <v>4792.783921449453</v>
      </c>
      <c r="R164" s="13">
        <v>5041.881401218479</v>
      </c>
      <c r="S164" s="56">
        <v>-0.04940566029752826</v>
      </c>
      <c r="T164" s="50">
        <v>291056.5389032249</v>
      </c>
      <c r="U164" s="50">
        <v>742261.5406887024</v>
      </c>
      <c r="V164" s="50">
        <v>451205.00178547745</v>
      </c>
    </row>
    <row r="165">
      <c r="A165" s="54">
        <v>45491.959954398146</v>
      </c>
      <c r="B165" s="47">
        <v>13.236908147054796</v>
      </c>
      <c r="C165" s="7">
        <v>0.027777709756153346</v>
      </c>
      <c r="D165" s="48">
        <v>1.3850284949648284</v>
      </c>
      <c r="E165" s="49">
        <v>145.35818512196462</v>
      </c>
      <c r="F165" s="7">
        <v>0.03787040101435801</v>
      </c>
      <c r="G165" s="48">
        <v>1.517994382957276</v>
      </c>
      <c r="H165" s="50">
        <v>41051.87975767785</v>
      </c>
      <c r="I165" s="56">
        <v>0.001642701112153895</v>
      </c>
      <c r="J165" s="56">
        <v>0.05913738485189558</v>
      </c>
      <c r="K165" s="50">
        <v>653126.2591723526</v>
      </c>
      <c r="L165" s="56">
        <v>0.02613500864399945</v>
      </c>
      <c r="M165" s="56">
        <v>0.9408626151481043</v>
      </c>
      <c r="N165" s="51">
        <v>-0.010092691258204667</v>
      </c>
      <c r="O165" s="7">
        <v>-0.13296588799244757</v>
      </c>
      <c r="P165" s="52">
        <v>57.72776385277226</v>
      </c>
      <c r="Q165" s="34">
        <v>4775.638457150325</v>
      </c>
      <c r="R165" s="13">
        <v>5041.881401218479</v>
      </c>
      <c r="S165" s="56">
        <v>-0.0528062687083062</v>
      </c>
      <c r="T165" s="50">
        <v>291056.5389032249</v>
      </c>
      <c r="U165" s="50">
        <v>694178.1389300305</v>
      </c>
      <c r="V165" s="50">
        <v>403121.6000268056</v>
      </c>
    </row>
    <row r="166">
      <c r="A166" s="54">
        <v>45490.95997034722</v>
      </c>
      <c r="B166" s="47">
        <v>13.082741857908147</v>
      </c>
      <c r="C166" s="7">
        <v>-0.038429504454837726</v>
      </c>
      <c r="D166" s="48">
        <v>1.357250785208675</v>
      </c>
      <c r="E166" s="49">
        <v>143.172011555198</v>
      </c>
      <c r="F166" s="7">
        <v>-0.07536791818464517</v>
      </c>
      <c r="G166" s="48">
        <v>1.480123981942918</v>
      </c>
      <c r="H166" s="50">
        <v>41265.722424374006</v>
      </c>
      <c r="I166" s="56">
        <v>-0.0023113785953786177</v>
      </c>
      <c r="J166" s="56">
        <v>0.060145938079814304</v>
      </c>
      <c r="K166" s="50">
        <v>644827.5324453722</v>
      </c>
      <c r="L166" s="56">
        <v>-0.03611812585945911</v>
      </c>
      <c r="M166" s="56">
        <v>0.9398540619201857</v>
      </c>
      <c r="N166" s="51">
        <v>0.03693841372980744</v>
      </c>
      <c r="O166" s="7">
        <v>-0.1228731967342429</v>
      </c>
      <c r="P166" s="52">
        <v>57.72776385277226</v>
      </c>
      <c r="Q166" s="34">
        <v>4792.090628727615</v>
      </c>
      <c r="R166" s="13">
        <v>5041.881401218479</v>
      </c>
      <c r="S166" s="56">
        <v>-0.04954316704682844</v>
      </c>
      <c r="T166" s="50">
        <v>291056.5389032249</v>
      </c>
      <c r="U166" s="50">
        <v>686093.2548697462</v>
      </c>
      <c r="V166" s="50">
        <v>395036.71596652124</v>
      </c>
    </row>
    <row r="167">
      <c r="A167" s="54">
        <v>45489.9599678588</v>
      </c>
      <c r="B167" s="47">
        <v>13.296025607632496</v>
      </c>
      <c r="C167" s="7">
        <v>0.07672253397316009</v>
      </c>
      <c r="D167" s="48">
        <v>1.3956802896635128</v>
      </c>
      <c r="E167" s="49">
        <v>147.52283293823623</v>
      </c>
      <c r="F167" s="7">
        <v>0.07660679612829746</v>
      </c>
      <c r="G167" s="48">
        <v>1.555491900127563</v>
      </c>
      <c r="H167" s="50">
        <v>41503.16435490794</v>
      </c>
      <c r="I167" s="56">
        <v>0.004566652108958832</v>
      </c>
      <c r="J167" s="56">
        <v>0.05952165384105258</v>
      </c>
      <c r="K167" s="50">
        <v>655775.2490732294</v>
      </c>
      <c r="L167" s="56">
        <v>0.07215588186420126</v>
      </c>
      <c r="M167" s="56">
        <v>0.9404783461589474</v>
      </c>
      <c r="N167" s="51">
        <v>1.1573784486262895E-4</v>
      </c>
      <c r="O167" s="7">
        <v>-0.15981161046405035</v>
      </c>
      <c r="P167" s="52">
        <v>57.72776385277226</v>
      </c>
      <c r="Q167" s="34">
        <v>4726.579604935248</v>
      </c>
      <c r="R167" s="13">
        <v>5041.881401218479</v>
      </c>
      <c r="S167" s="56">
        <v>-0.06253653570808537</v>
      </c>
      <c r="T167" s="50">
        <v>291056.5389032249</v>
      </c>
      <c r="U167" s="50">
        <v>697278.4134281373</v>
      </c>
      <c r="V167" s="50">
        <v>406221.8745249124</v>
      </c>
    </row>
    <row r="168">
      <c r="A168" s="54">
        <v>45488.9599790162</v>
      </c>
      <c r="B168" s="47">
        <v>12.870215544081457</v>
      </c>
      <c r="C168" s="7">
        <v>0.1272819422596867</v>
      </c>
      <c r="D168" s="48">
        <v>1.3189577556903527</v>
      </c>
      <c r="E168" s="49">
        <v>143.10049390182442</v>
      </c>
      <c r="F168" s="7">
        <v>0.12356617465605524</v>
      </c>
      <c r="G168" s="48">
        <v>1.4788851039992656</v>
      </c>
      <c r="H168" s="50">
        <v>40716.520165679096</v>
      </c>
      <c r="I168" s="56">
        <v>0.007678338426669923</v>
      </c>
      <c r="J168" s="56">
        <v>0.06032543415313549</v>
      </c>
      <c r="K168" s="50">
        <v>634231.2980683453</v>
      </c>
      <c r="L168" s="56">
        <v>0.11960360383301678</v>
      </c>
      <c r="M168" s="56">
        <v>0.9396745658468646</v>
      </c>
      <c r="N168" s="51">
        <v>0.003715767603631459</v>
      </c>
      <c r="O168" s="7">
        <v>-0.15992734830891298</v>
      </c>
      <c r="P168" s="52">
        <v>57.72776385277226</v>
      </c>
      <c r="Q168" s="34">
        <v>4716.600200535152</v>
      </c>
      <c r="R168" s="13">
        <v>5041.881401218479</v>
      </c>
      <c r="S168" s="56">
        <v>-0.06451583740242604</v>
      </c>
      <c r="T168" s="50">
        <v>291056.5389032249</v>
      </c>
      <c r="U168" s="50">
        <v>674947.8182340243</v>
      </c>
      <c r="V168" s="50">
        <v>383891.2793307994</v>
      </c>
    </row>
    <row r="169">
      <c r="A169" s="54">
        <v>45487.959967048606</v>
      </c>
      <c r="B169" s="47">
        <v>12.163800764540197</v>
      </c>
      <c r="C169" s="7">
        <v>0.1407095097022153</v>
      </c>
      <c r="D169" s="48">
        <v>1.191675813430666</v>
      </c>
      <c r="E169" s="49">
        <v>135.96729495108926</v>
      </c>
      <c r="F169" s="7">
        <v>0.1291301452983924</v>
      </c>
      <c r="G169" s="48">
        <v>1.3553189293432104</v>
      </c>
      <c r="H169" s="50">
        <v>39312.19233730775</v>
      </c>
      <c r="I169" s="56">
        <v>0.008671556101346808</v>
      </c>
      <c r="J169" s="56">
        <v>0.06162736349304673</v>
      </c>
      <c r="K169" s="50">
        <v>598589.3843177321</v>
      </c>
      <c r="L169" s="56">
        <v>0.1320379536008685</v>
      </c>
      <c r="M169" s="56">
        <v>0.9383726365069534</v>
      </c>
      <c r="N169" s="51">
        <v>0.0115793644038229</v>
      </c>
      <c r="O169" s="7">
        <v>-0.16364311591254443</v>
      </c>
      <c r="P169" s="52">
        <v>57.72776385277226</v>
      </c>
      <c r="Q169" s="34">
        <v>4691.580992947668</v>
      </c>
      <c r="R169" s="13">
        <v>5041.881401218479</v>
      </c>
      <c r="S169" s="56">
        <v>-0.06947811350464403</v>
      </c>
      <c r="T169" s="50">
        <v>291056.5389032249</v>
      </c>
      <c r="U169" s="50">
        <v>637901.5766550398</v>
      </c>
      <c r="V169" s="50">
        <v>346845.0377518149</v>
      </c>
    </row>
    <row r="170">
      <c r="A170" s="54">
        <v>45486.95996511574</v>
      </c>
      <c r="B170" s="47">
        <v>11.382862985692901</v>
      </c>
      <c r="C170" s="7">
        <v>0.030095082622900282</v>
      </c>
      <c r="D170" s="48">
        <v>1.0509663037284507</v>
      </c>
      <c r="E170" s="49">
        <v>128.51290041702947</v>
      </c>
      <c r="F170" s="7">
        <v>0.032469801760706574</v>
      </c>
      <c r="G170" s="48">
        <v>1.226188784044818</v>
      </c>
      <c r="H170" s="50">
        <v>37664.782907528985</v>
      </c>
      <c r="I170" s="56">
        <v>0.001898869517035632</v>
      </c>
      <c r="J170" s="56">
        <v>0.06309567382914322</v>
      </c>
      <c r="K170" s="50">
        <v>559282.3708628142</v>
      </c>
      <c r="L170" s="56">
        <v>0.028196213105864648</v>
      </c>
      <c r="M170" s="56">
        <v>0.9369043261708567</v>
      </c>
      <c r="N170" s="51">
        <v>-0.0023747191378062915</v>
      </c>
      <c r="O170" s="7">
        <v>-0.17522248031636734</v>
      </c>
      <c r="P170" s="52">
        <v>57.72776385277226</v>
      </c>
      <c r="Q170" s="34">
        <v>4645.036816017894</v>
      </c>
      <c r="R170" s="13">
        <v>5041.881401218479</v>
      </c>
      <c r="S170" s="56">
        <v>-0.07870962317849825</v>
      </c>
      <c r="T170" s="50">
        <v>291056.5389032249</v>
      </c>
      <c r="U170" s="50">
        <v>596947.1537703433</v>
      </c>
      <c r="V170" s="50">
        <v>305890.61486711836</v>
      </c>
    </row>
    <row r="171">
      <c r="A171" s="54">
        <v>45485.959975624995</v>
      </c>
      <c r="B171" s="47">
        <v>11.215835277135804</v>
      </c>
      <c r="C171" s="7">
        <v>0.018133669623385806</v>
      </c>
      <c r="D171" s="48">
        <v>1.0208712211055504</v>
      </c>
      <c r="E171" s="49">
        <v>126.63849136864108</v>
      </c>
      <c r="F171" s="7">
        <v>0.01910044675016609</v>
      </c>
      <c r="G171" s="48">
        <v>1.1937189822841114</v>
      </c>
      <c r="H171" s="50">
        <v>37026.98381019857</v>
      </c>
      <c r="I171" s="56">
        <v>0.0011415318555748077</v>
      </c>
      <c r="J171" s="56">
        <v>0.06295095693717993</v>
      </c>
      <c r="K171" s="50">
        <v>551160.7993739167</v>
      </c>
      <c r="L171" s="56">
        <v>0.016992137767810996</v>
      </c>
      <c r="M171" s="56">
        <v>0.93704904306282</v>
      </c>
      <c r="N171" s="51">
        <v>-9.667771267802827E-4</v>
      </c>
      <c r="O171" s="7">
        <v>-0.17284776117856104</v>
      </c>
      <c r="P171" s="52">
        <v>57.72776385277226</v>
      </c>
      <c r="Q171" s="34">
        <v>4644.62089548996</v>
      </c>
      <c r="R171" s="13">
        <v>5041.881401218479</v>
      </c>
      <c r="S171" s="56">
        <v>-0.07879211629859292</v>
      </c>
      <c r="T171" s="50">
        <v>291056.5389032249</v>
      </c>
      <c r="U171" s="50">
        <v>588187.7831841153</v>
      </c>
      <c r="V171" s="50">
        <v>297131.2442808904</v>
      </c>
    </row>
    <row r="172">
      <c r="A172" s="54">
        <v>45484.95996202546</v>
      </c>
      <c r="B172" s="47">
        <v>11.115193410726013</v>
      </c>
      <c r="C172" s="7">
        <v>-0.08464015426492422</v>
      </c>
      <c r="D172" s="48">
        <v>1.0027375514821646</v>
      </c>
      <c r="E172" s="49">
        <v>125.53586528916505</v>
      </c>
      <c r="F172" s="7">
        <v>-0.08487493729382534</v>
      </c>
      <c r="G172" s="48">
        <v>1.1746185355339454</v>
      </c>
      <c r="H172" s="50">
        <v>36946.86708346239</v>
      </c>
      <c r="I172" s="56">
        <v>-0.005364789213200599</v>
      </c>
      <c r="J172" s="56">
        <v>0.06338349994505887</v>
      </c>
      <c r="K172" s="50">
        <v>545962.9929824556</v>
      </c>
      <c r="L172" s="56">
        <v>-0.07927536505172361</v>
      </c>
      <c r="M172" s="56">
        <v>0.9366165000549411</v>
      </c>
      <c r="N172" s="51">
        <v>2.347830289011199E-4</v>
      </c>
      <c r="O172" s="7">
        <v>-0.17188098405178076</v>
      </c>
      <c r="P172" s="52">
        <v>57.72776385277226</v>
      </c>
      <c r="Q172" s="34">
        <v>4643.373100772571</v>
      </c>
      <c r="R172" s="13">
        <v>5041.881401218479</v>
      </c>
      <c r="S172" s="56">
        <v>-0.07903960223054836</v>
      </c>
      <c r="T172" s="50">
        <v>291056.5389032249</v>
      </c>
      <c r="U172" s="50">
        <v>582909.8600659181</v>
      </c>
      <c r="V172" s="50">
        <v>291853.32116269314</v>
      </c>
    </row>
    <row r="173">
      <c r="A173" s="54">
        <v>45483.95996810185</v>
      </c>
      <c r="B173" s="47">
        <v>11.584946266896342</v>
      </c>
      <c r="C173" s="7">
        <v>-0.021083441792161928</v>
      </c>
      <c r="D173" s="48">
        <v>1.0873777057470888</v>
      </c>
      <c r="E173" s="49">
        <v>130.43550562628184</v>
      </c>
      <c r="F173" s="7">
        <v>-0.015119348997504556</v>
      </c>
      <c r="G173" s="48">
        <v>1.2594934728277707</v>
      </c>
      <c r="H173" s="50">
        <v>37162.72753417873</v>
      </c>
      <c r="I173" s="56">
        <v>-0.001289646515962385</v>
      </c>
      <c r="J173" s="56">
        <v>0.06116869004005929</v>
      </c>
      <c r="K173" s="50">
        <v>570382.2028843232</v>
      </c>
      <c r="L173" s="56">
        <v>-0.019793795276199542</v>
      </c>
      <c r="M173" s="56">
        <v>0.9388313099599407</v>
      </c>
      <c r="N173" s="51">
        <v>-0.005964092794657372</v>
      </c>
      <c r="O173" s="7">
        <v>-0.17211576708068188</v>
      </c>
      <c r="P173" s="52">
        <v>57.72776385277226</v>
      </c>
      <c r="Q173" s="34">
        <v>4657.818647625083</v>
      </c>
      <c r="R173" s="13">
        <v>5041.881401218479</v>
      </c>
      <c r="S173" s="56">
        <v>-0.07617449182770926</v>
      </c>
      <c r="T173" s="50">
        <v>291056.5389032249</v>
      </c>
      <c r="U173" s="50">
        <v>607544.930418502</v>
      </c>
      <c r="V173" s="50">
        <v>316488.39151527704</v>
      </c>
    </row>
    <row r="174">
      <c r="A174" s="54">
        <v>45482.95995579861</v>
      </c>
      <c r="B174" s="47">
        <v>11.701959368842841</v>
      </c>
      <c r="C174" s="7">
        <v>0.058869707003299965</v>
      </c>
      <c r="D174" s="48">
        <v>1.1084611475392507</v>
      </c>
      <c r="E174" s="49">
        <v>131.30831183481743</v>
      </c>
      <c r="F174" s="7">
        <v>0.03263114685370683</v>
      </c>
      <c r="G174" s="48">
        <v>1.2746128218252752</v>
      </c>
      <c r="H174" s="50">
        <v>37361.21654924408</v>
      </c>
      <c r="I174" s="56">
        <v>0.0035840158381077</v>
      </c>
      <c r="J174" s="56">
        <v>0.06088047691330953</v>
      </c>
      <c r="K174" s="50">
        <v>576320.187465452</v>
      </c>
      <c r="L174" s="56">
        <v>0.05528569116519226</v>
      </c>
      <c r="M174" s="56">
        <v>0.9391195230866904</v>
      </c>
      <c r="N174" s="51">
        <v>0.026238560149593138</v>
      </c>
      <c r="O174" s="7">
        <v>-0.1661516742860245</v>
      </c>
      <c r="P174" s="52">
        <v>57.72776385277226</v>
      </c>
      <c r="Q174" s="34">
        <v>4673.591453880635</v>
      </c>
      <c r="R174" s="13">
        <v>5041.881401218479</v>
      </c>
      <c r="S174" s="56">
        <v>-0.07304613457366124</v>
      </c>
      <c r="T174" s="50">
        <v>291056.5389032249</v>
      </c>
      <c r="U174" s="50">
        <v>613681.4040146961</v>
      </c>
      <c r="V174" s="50">
        <v>322624.8651114712</v>
      </c>
    </row>
    <row r="175">
      <c r="A175" s="54">
        <v>45481.95995984954</v>
      </c>
      <c r="B175" s="47">
        <v>11.375232494974526</v>
      </c>
      <c r="C175" s="7">
        <v>0.0875392509894597</v>
      </c>
      <c r="D175" s="48">
        <v>1.0495914405359508</v>
      </c>
      <c r="E175" s="49">
        <v>129.42458869500152</v>
      </c>
      <c r="F175" s="7">
        <v>0.09517670428764236</v>
      </c>
      <c r="G175" s="48">
        <v>1.2419816749715684</v>
      </c>
      <c r="H175" s="50">
        <v>36606.47274177159</v>
      </c>
      <c r="I175" s="56">
        <v>0.005371753196885868</v>
      </c>
      <c r="J175" s="56">
        <v>0.06136393830388911</v>
      </c>
      <c r="K175" s="50">
        <v>559940.5181062971</v>
      </c>
      <c r="L175" s="56">
        <v>0.08216749779257383</v>
      </c>
      <c r="M175" s="56">
        <v>0.9386360616961109</v>
      </c>
      <c r="N175" s="51">
        <v>-0.0076374532981826615</v>
      </c>
      <c r="O175" s="7">
        <v>-0.19239023443561765</v>
      </c>
      <c r="P175" s="52">
        <v>57.72776385277226</v>
      </c>
      <c r="Q175" s="34">
        <v>4609.22454429332</v>
      </c>
      <c r="R175" s="13">
        <v>5041.881401218479</v>
      </c>
      <c r="S175" s="56">
        <v>-0.08581258115682741</v>
      </c>
      <c r="T175" s="50">
        <v>291056.5389032249</v>
      </c>
      <c r="U175" s="50">
        <v>596546.9908480687</v>
      </c>
      <c r="V175" s="50">
        <v>305490.4519448438</v>
      </c>
    </row>
    <row r="176">
      <c r="A176" s="54">
        <v>45480.959982071756</v>
      </c>
      <c r="B176" s="47">
        <v>10.889389651983025</v>
      </c>
      <c r="C176" s="7">
        <v>-0.08223637557170149</v>
      </c>
      <c r="D176" s="48">
        <v>0.9620521895464911</v>
      </c>
      <c r="E176" s="49">
        <v>123.93025038559936</v>
      </c>
      <c r="F176" s="7">
        <v>-0.13870266728776404</v>
      </c>
      <c r="G176" s="48">
        <v>1.146804970683926</v>
      </c>
      <c r="H176" s="50">
        <v>36446.33549141776</v>
      </c>
      <c r="I176" s="56">
        <v>-0.00524843610012739</v>
      </c>
      <c r="J176" s="56">
        <v>0.06382134503910991</v>
      </c>
      <c r="K176" s="50">
        <v>534621.7839454781</v>
      </c>
      <c r="L176" s="56">
        <v>-0.07698793947157409</v>
      </c>
      <c r="M176" s="56">
        <v>0.93617865496089</v>
      </c>
      <c r="N176" s="51">
        <v>0.056466291716062544</v>
      </c>
      <c r="O176" s="7">
        <v>-0.18475278113743498</v>
      </c>
      <c r="P176" s="52">
        <v>57.72776385277226</v>
      </c>
      <c r="Q176" s="34">
        <v>4607.980034415018</v>
      </c>
      <c r="R176" s="13">
        <v>5041.881401218479</v>
      </c>
      <c r="S176" s="56">
        <v>-0.08605941557820057</v>
      </c>
      <c r="T176" s="50">
        <v>291056.5389032249</v>
      </c>
      <c r="U176" s="50">
        <v>571068.1194368959</v>
      </c>
      <c r="V176" s="50">
        <v>280011.580533671</v>
      </c>
    </row>
    <row r="177">
      <c r="A177" s="54">
        <v>45479.95996</v>
      </c>
      <c r="B177" s="47">
        <v>11.345801536405968</v>
      </c>
      <c r="C177" s="7">
        <v>0.12682037122555756</v>
      </c>
      <c r="D177" s="48">
        <v>1.0442885651181926</v>
      </c>
      <c r="E177" s="49">
        <v>131.93724520853704</v>
      </c>
      <c r="F177" s="7">
        <v>0.12924922129633742</v>
      </c>
      <c r="G177" s="48">
        <v>1.28550763797169</v>
      </c>
      <c r="H177" s="50">
        <v>37354.27285516062</v>
      </c>
      <c r="I177" s="56">
        <v>0.007961772188172707</v>
      </c>
      <c r="J177" s="56">
        <v>0.06277991549174874</v>
      </c>
      <c r="K177" s="50">
        <v>557649.2814275804</v>
      </c>
      <c r="L177" s="56">
        <v>0.11885859903738485</v>
      </c>
      <c r="M177" s="56">
        <v>0.9372200845082512</v>
      </c>
      <c r="N177" s="51">
        <v>-0.0024288500707798644</v>
      </c>
      <c r="O177" s="7">
        <v>-0.24121907285349753</v>
      </c>
      <c r="P177" s="52">
        <v>57.72776385277226</v>
      </c>
      <c r="Q177" s="34">
        <v>4509.74668557231</v>
      </c>
      <c r="R177" s="13">
        <v>5041.881401218479</v>
      </c>
      <c r="S177" s="56">
        <v>-0.10554288633555876</v>
      </c>
      <c r="T177" s="50">
        <v>291056.5389032249</v>
      </c>
      <c r="U177" s="50">
        <v>595003.554282741</v>
      </c>
      <c r="V177" s="50">
        <v>303947.0153795161</v>
      </c>
    </row>
    <row r="178">
      <c r="A178" s="54">
        <v>45478.95996253472</v>
      </c>
      <c r="B178" s="47">
        <v>10.641948476104124</v>
      </c>
      <c r="C178" s="7">
        <v>-0.02294766263798831</v>
      </c>
      <c r="D178" s="48">
        <v>0.917468193892635</v>
      </c>
      <c r="E178" s="49">
        <v>124.47597668338739</v>
      </c>
      <c r="F178" s="7">
        <v>-0.00589582630386154</v>
      </c>
      <c r="G178" s="48">
        <v>1.1562584166753527</v>
      </c>
      <c r="H178" s="50">
        <v>36577.08179126227</v>
      </c>
      <c r="I178" s="56">
        <v>-0.0015039797213362985</v>
      </c>
      <c r="J178" s="56">
        <v>0.06553956039281149</v>
      </c>
      <c r="K178" s="50">
        <v>521514.57418014586</v>
      </c>
      <c r="L178" s="56">
        <v>-0.02144368291665201</v>
      </c>
      <c r="M178" s="56">
        <v>0.9344604396071885</v>
      </c>
      <c r="N178" s="51">
        <v>-0.01705183633412677</v>
      </c>
      <c r="O178" s="7">
        <v>-0.23879022278271766</v>
      </c>
      <c r="P178" s="52">
        <v>57.72776385277226</v>
      </c>
      <c r="Q178" s="34">
        <v>4483.529037823499</v>
      </c>
      <c r="R178" s="13">
        <v>5041.881401218479</v>
      </c>
      <c r="S178" s="56">
        <v>-0.11074285945322769</v>
      </c>
      <c r="T178" s="50">
        <v>291056.5389032249</v>
      </c>
      <c r="U178" s="50">
        <v>558091.6559714081</v>
      </c>
      <c r="V178" s="50">
        <v>267035.1170681832</v>
      </c>
    </row>
    <row r="179">
      <c r="A179" s="54">
        <v>45477.95996114583</v>
      </c>
      <c r="B179" s="47">
        <v>10.769308003744959</v>
      </c>
      <c r="C179" s="7">
        <v>-0.08892442878672102</v>
      </c>
      <c r="D179" s="48">
        <v>0.9404158565306233</v>
      </c>
      <c r="E179" s="49">
        <v>124.81632955197365</v>
      </c>
      <c r="F179" s="7">
        <v>-0.10621622196217695</v>
      </c>
      <c r="G179" s="48">
        <v>1.1621542429792142</v>
      </c>
      <c r="H179" s="50">
        <v>37861.10013927771</v>
      </c>
      <c r="I179" s="56">
        <v>-0.0059613159192084325</v>
      </c>
      <c r="J179" s="56">
        <v>0.06703800069951789</v>
      </c>
      <c r="K179" s="50">
        <v>526909.6230954621</v>
      </c>
      <c r="L179" s="56">
        <v>-0.08296311286751258</v>
      </c>
      <c r="M179" s="56">
        <v>0.9329619993004821</v>
      </c>
      <c r="N179" s="51">
        <v>0.017291793175455927</v>
      </c>
      <c r="O179" s="7">
        <v>-0.2217383864485909</v>
      </c>
      <c r="P179" s="52">
        <v>57.72776385277226</v>
      </c>
      <c r="Q179" s="34">
        <v>4524.814383358138</v>
      </c>
      <c r="R179" s="13">
        <v>5041.881401218479</v>
      </c>
      <c r="S179" s="56">
        <v>-0.10255437935041094</v>
      </c>
      <c r="T179" s="50">
        <v>291056.5389032249</v>
      </c>
      <c r="U179" s="50">
        <v>564770.7232347399</v>
      </c>
      <c r="V179" s="50">
        <v>273714.18433151493</v>
      </c>
    </row>
    <row r="180">
      <c r="A180" s="54">
        <v>45476.95995887731</v>
      </c>
      <c r="B180" s="47">
        <v>11.262838583511261</v>
      </c>
      <c r="C180" s="7">
        <v>-0.20843143629375138</v>
      </c>
      <c r="D180" s="48">
        <v>1.0293402853173443</v>
      </c>
      <c r="E180" s="49">
        <v>130.94795453073985</v>
      </c>
      <c r="F180" s="7">
        <v>-0.21017936938201398</v>
      </c>
      <c r="G180" s="48">
        <v>1.2683704649413912</v>
      </c>
      <c r="H180" s="50">
        <v>38986.39401677558</v>
      </c>
      <c r="I180" s="56">
        <v>-0.013757643500962192</v>
      </c>
      <c r="J180" s="56">
        <v>0.06600560714638531</v>
      </c>
      <c r="K180" s="50">
        <v>551666.3656845737</v>
      </c>
      <c r="L180" s="56">
        <v>-0.1946737927927892</v>
      </c>
      <c r="M180" s="56">
        <v>0.9339943928536147</v>
      </c>
      <c r="N180" s="51">
        <v>0.0017479330882625987</v>
      </c>
      <c r="O180" s="7">
        <v>-0.23903017962404682</v>
      </c>
      <c r="P180" s="52">
        <v>57.72776385277226</v>
      </c>
      <c r="Q180" s="34">
        <v>4510.591721863775</v>
      </c>
      <c r="R180" s="13">
        <v>5041.881401218479</v>
      </c>
      <c r="S180" s="56">
        <v>-0.10537528297002517</v>
      </c>
      <c r="T180" s="50">
        <v>291056.5389032249</v>
      </c>
      <c r="U180" s="50">
        <v>590652.7597013492</v>
      </c>
      <c r="V180" s="50">
        <v>299596.22079812427</v>
      </c>
    </row>
    <row r="181">
      <c r="A181" s="54">
        <v>45475.95996550926</v>
      </c>
      <c r="B181" s="47">
        <v>12.419633054941581</v>
      </c>
      <c r="C181" s="7">
        <v>0.08818929476950954</v>
      </c>
      <c r="D181" s="48">
        <v>1.2377717216110957</v>
      </c>
      <c r="E181" s="49">
        <v>143.08113953314935</v>
      </c>
      <c r="F181" s="7">
        <v>0.09768389882631556</v>
      </c>
      <c r="G181" s="48">
        <v>1.4785498343234051</v>
      </c>
      <c r="H181" s="50">
        <v>40378.43702416334</v>
      </c>
      <c r="I181" s="56">
        <v>0.00546729152465927</v>
      </c>
      <c r="J181" s="56">
        <v>0.06199495685897609</v>
      </c>
      <c r="K181" s="50">
        <v>610939.6551234731</v>
      </c>
      <c r="L181" s="56">
        <v>0.08272200324485028</v>
      </c>
      <c r="M181" s="56">
        <v>0.938005043141024</v>
      </c>
      <c r="N181" s="51">
        <v>-0.009494604056806022</v>
      </c>
      <c r="O181" s="7">
        <v>-0.24077811271230942</v>
      </c>
      <c r="P181" s="52">
        <v>57.72776385277226</v>
      </c>
      <c r="Q181" s="34">
        <v>4552.089075281216</v>
      </c>
      <c r="R181" s="13">
        <v>5041.881401218479</v>
      </c>
      <c r="S181" s="56">
        <v>-0.09714475350786611</v>
      </c>
      <c r="T181" s="50">
        <v>291056.5389032249</v>
      </c>
      <c r="U181" s="50">
        <v>651318.0921476365</v>
      </c>
      <c r="V181" s="50">
        <v>360261.55324441154</v>
      </c>
    </row>
    <row r="182">
      <c r="A182" s="54">
        <v>45474.95996025463</v>
      </c>
      <c r="B182" s="47">
        <v>11.930182468970802</v>
      </c>
      <c r="C182" s="7">
        <v>0.0574855146538229</v>
      </c>
      <c r="D182" s="48">
        <v>1.1495824268415862</v>
      </c>
      <c r="E182" s="49">
        <v>137.4420664894857</v>
      </c>
      <c r="F182" s="7">
        <v>0.04623920908737311</v>
      </c>
      <c r="G182" s="48">
        <v>1.3808659354970896</v>
      </c>
      <c r="H182" s="50">
        <v>41064.827801836625</v>
      </c>
      <c r="I182" s="56">
        <v>0.0037730882765201184</v>
      </c>
      <c r="J182" s="56">
        <v>0.06563546137216675</v>
      </c>
      <c r="K182" s="50">
        <v>584585.1934418702</v>
      </c>
      <c r="L182" s="56">
        <v>0.05371242637730278</v>
      </c>
      <c r="M182" s="56">
        <v>0.9343645386278332</v>
      </c>
      <c r="N182" s="51">
        <v>0.011246305566449788</v>
      </c>
      <c r="O182" s="7">
        <v>-0.2312835086555034</v>
      </c>
      <c r="P182" s="52">
        <v>57.72776385277226</v>
      </c>
      <c r="Q182" s="34">
        <v>4552.099929984456</v>
      </c>
      <c r="R182" s="13">
        <v>5041.881401218479</v>
      </c>
      <c r="S182" s="56">
        <v>-0.09714260060057282</v>
      </c>
      <c r="T182" s="50">
        <v>291056.5389032249</v>
      </c>
      <c r="U182" s="50">
        <v>625650.0212437068</v>
      </c>
      <c r="V182" s="50">
        <v>334593.4823404819</v>
      </c>
    </row>
    <row r="183">
      <c r="A183" s="54">
        <v>45473.9599730787</v>
      </c>
      <c r="B183" s="47">
        <v>11.611137862642085</v>
      </c>
      <c r="C183" s="7">
        <v>0.05407148763254099</v>
      </c>
      <c r="D183" s="48">
        <v>1.0920969121877633</v>
      </c>
      <c r="E183" s="49">
        <v>134.77278034655086</v>
      </c>
      <c r="F183" s="7">
        <v>0.06251765009044075</v>
      </c>
      <c r="G183" s="48">
        <v>1.3346267264097165</v>
      </c>
      <c r="H183" s="50">
        <v>40362.318456948306</v>
      </c>
      <c r="I183" s="56">
        <v>0.003584142462952128</v>
      </c>
      <c r="J183" s="56">
        <v>0.06628525716379846</v>
      </c>
      <c r="K183" s="50">
        <v>568556.1678545462</v>
      </c>
      <c r="L183" s="56">
        <v>0.05048734516958887</v>
      </c>
      <c r="M183" s="56">
        <v>0.9337147428362016</v>
      </c>
      <c r="N183" s="51">
        <v>-0.008446162457899753</v>
      </c>
      <c r="O183" s="7">
        <v>-0.2425298142219532</v>
      </c>
      <c r="P183" s="52">
        <v>57.72776385277226</v>
      </c>
      <c r="Q183" s="34">
        <v>4518.1117785485985</v>
      </c>
      <c r="R183" s="13">
        <v>5041.881401218479</v>
      </c>
      <c r="S183" s="56">
        <v>-0.10388376500551968</v>
      </c>
      <c r="T183" s="50">
        <v>291056.5389032249</v>
      </c>
      <c r="U183" s="50">
        <v>608918.4863114945</v>
      </c>
      <c r="V183" s="50">
        <v>317861.94740826957</v>
      </c>
    </row>
    <row r="184">
      <c r="A184" s="54">
        <v>45472.959959479165</v>
      </c>
      <c r="B184" s="47">
        <v>11.311041106281483</v>
      </c>
      <c r="C184" s="7">
        <v>0.008155403456753252</v>
      </c>
      <c r="D184" s="48">
        <v>1.0380254245552223</v>
      </c>
      <c r="E184" s="49">
        <v>131.16377620549966</v>
      </c>
      <c r="F184" s="7">
        <v>0.006495031296539278</v>
      </c>
      <c r="G184" s="48">
        <v>1.2721090763192757</v>
      </c>
      <c r="H184" s="50">
        <v>39833.29818161999</v>
      </c>
      <c r="I184" s="56">
        <v>5.476521034211852E-4</v>
      </c>
      <c r="J184" s="56">
        <v>0.06715205523862715</v>
      </c>
      <c r="K184" s="50">
        <v>553347.3280861985</v>
      </c>
      <c r="L184" s="56">
        <v>0.007607751353332067</v>
      </c>
      <c r="M184" s="56">
        <v>0.9328479447613729</v>
      </c>
      <c r="N184" s="51">
        <v>0.0016603721602139743</v>
      </c>
      <c r="O184" s="7">
        <v>-0.23408365176405344</v>
      </c>
      <c r="P184" s="52">
        <v>57.72776385277226</v>
      </c>
      <c r="Q184" s="34">
        <v>4522.442426012943</v>
      </c>
      <c r="R184" s="13">
        <v>5041.881401218479</v>
      </c>
      <c r="S184" s="56">
        <v>-0.1030248301913653</v>
      </c>
      <c r="T184" s="50">
        <v>291056.5389032249</v>
      </c>
      <c r="U184" s="50">
        <v>593180.6262678185</v>
      </c>
      <c r="V184" s="50">
        <v>302124.0873645936</v>
      </c>
    </row>
    <row r="185">
      <c r="A185" s="54">
        <v>45471.959963263886</v>
      </c>
      <c r="B185" s="47">
        <v>11.265778617096503</v>
      </c>
      <c r="C185" s="7">
        <v>-0.1525574250676227</v>
      </c>
      <c r="D185" s="48">
        <v>1.029870021098469</v>
      </c>
      <c r="E185" s="49">
        <v>130.78883257259668</v>
      </c>
      <c r="F185" s="7">
        <v>-0.15783757249180752</v>
      </c>
      <c r="G185" s="48">
        <v>1.2656140450227364</v>
      </c>
      <c r="H185" s="50">
        <v>39371.114888099844</v>
      </c>
      <c r="I185" s="56">
        <v>-0.01016635972703167</v>
      </c>
      <c r="J185" s="56">
        <v>0.0666395603001645</v>
      </c>
      <c r="K185" s="50">
        <v>551435.8278762368</v>
      </c>
      <c r="L185" s="56">
        <v>-0.14239106534059104</v>
      </c>
      <c r="M185" s="56">
        <v>0.9333604396998355</v>
      </c>
      <c r="N185" s="51">
        <v>0.005280147424184811</v>
      </c>
      <c r="O185" s="7">
        <v>-0.2357440239242674</v>
      </c>
      <c r="P185" s="52">
        <v>57.72776385277226</v>
      </c>
      <c r="Q185" s="34">
        <v>4517.258325066849</v>
      </c>
      <c r="R185" s="13">
        <v>5041.881401218479</v>
      </c>
      <c r="S185" s="56">
        <v>-0.10405303782529361</v>
      </c>
      <c r="T185" s="50">
        <v>291056.5389032249</v>
      </c>
      <c r="U185" s="50">
        <v>590806.9427643366</v>
      </c>
      <c r="V185" s="50">
        <v>299750.40386111167</v>
      </c>
    </row>
    <row r="186">
      <c r="A186" s="54">
        <v>45470.95995891203</v>
      </c>
      <c r="B186" s="47">
        <v>12.112472326221809</v>
      </c>
      <c r="C186" s="7">
        <v>0.17936344240375046</v>
      </c>
      <c r="D186" s="48">
        <v>1.1824274461660917</v>
      </c>
      <c r="E186" s="49">
        <v>139.90044268449856</v>
      </c>
      <c r="F186" s="7">
        <v>0.19221127290635165</v>
      </c>
      <c r="G186" s="48">
        <v>1.423451617514544</v>
      </c>
      <c r="H186" s="50">
        <v>40259.42256963595</v>
      </c>
      <c r="I186" s="56">
        <v>0.01136800606866067</v>
      </c>
      <c r="J186" s="56">
        <v>0.06337972730848394</v>
      </c>
      <c r="K186" s="50">
        <v>594950.356318871</v>
      </c>
      <c r="L186" s="56">
        <v>0.16799543633508981</v>
      </c>
      <c r="M186" s="56">
        <v>0.9366202726915162</v>
      </c>
      <c r="N186" s="51">
        <v>-0.012847830502601187</v>
      </c>
      <c r="O186" s="7">
        <v>-0.24102417134845222</v>
      </c>
      <c r="P186" s="52">
        <v>57.72776385277226</v>
      </c>
      <c r="Q186" s="34">
        <v>4540.44152184009</v>
      </c>
      <c r="R186" s="13">
        <v>5041.881401218479</v>
      </c>
      <c r="S186" s="56">
        <v>-0.09945491364735505</v>
      </c>
      <c r="T186" s="50">
        <v>291056.5389032249</v>
      </c>
      <c r="U186" s="50">
        <v>635209.7788885069</v>
      </c>
      <c r="V186" s="50">
        <v>344153.239985282</v>
      </c>
    </row>
    <row r="187">
      <c r="A187" s="54">
        <v>45469.9599593287</v>
      </c>
      <c r="B187" s="47">
        <v>11.117005220880994</v>
      </c>
      <c r="C187" s="7">
        <v>5.784129545998162E-4</v>
      </c>
      <c r="D187" s="48">
        <v>1.0030640037623413</v>
      </c>
      <c r="E187" s="49">
        <v>128.80451571231993</v>
      </c>
      <c r="F187" s="7">
        <v>0.011006319458915392</v>
      </c>
      <c r="G187" s="48">
        <v>1.2312403446081923</v>
      </c>
      <c r="H187" s="50">
        <v>39982.494481364025</v>
      </c>
      <c r="I187" s="56">
        <v>3.966758034424042E-5</v>
      </c>
      <c r="J187" s="56">
        <v>0.06858003443523328</v>
      </c>
      <c r="K187" s="50">
        <v>543022.3816553393</v>
      </c>
      <c r="L187" s="56">
        <v>5.387453742555758E-4</v>
      </c>
      <c r="M187" s="56">
        <v>0.9314199655647667</v>
      </c>
      <c r="N187" s="51">
        <v>-0.010427906504315576</v>
      </c>
      <c r="O187" s="7">
        <v>-0.22817634084585103</v>
      </c>
      <c r="P187" s="52">
        <v>57.72776385277226</v>
      </c>
      <c r="Q187" s="34">
        <v>4526.276683022689</v>
      </c>
      <c r="R187" s="13">
        <v>5041.881401218479</v>
      </c>
      <c r="S187" s="56">
        <v>-0.10226434879471444</v>
      </c>
      <c r="T187" s="50">
        <v>291056.5389032249</v>
      </c>
      <c r="U187" s="50">
        <v>583004.8761367033</v>
      </c>
      <c r="V187" s="50">
        <v>291948.3372334784</v>
      </c>
    </row>
    <row r="188">
      <c r="A188" s="54">
        <v>45468.959974375</v>
      </c>
      <c r="B188" s="47">
        <v>11.113795028982965</v>
      </c>
      <c r="C188" s="7">
        <v>0.11179697728114224</v>
      </c>
      <c r="D188" s="48">
        <v>1.0024855908077415</v>
      </c>
      <c r="E188" s="49">
        <v>128.1691455017075</v>
      </c>
      <c r="F188" s="7">
        <v>0.10973441432569464</v>
      </c>
      <c r="G188" s="48">
        <v>1.220234025149277</v>
      </c>
      <c r="H188" s="50">
        <v>40307.26892769282</v>
      </c>
      <c r="I188" s="56">
        <v>0.007731551873027194</v>
      </c>
      <c r="J188" s="56">
        <v>0.0691570743776392</v>
      </c>
      <c r="K188" s="50">
        <v>542529.256336388</v>
      </c>
      <c r="L188" s="56">
        <v>0.10406542540811504</v>
      </c>
      <c r="M188" s="56">
        <v>0.9308429256223608</v>
      </c>
      <c r="N188" s="51">
        <v>0.0020625629554476</v>
      </c>
      <c r="O188" s="7">
        <v>-0.21774843434153546</v>
      </c>
      <c r="P188" s="52">
        <v>57.72776385277226</v>
      </c>
      <c r="Q188" s="34">
        <v>4547.401193810066</v>
      </c>
      <c r="R188" s="13">
        <v>5041.881401218479</v>
      </c>
      <c r="S188" s="56">
        <v>-0.09807454163616619</v>
      </c>
      <c r="T188" s="50">
        <v>291056.5389032249</v>
      </c>
      <c r="U188" s="50">
        <v>582836.5252640807</v>
      </c>
      <c r="V188" s="50">
        <v>291779.9863608558</v>
      </c>
    </row>
    <row r="189">
      <c r="A189" s="54">
        <v>45467.9599628125</v>
      </c>
      <c r="B189" s="47">
        <v>10.493321805072625</v>
      </c>
      <c r="C189" s="7">
        <v>-0.0074340385027826805</v>
      </c>
      <c r="D189" s="48">
        <v>0.8906886135265992</v>
      </c>
      <c r="E189" s="49">
        <v>121.83442314499153</v>
      </c>
      <c r="F189" s="7">
        <v>-0.0029965594814966856</v>
      </c>
      <c r="G189" s="48">
        <v>1.1104996108235823</v>
      </c>
      <c r="H189" s="50">
        <v>39185.562499884734</v>
      </c>
      <c r="I189" s="56">
        <v>-5.29362925910861E-4</v>
      </c>
      <c r="J189" s="56">
        <v>0.07120798819009505</v>
      </c>
      <c r="K189" s="50">
        <v>511111.72149690427</v>
      </c>
      <c r="L189" s="56">
        <v>-0.006904675576871819</v>
      </c>
      <c r="M189" s="56">
        <v>0.9287920118099049</v>
      </c>
      <c r="N189" s="51">
        <v>-0.004437479021285995</v>
      </c>
      <c r="O189" s="7">
        <v>-0.21981099729698306</v>
      </c>
      <c r="P189" s="52">
        <v>57.72776385277226</v>
      </c>
      <c r="Q189" s="34">
        <v>4516.76356970063</v>
      </c>
      <c r="R189" s="13">
        <v>5041.881401218479</v>
      </c>
      <c r="S189" s="56">
        <v>-0.10415116694155944</v>
      </c>
      <c r="T189" s="50">
        <v>291056.5389032249</v>
      </c>
      <c r="U189" s="50">
        <v>550297.283996789</v>
      </c>
      <c r="V189" s="50">
        <v>259240.7450935641</v>
      </c>
    </row>
    <row r="190">
      <c r="A190" s="54">
        <v>45466.95996335648</v>
      </c>
      <c r="B190" s="47">
        <v>10.534580718763069</v>
      </c>
      <c r="C190" s="7">
        <v>-0.06197524092964102</v>
      </c>
      <c r="D190" s="48">
        <v>0.8981226520293819</v>
      </c>
      <c r="E190" s="49">
        <v>122.00740782311016</v>
      </c>
      <c r="F190" s="7">
        <v>-0.06400716284742947</v>
      </c>
      <c r="G190" s="48">
        <v>1.113496170305079</v>
      </c>
      <c r="H190" s="50">
        <v>41707.97055312634</v>
      </c>
      <c r="I190" s="56">
        <v>-0.004678812584426009</v>
      </c>
      <c r="J190" s="56">
        <v>0.07549486721217835</v>
      </c>
      <c r="K190" s="50">
        <v>510753.03896035586</v>
      </c>
      <c r="L190" s="56">
        <v>-0.057296428345215006</v>
      </c>
      <c r="M190" s="56">
        <v>0.9245051327878216</v>
      </c>
      <c r="N190" s="51">
        <v>0.0020319219177884484</v>
      </c>
      <c r="O190" s="7">
        <v>-0.21537351827569706</v>
      </c>
      <c r="P190" s="52">
        <v>57.72776385277226</v>
      </c>
      <c r="Q190" s="34">
        <v>4528.093985198473</v>
      </c>
      <c r="R190" s="13">
        <v>5041.881401218479</v>
      </c>
      <c r="S190" s="56">
        <v>-0.10190390751671359</v>
      </c>
      <c r="T190" s="50">
        <v>291056.5389032249</v>
      </c>
      <c r="U190" s="50">
        <v>552461.0095134822</v>
      </c>
      <c r="V190" s="50">
        <v>261404.4706102573</v>
      </c>
    </row>
    <row r="191">
      <c r="A191" s="54">
        <v>45465.95996508102</v>
      </c>
      <c r="B191" s="47">
        <v>10.878543305922577</v>
      </c>
      <c r="C191" s="7">
        <v>0.017960750570892525</v>
      </c>
      <c r="D191" s="48">
        <v>0.9600978929590229</v>
      </c>
      <c r="E191" s="49">
        <v>125.7023982048525</v>
      </c>
      <c r="F191" s="7">
        <v>0.013208013329580215</v>
      </c>
      <c r="G191" s="48">
        <v>1.1775033331525084</v>
      </c>
      <c r="H191" s="50">
        <v>42097.132647880644</v>
      </c>
      <c r="I191" s="56">
        <v>0.0013253234277284115</v>
      </c>
      <c r="J191" s="56">
        <v>0.07378998012901819</v>
      </c>
      <c r="K191" s="50">
        <v>528402.1759882765</v>
      </c>
      <c r="L191" s="56">
        <v>0.016635427143164117</v>
      </c>
      <c r="M191" s="56">
        <v>0.926210019870982</v>
      </c>
      <c r="N191" s="51">
        <v>0.00475273724131231</v>
      </c>
      <c r="O191" s="7">
        <v>-0.2174054401934855</v>
      </c>
      <c r="P191" s="52">
        <v>57.72776385277226</v>
      </c>
      <c r="Q191" s="34">
        <v>4538.491840914886</v>
      </c>
      <c r="R191" s="13">
        <v>5041.881401218479</v>
      </c>
      <c r="S191" s="56">
        <v>-0.09984161074910222</v>
      </c>
      <c r="T191" s="50">
        <v>291056.5389032249</v>
      </c>
      <c r="U191" s="50">
        <v>570499.3086361571</v>
      </c>
      <c r="V191" s="50">
        <v>279442.76973293215</v>
      </c>
    </row>
    <row r="192">
      <c r="A192" s="54">
        <v>45464.95996951389</v>
      </c>
      <c r="B192" s="47">
        <v>10.778861140254124</v>
      </c>
      <c r="C192" s="7">
        <v>0.0047794315761913175</v>
      </c>
      <c r="D192" s="48">
        <v>0.9421371423881304</v>
      </c>
      <c r="E192" s="49">
        <v>124.93992913039821</v>
      </c>
      <c r="F192" s="7">
        <v>0.0026647122371814547</v>
      </c>
      <c r="G192" s="48">
        <v>1.1642953198229282</v>
      </c>
      <c r="H192" s="50">
        <v>41962.044853077176</v>
      </c>
      <c r="I192" s="7">
        <v>3.547934859344481E-4</v>
      </c>
      <c r="J192" s="7">
        <v>0.07423340626986852</v>
      </c>
      <c r="K192" s="50">
        <v>523309.66988581186</v>
      </c>
      <c r="L192" s="7">
        <v>0.0044246380902568695</v>
      </c>
      <c r="M192" s="7">
        <v>0.9257665937301315</v>
      </c>
      <c r="N192" s="51">
        <v>0.002114719339009863</v>
      </c>
      <c r="O192" s="7">
        <v>-0.22215817743479782</v>
      </c>
      <c r="P192" s="52">
        <v>57.72776385277226</v>
      </c>
      <c r="Q192" s="34">
        <v>4524.347970046646</v>
      </c>
      <c r="R192" s="13">
        <v>5041.881401218479</v>
      </c>
      <c r="S192" s="7">
        <v>-0.10264688714152623</v>
      </c>
      <c r="T192" s="52">
        <v>291056.5389032249</v>
      </c>
      <c r="U192" s="52">
        <v>565271.714738889</v>
      </c>
      <c r="V192" s="52">
        <v>274215.1758356641</v>
      </c>
    </row>
    <row r="193">
      <c r="A193" s="54">
        <v>45463.959972662036</v>
      </c>
      <c r="B193" s="47">
        <v>10.752335295006262</v>
      </c>
      <c r="C193" s="7">
        <v>-0.01372019310888617</v>
      </c>
      <c r="D193" s="48">
        <v>0.9373577108119391</v>
      </c>
      <c r="E193" s="49">
        <v>124.7861012516346</v>
      </c>
      <c r="F193" s="7">
        <v>-0.02618941977753897</v>
      </c>
      <c r="G193" s="48">
        <v>1.1616306075857468</v>
      </c>
      <c r="H193" s="50">
        <v>42430.94019233444</v>
      </c>
      <c r="I193" s="56">
        <v>-0.0010324183210663157</v>
      </c>
      <c r="J193" s="56">
        <v>0.07524808964952893</v>
      </c>
      <c r="K193" s="50">
        <v>521449.68973406346</v>
      </c>
      <c r="L193" s="56">
        <v>-0.012687774787819853</v>
      </c>
      <c r="M193" s="56">
        <v>0.924751910350471</v>
      </c>
      <c r="N193" s="51">
        <v>0.0124692266686528</v>
      </c>
      <c r="O193" s="7">
        <v>-0.22427289677380768</v>
      </c>
      <c r="P193" s="52">
        <v>57.72776385277226</v>
      </c>
      <c r="Q193" s="34">
        <v>4518.777526267266</v>
      </c>
      <c r="R193" s="13">
        <v>5041.881401218479</v>
      </c>
      <c r="S193" s="56">
        <v>-0.10375172149523276</v>
      </c>
      <c r="T193" s="50">
        <v>291056.5389032249</v>
      </c>
      <c r="U193" s="50">
        <v>563880.6299263979</v>
      </c>
      <c r="V193" s="50">
        <v>272824.091023173</v>
      </c>
    </row>
    <row r="194">
      <c r="A194" s="54">
        <v>45462.959976956015</v>
      </c>
      <c r="B194" s="47">
        <v>10.82848236676058</v>
      </c>
      <c r="C194" s="7">
        <v>-0.014085014046310018</v>
      </c>
      <c r="D194" s="48">
        <v>0.9510779039208253</v>
      </c>
      <c r="E194" s="49">
        <v>126.29795789199352</v>
      </c>
      <c r="F194" s="7">
        <v>-0.0263542930702223</v>
      </c>
      <c r="G194" s="48">
        <v>1.1878200273632857</v>
      </c>
      <c r="H194" s="50">
        <v>42348.09752616625</v>
      </c>
      <c r="I194" s="56">
        <v>-0.0010503625233046375</v>
      </c>
      <c r="J194" s="56">
        <v>0.07457305472690037</v>
      </c>
      <c r="K194" s="50">
        <v>525525.884319588</v>
      </c>
      <c r="L194" s="56">
        <v>-0.013034651523005382</v>
      </c>
      <c r="M194" s="56">
        <v>0.9254269452730997</v>
      </c>
      <c r="N194" s="51">
        <v>0.012269279023912283</v>
      </c>
      <c r="O194" s="7">
        <v>-0.23674212344246048</v>
      </c>
      <c r="P194" s="52">
        <v>57.72776385277226</v>
      </c>
      <c r="Q194" s="34">
        <v>4496.30375125609</v>
      </c>
      <c r="R194" s="13">
        <v>5041.881401218479</v>
      </c>
      <c r="S194" s="56">
        <v>-0.10820913991164852</v>
      </c>
      <c r="T194" s="50">
        <v>291056.5389032249</v>
      </c>
      <c r="U194" s="50">
        <v>567873.9818457542</v>
      </c>
      <c r="V194" s="50">
        <v>276817.4429425293</v>
      </c>
    </row>
    <row r="195">
      <c r="A195" s="54">
        <v>45461.95996070602</v>
      </c>
      <c r="B195" s="47">
        <v>10.9066541947176</v>
      </c>
      <c r="C195" s="7">
        <v>-0.11257388838314086</v>
      </c>
      <c r="D195" s="48">
        <v>0.9651629179671353</v>
      </c>
      <c r="E195" s="49">
        <v>127.81933229885804</v>
      </c>
      <c r="F195" s="7">
        <v>-0.08789867888812664</v>
      </c>
      <c r="G195" s="48">
        <v>1.214174320433508</v>
      </c>
      <c r="H195" s="50">
        <v>42308.13129800693</v>
      </c>
      <c r="I195" s="56">
        <v>-0.008326942955424074</v>
      </c>
      <c r="J195" s="56">
        <v>0.07396868914293558</v>
      </c>
      <c r="K195" s="50">
        <v>529665.3859864695</v>
      </c>
      <c r="L195" s="56">
        <v>-0.10424694542771679</v>
      </c>
      <c r="M195" s="56">
        <v>0.9260313108570644</v>
      </c>
      <c r="N195" s="51">
        <v>-0.024675209495014228</v>
      </c>
      <c r="O195" s="7">
        <v>-0.24901140246637277</v>
      </c>
      <c r="P195" s="52">
        <v>57.72776385277226</v>
      </c>
      <c r="Q195" s="34">
        <v>4474.8592172827875</v>
      </c>
      <c r="R195" s="13">
        <v>5041.881401218479</v>
      </c>
      <c r="S195" s="56">
        <v>-0.1124624200399991</v>
      </c>
      <c r="T195" s="50">
        <v>291056.5389032249</v>
      </c>
      <c r="U195" s="50">
        <v>571973.5172844764</v>
      </c>
      <c r="V195" s="50">
        <v>280916.9783812515</v>
      </c>
    </row>
    <row r="196">
      <c r="A196" s="54">
        <v>45460.959980115746</v>
      </c>
      <c r="B196" s="47">
        <v>11.531439275244033</v>
      </c>
      <c r="C196" s="7">
        <v>-0.09595520956758197</v>
      </c>
      <c r="D196" s="48">
        <v>1.0777368063502761</v>
      </c>
      <c r="E196" s="49">
        <v>132.8935264766825</v>
      </c>
      <c r="F196" s="7">
        <v>-0.09808726408061608</v>
      </c>
      <c r="G196" s="48">
        <v>1.3020729993216347</v>
      </c>
      <c r="H196" s="50">
        <v>43291.50918283708</v>
      </c>
      <c r="I196" s="56">
        <v>-0.006869156174233539</v>
      </c>
      <c r="J196" s="56">
        <v>0.07158711033188397</v>
      </c>
      <c r="K196" s="50">
        <v>561447.3744253144</v>
      </c>
      <c r="L196" s="56">
        <v>-0.08908605339334842</v>
      </c>
      <c r="M196" s="56">
        <v>0.928412889668116</v>
      </c>
      <c r="N196" s="51">
        <v>0.0021320545130341095</v>
      </c>
      <c r="O196" s="7">
        <v>-0.22433619297135854</v>
      </c>
      <c r="P196" s="52">
        <v>57.72776385277226</v>
      </c>
      <c r="Q196" s="34">
        <v>4550.551856370965</v>
      </c>
      <c r="R196" s="13">
        <v>5041.881401218479</v>
      </c>
      <c r="S196" s="56">
        <v>-0.09744964344634807</v>
      </c>
      <c r="T196" s="50">
        <v>291056.5389032249</v>
      </c>
      <c r="U196" s="50">
        <v>604738.8836081515</v>
      </c>
      <c r="V196" s="50">
        <v>313682.34470492654</v>
      </c>
    </row>
    <row r="197">
      <c r="A197" s="54">
        <v>45459.959961238426</v>
      </c>
      <c r="B197" s="47">
        <v>12.063990688344113</v>
      </c>
      <c r="C197" s="7">
        <v>0.07085571389625</v>
      </c>
      <c r="D197" s="48">
        <v>1.173692015917858</v>
      </c>
      <c r="E197" s="49">
        <v>138.5558848944928</v>
      </c>
      <c r="F197" s="7">
        <v>0.06317566647791528</v>
      </c>
      <c r="G197" s="48">
        <v>1.4001602634022507</v>
      </c>
      <c r="H197" s="50">
        <v>43213.88990301724</v>
      </c>
      <c r="I197" s="56">
        <v>0.004839749330019002</v>
      </c>
      <c r="J197" s="56">
        <v>0.06830429140980178</v>
      </c>
      <c r="K197" s="50">
        <v>589453.3848916083</v>
      </c>
      <c r="L197" s="56">
        <v>0.066015964566231</v>
      </c>
      <c r="M197" s="56">
        <v>0.9316957085901982</v>
      </c>
      <c r="N197" s="51">
        <v>0.007680047418334723</v>
      </c>
      <c r="O197" s="7">
        <v>-0.22646824748439265</v>
      </c>
      <c r="P197" s="52">
        <v>57.72776385277226</v>
      </c>
      <c r="Q197" s="34">
        <v>4566.152316636622</v>
      </c>
      <c r="R197" s="13">
        <v>5041.881401218479</v>
      </c>
      <c r="S197" s="56">
        <v>-0.09435546906495794</v>
      </c>
      <c r="T197" s="50">
        <v>291056.5389032249</v>
      </c>
      <c r="U197" s="50">
        <v>632667.2747946255</v>
      </c>
      <c r="V197" s="50">
        <v>341610.73589140055</v>
      </c>
    </row>
    <row r="198">
      <c r="A198" s="54">
        <v>45458.959966180555</v>
      </c>
      <c r="B198" s="47">
        <v>11.670741476219925</v>
      </c>
      <c r="C198" s="7">
        <v>0.014983979356454569</v>
      </c>
      <c r="D198" s="48">
        <v>1.102836302021608</v>
      </c>
      <c r="E198" s="49">
        <v>134.9088949388142</v>
      </c>
      <c r="F198" s="7">
        <v>0.02174530583736667</v>
      </c>
      <c r="G198" s="48">
        <v>1.3369845969243355</v>
      </c>
      <c r="H198" s="50">
        <v>42733.339551277146</v>
      </c>
      <c r="I198" s="56">
        <v>0.0010461914664626922</v>
      </c>
      <c r="J198" s="56">
        <v>0.06982066923444004</v>
      </c>
      <c r="K198" s="50">
        <v>569310.9163951887</v>
      </c>
      <c r="L198" s="56">
        <v>0.013937787889991877</v>
      </c>
      <c r="M198" s="56">
        <v>0.93017933076556</v>
      </c>
      <c r="N198" s="51">
        <v>-0.0067613264809121</v>
      </c>
      <c r="O198" s="7">
        <v>-0.23414829490272737</v>
      </c>
      <c r="P198" s="52">
        <v>57.72776385277226</v>
      </c>
      <c r="Q198" s="34">
        <v>4536.72277297986</v>
      </c>
      <c r="R198" s="13">
        <v>5041.881401218479</v>
      </c>
      <c r="S198" s="56">
        <v>-0.1001924853124346</v>
      </c>
      <c r="T198" s="50">
        <v>291056.5389032249</v>
      </c>
      <c r="U198" s="50">
        <v>612044.2559464658</v>
      </c>
      <c r="V198" s="50">
        <v>320987.71704324085</v>
      </c>
    </row>
    <row r="199">
      <c r="A199" s="54">
        <v>45457.959970752316</v>
      </c>
      <c r="B199" s="47">
        <v>11.5875803907916</v>
      </c>
      <c r="C199" s="7">
        <v>-0.06438399767055625</v>
      </c>
      <c r="D199" s="48">
        <v>1.0878523226651535</v>
      </c>
      <c r="E199" s="49">
        <v>133.6535870585284</v>
      </c>
      <c r="F199" s="7">
        <v>-0.06295032652105093</v>
      </c>
      <c r="G199" s="48">
        <v>1.3152392910869688</v>
      </c>
      <c r="H199" s="50">
        <v>42750.083608585526</v>
      </c>
      <c r="I199" s="56">
        <v>-0.004529369692587553</v>
      </c>
      <c r="J199" s="56">
        <v>0.07034930815827395</v>
      </c>
      <c r="K199" s="50">
        <v>564932.9871673932</v>
      </c>
      <c r="L199" s="56">
        <v>-0.05985462797796869</v>
      </c>
      <c r="M199" s="56">
        <v>0.929650691841726</v>
      </c>
      <c r="N199" s="51">
        <v>-0.0014336711495053223</v>
      </c>
      <c r="O199" s="7">
        <v>-0.22738696842181527</v>
      </c>
      <c r="P199" s="52">
        <v>57.72776385277226</v>
      </c>
      <c r="Q199" s="34">
        <v>4546.702293219168</v>
      </c>
      <c r="R199" s="13">
        <v>5041.881401218479</v>
      </c>
      <c r="S199" s="56">
        <v>-0.09821316064269998</v>
      </c>
      <c r="T199" s="50">
        <v>291056.5389032249</v>
      </c>
      <c r="U199" s="50">
        <v>607683.0707759787</v>
      </c>
      <c r="V199" s="50">
        <v>316626.5318727538</v>
      </c>
    </row>
    <row r="200">
      <c r="A200" s="54">
        <v>45456.959963761576</v>
      </c>
      <c r="B200" s="47">
        <v>11.94491157786319</v>
      </c>
      <c r="C200" s="7">
        <v>-0.09995060817631085</v>
      </c>
      <c r="D200" s="48">
        <v>1.1522363203357098</v>
      </c>
      <c r="E200" s="49">
        <v>137.28756864239054</v>
      </c>
      <c r="F200" s="7">
        <v>-0.09963977607550012</v>
      </c>
      <c r="G200" s="48">
        <v>1.3781896176080197</v>
      </c>
      <c r="H200" s="50">
        <v>43134.2339438345</v>
      </c>
      <c r="I200" s="56">
        <v>-0.006882404815344613</v>
      </c>
      <c r="J200" s="56">
        <v>0.06885805840424893</v>
      </c>
      <c r="K200" s="50">
        <v>583288.2203548896</v>
      </c>
      <c r="L200" s="56">
        <v>-0.09306820336096623</v>
      </c>
      <c r="M200" s="56">
        <v>0.931141941595751</v>
      </c>
      <c r="N200" s="51">
        <v>-3.1083210081073176E-4</v>
      </c>
      <c r="O200" s="7">
        <v>-0.22595329727230995</v>
      </c>
      <c r="P200" s="52">
        <v>57.72776385277226</v>
      </c>
      <c r="Q200" s="34">
        <v>4562.84906560216</v>
      </c>
      <c r="R200" s="13">
        <v>5041.881401218479</v>
      </c>
      <c r="S200" s="56">
        <v>-0.0950106314481238</v>
      </c>
      <c r="T200" s="50">
        <v>291056.5389032249</v>
      </c>
      <c r="U200" s="50">
        <v>626422.4542987242</v>
      </c>
      <c r="V200" s="50">
        <v>335365.91539549927</v>
      </c>
    </row>
    <row r="201">
      <c r="A201" s="54">
        <v>45455.95996024305</v>
      </c>
      <c r="B201" s="47">
        <v>12.499637453241714</v>
      </c>
      <c r="C201" s="7">
        <v>0.08997227614013337</v>
      </c>
      <c r="D201" s="48">
        <v>1.2521869285120206</v>
      </c>
      <c r="E201" s="49">
        <v>143.0395501060201</v>
      </c>
      <c r="F201" s="7">
        <v>0.08403043556157153</v>
      </c>
      <c r="G201" s="48">
        <v>1.4778293936835198</v>
      </c>
      <c r="H201" s="50">
        <v>43763.09892589886</v>
      </c>
      <c r="I201" s="56">
        <v>0.00600668670515612</v>
      </c>
      <c r="J201" s="56">
        <v>0.06676152880472427</v>
      </c>
      <c r="K201" s="50">
        <v>611750.6334498947</v>
      </c>
      <c r="L201" s="56">
        <v>0.08396558943497724</v>
      </c>
      <c r="M201" s="56">
        <v>0.9332384711952757</v>
      </c>
      <c r="N201" s="51">
        <v>0.005941840578561841</v>
      </c>
      <c r="O201" s="7">
        <v>-0.22564246517149922</v>
      </c>
      <c r="P201" s="52">
        <v>57.72776385277226</v>
      </c>
      <c r="Q201" s="34">
        <v>4582.744645728615</v>
      </c>
      <c r="R201" s="13">
        <v>5041.881401218479</v>
      </c>
      <c r="S201" s="56">
        <v>-0.09106456874985279</v>
      </c>
      <c r="T201" s="50">
        <v>291056.5389032249</v>
      </c>
      <c r="U201" s="50">
        <v>655513.7323757936</v>
      </c>
      <c r="V201" s="50">
        <v>364457.1934725687</v>
      </c>
    </row>
    <row r="202">
      <c r="A202" s="54">
        <v>45454.95995957176</v>
      </c>
      <c r="B202" s="47">
        <v>12.000291320663974</v>
      </c>
      <c r="C202" s="7">
        <v>-0.14647981655263775</v>
      </c>
      <c r="D202" s="48">
        <v>1.1622146523718873</v>
      </c>
      <c r="E202" s="49">
        <v>138.18866096547612</v>
      </c>
      <c r="F202" s="7">
        <v>-0.17586401432566312</v>
      </c>
      <c r="G202" s="48">
        <v>1.3937989581219483</v>
      </c>
      <c r="H202" s="50">
        <v>43348.949527173114</v>
      </c>
      <c r="I202" s="56">
        <v>-0.010089745187139723</v>
      </c>
      <c r="J202" s="56">
        <v>0.06888147066673829</v>
      </c>
      <c r="K202" s="50">
        <v>585977.7635580281</v>
      </c>
      <c r="L202" s="56">
        <v>-0.13639007136549805</v>
      </c>
      <c r="M202" s="56">
        <v>0.9311185293332618</v>
      </c>
      <c r="N202" s="51">
        <v>0.029384197773025367</v>
      </c>
      <c r="O202" s="7">
        <v>-0.23158430575006106</v>
      </c>
      <c r="P202" s="52">
        <v>57.72776385277226</v>
      </c>
      <c r="Q202" s="34">
        <v>4554.112534909264</v>
      </c>
      <c r="R202" s="13">
        <v>5041.881401218479</v>
      </c>
      <c r="S202" s="56">
        <v>-0.09674342323707494</v>
      </c>
      <c r="T202" s="50">
        <v>291056.5389032249</v>
      </c>
      <c r="U202" s="50">
        <v>629326.7130852012</v>
      </c>
      <c r="V202" s="50">
        <v>338270.1741819763</v>
      </c>
    </row>
    <row r="203">
      <c r="A203" s="54">
        <v>45453.9599662963</v>
      </c>
      <c r="B203" s="47">
        <v>12.813254302531114</v>
      </c>
      <c r="C203" s="7">
        <v>-0.042755923719592026</v>
      </c>
      <c r="D203" s="48">
        <v>1.308694468924525</v>
      </c>
      <c r="E203" s="49">
        <v>148.34089725466856</v>
      </c>
      <c r="F203" s="7">
        <v>-0.023685311045320567</v>
      </c>
      <c r="G203" s="48">
        <v>1.5696629724476114</v>
      </c>
      <c r="H203" s="50">
        <v>0.0</v>
      </c>
      <c r="I203" s="7">
        <v>0.0</v>
      </c>
      <c r="J203" s="7">
        <v>0.0</v>
      </c>
      <c r="K203" s="50">
        <v>671960.6215101912</v>
      </c>
      <c r="L203" s="7">
        <v>-0.042755923719592026</v>
      </c>
      <c r="M203" s="7">
        <v>1.0</v>
      </c>
      <c r="N203" s="51">
        <v>-0.01907061267427146</v>
      </c>
      <c r="O203" s="7">
        <v>-0.2609685035230864</v>
      </c>
      <c r="P203" s="52">
        <v>57.72776385277226</v>
      </c>
      <c r="Q203" s="34">
        <v>4529.840616755764</v>
      </c>
      <c r="R203" s="13">
        <v>5041.881401218479</v>
      </c>
      <c r="S203" s="7">
        <v>-0.10155748295447202</v>
      </c>
      <c r="T203" s="52">
        <v>291056.5389032249</v>
      </c>
      <c r="U203" s="52">
        <v>671960.6215101912</v>
      </c>
      <c r="V203" s="52">
        <v>380904.0826069663</v>
      </c>
    </row>
    <row r="204">
      <c r="A204" s="54">
        <v>45452.959954074075</v>
      </c>
      <c r="B204" s="47">
        <v>13.05054967917485</v>
      </c>
      <c r="C204" s="7">
        <v>0.05138095451661506</v>
      </c>
      <c r="D204" s="48">
        <v>1.351450392644117</v>
      </c>
      <c r="E204" s="49">
        <v>149.70819729747228</v>
      </c>
      <c r="F204" s="7">
        <v>0.048723049579851185</v>
      </c>
      <c r="G204" s="48">
        <v>1.593348283492932</v>
      </c>
      <c r="H204" s="50">
        <v>44771.63040587537</v>
      </c>
      <c r="I204" s="56">
        <v>0.0033611809716181176</v>
      </c>
      <c r="J204" s="56">
        <v>0.06541686512521312</v>
      </c>
      <c r="K204" s="50">
        <v>639633.3822797505</v>
      </c>
      <c r="L204" s="56">
        <v>0.048019773544996945</v>
      </c>
      <c r="M204" s="56">
        <v>0.9345831348747868</v>
      </c>
      <c r="N204" s="51">
        <v>0.0026579049367638774</v>
      </c>
      <c r="O204" s="7">
        <v>-0.24189789084881497</v>
      </c>
      <c r="P204" s="52">
        <v>57.72776385277226</v>
      </c>
      <c r="Q204" s="34">
        <v>4571.593440041921</v>
      </c>
      <c r="R204" s="13">
        <v>5041.881401218479</v>
      </c>
      <c r="S204" s="56">
        <v>-0.09327628394093188</v>
      </c>
      <c r="T204" s="50">
        <v>291056.5389032249</v>
      </c>
      <c r="U204" s="50">
        <v>684405.0126856259</v>
      </c>
      <c r="V204" s="50">
        <v>393348.473782401</v>
      </c>
    </row>
    <row r="205">
      <c r="A205" s="54">
        <v>45451.95995642361</v>
      </c>
      <c r="B205" s="47">
        <v>12.765385381607636</v>
      </c>
      <c r="C205" s="7">
        <v>-0.063644157344934</v>
      </c>
      <c r="D205" s="48">
        <v>1.300069438127502</v>
      </c>
      <c r="E205" s="49">
        <v>146.8955245971397</v>
      </c>
      <c r="F205" s="7">
        <v>-0.05856242081618923</v>
      </c>
      <c r="G205" s="48">
        <v>1.5446252339130808</v>
      </c>
      <c r="H205" s="50">
        <v>44410.224029914105</v>
      </c>
      <c r="I205" s="56">
        <v>-0.004222048294570451</v>
      </c>
      <c r="J205" s="56">
        <v>0.06633834857280141</v>
      </c>
      <c r="K205" s="50">
        <v>625040.0258685618</v>
      </c>
      <c r="L205" s="56">
        <v>-0.059422109050363554</v>
      </c>
      <c r="M205" s="56">
        <v>0.9336616514271986</v>
      </c>
      <c r="N205" s="51">
        <v>-0.0050817365287447736</v>
      </c>
      <c r="O205" s="7">
        <v>-0.24455579578557884</v>
      </c>
      <c r="P205" s="52">
        <v>57.72776385277226</v>
      </c>
      <c r="Q205" s="34">
        <v>4557.322299194888</v>
      </c>
      <c r="R205" s="13">
        <v>5041.881401218479</v>
      </c>
      <c r="S205" s="56">
        <v>-0.09610680289038283</v>
      </c>
      <c r="T205" s="50">
        <v>291056.5389032249</v>
      </c>
      <c r="U205" s="50">
        <v>669450.249898476</v>
      </c>
      <c r="V205" s="50">
        <v>378393.710995251</v>
      </c>
    </row>
    <row r="206">
      <c r="A206" s="54">
        <v>45450.959972094905</v>
      </c>
      <c r="B206" s="47">
        <v>13.11861045487202</v>
      </c>
      <c r="C206" s="7">
        <v>-0.11857226675958144</v>
      </c>
      <c r="D206" s="48">
        <v>1.363713595472436</v>
      </c>
      <c r="E206" s="49">
        <v>150.27620219666335</v>
      </c>
      <c r="F206" s="7">
        <v>-0.10534735567138531</v>
      </c>
      <c r="G206" s="48">
        <v>1.60318765472927</v>
      </c>
      <c r="H206" s="50">
        <v>44468.36460102477</v>
      </c>
      <c r="I206" s="56">
        <v>-0.007664115948413593</v>
      </c>
      <c r="J206" s="56">
        <v>0.0646366655362459</v>
      </c>
      <c r="K206" s="50">
        <v>643505.9334556799</v>
      </c>
      <c r="L206" s="56">
        <v>-0.11090815081116784</v>
      </c>
      <c r="M206" s="56">
        <v>0.9353633344637541</v>
      </c>
      <c r="N206" s="51">
        <v>-0.013224911088196123</v>
      </c>
      <c r="O206" s="7">
        <v>-0.23947405925683407</v>
      </c>
      <c r="P206" s="52">
        <v>57.72776385277226</v>
      </c>
      <c r="Q206" s="34">
        <v>4578.065508711532</v>
      </c>
      <c r="R206" s="13">
        <v>5041.881401218479</v>
      </c>
      <c r="S206" s="56">
        <v>-0.09199262251485255</v>
      </c>
      <c r="T206" s="50">
        <v>291056.5389032249</v>
      </c>
      <c r="U206" s="50">
        <v>687974.2980567047</v>
      </c>
      <c r="V206" s="50">
        <v>396917.75915347977</v>
      </c>
    </row>
    <row r="207">
      <c r="A207" s="54">
        <v>45449.96003400463</v>
      </c>
      <c r="B207" s="47">
        <v>13.776686535387697</v>
      </c>
      <c r="C207" s="7">
        <v>-0.05278663255858618</v>
      </c>
      <c r="D207" s="48">
        <v>1.4822858622320174</v>
      </c>
      <c r="E207" s="49">
        <v>156.3576694673751</v>
      </c>
      <c r="F207" s="7">
        <v>-0.051578475928900414</v>
      </c>
      <c r="G207" s="48">
        <v>1.7085350104006554</v>
      </c>
      <c r="H207" s="50">
        <v>45190.16082175199</v>
      </c>
      <c r="I207" s="56">
        <v>-0.003301708214392311</v>
      </c>
      <c r="J207" s="56">
        <v>0.06254818794754244</v>
      </c>
      <c r="K207" s="50">
        <v>677295.3708079064</v>
      </c>
      <c r="L207" s="56">
        <v>-0.04948492434419387</v>
      </c>
      <c r="M207" s="56">
        <v>0.9374518120524575</v>
      </c>
      <c r="N207" s="51">
        <v>-0.0012081566296857638</v>
      </c>
      <c r="O207" s="7">
        <v>-0.22624914816863795</v>
      </c>
      <c r="P207" s="52">
        <v>57.72776385277226</v>
      </c>
      <c r="Q207" s="34">
        <v>4620.723333180717</v>
      </c>
      <c r="R207" s="13">
        <v>5041.881401218479</v>
      </c>
      <c r="S207" s="56">
        <v>-0.08353192677955099</v>
      </c>
      <c r="T207" s="50">
        <v>291056.5389032249</v>
      </c>
      <c r="U207" s="50">
        <v>722485.5316296584</v>
      </c>
      <c r="V207" s="50">
        <v>431428.9927264335</v>
      </c>
    </row>
    <row r="208">
      <c r="A208" s="54">
        <v>45448.959968310184</v>
      </c>
      <c r="B208" s="47">
        <v>14.06965234608785</v>
      </c>
      <c r="C208" s="7">
        <v>0.057780654803902376</v>
      </c>
      <c r="D208" s="48">
        <v>1.5350724947906036</v>
      </c>
      <c r="E208" s="49">
        <v>159.33517954568455</v>
      </c>
      <c r="F208" s="7">
        <v>0.05684246697330364</v>
      </c>
      <c r="G208" s="48">
        <v>1.7601134863295558</v>
      </c>
      <c r="H208" s="50">
        <v>45382.2473522104</v>
      </c>
      <c r="I208" s="56">
        <v>0.0035538632617485625</v>
      </c>
      <c r="J208" s="56">
        <v>0.061506109160752234</v>
      </c>
      <c r="K208" s="50">
        <v>692467.1788503064</v>
      </c>
      <c r="L208" s="56">
        <v>0.05422679154215382</v>
      </c>
      <c r="M208" s="56">
        <v>0.9384938908392478</v>
      </c>
      <c r="N208" s="51">
        <v>9.381878305987357E-4</v>
      </c>
      <c r="O208" s="7">
        <v>-0.22504099153895218</v>
      </c>
      <c r="P208" s="52">
        <v>57.72776385277226</v>
      </c>
      <c r="Q208" s="34">
        <v>4630.800481766556</v>
      </c>
      <c r="R208" s="13">
        <v>5041.881401218479</v>
      </c>
      <c r="S208" s="56">
        <v>-0.08153323863440676</v>
      </c>
      <c r="T208" s="50">
        <v>291056.5389032249</v>
      </c>
      <c r="U208" s="50">
        <v>737849.4262025168</v>
      </c>
      <c r="V208" s="50">
        <v>446792.88729929185</v>
      </c>
    </row>
    <row r="209">
      <c r="A209" s="54">
        <v>45447.95996126157</v>
      </c>
      <c r="B209" s="47">
        <v>13.748969711926192</v>
      </c>
      <c r="C209" s="7">
        <v>0.06863406106676306</v>
      </c>
      <c r="D209" s="48">
        <v>1.4772918399867012</v>
      </c>
      <c r="E209" s="49">
        <v>156.05379103544067</v>
      </c>
      <c r="F209" s="7">
        <v>0.06854154372615051</v>
      </c>
      <c r="G209" s="48">
        <v>1.7032710193562521</v>
      </c>
      <c r="H209" s="50">
        <v>45141.90289570721</v>
      </c>
      <c r="I209" s="56">
        <v>0.004296996760395345</v>
      </c>
      <c r="J209" s="56">
        <v>0.06260735112578412</v>
      </c>
      <c r="K209" s="50">
        <v>675890.0859040238</v>
      </c>
      <c r="L209" s="56">
        <v>0.06433706430636772</v>
      </c>
      <c r="M209" s="56">
        <v>0.9373926488742159</v>
      </c>
      <c r="N209" s="51">
        <v>9.251734061255235E-5</v>
      </c>
      <c r="O209" s="7">
        <v>-0.22597917936955092</v>
      </c>
      <c r="P209" s="52">
        <v>57.72776385277226</v>
      </c>
      <c r="Q209" s="34">
        <v>4620.406745748206</v>
      </c>
      <c r="R209" s="13">
        <v>5041.881401218479</v>
      </c>
      <c r="S209" s="56">
        <v>-0.08359471830662556</v>
      </c>
      <c r="T209" s="50">
        <v>291056.5389032249</v>
      </c>
      <c r="U209" s="50">
        <v>721031.988799731</v>
      </c>
      <c r="V209" s="50">
        <v>429975.4498965061</v>
      </c>
    </row>
    <row r="210">
      <c r="A210" s="54">
        <v>45446.9599641088</v>
      </c>
      <c r="B210" s="47">
        <v>13.368050673005657</v>
      </c>
      <c r="C210" s="7">
        <v>0.04639741060331115</v>
      </c>
      <c r="D210" s="48">
        <v>1.4086577789199382</v>
      </c>
      <c r="E210" s="49">
        <v>152.097040985113</v>
      </c>
      <c r="F210" s="7">
        <v>0.03919229148291281</v>
      </c>
      <c r="G210" s="48">
        <v>1.6347294756301016</v>
      </c>
      <c r="H210" s="50">
        <v>44017.76041770217</v>
      </c>
      <c r="I210" s="56">
        <v>0.002913192782474312</v>
      </c>
      <c r="J210" s="56">
        <v>0.06278783114388742</v>
      </c>
      <c r="K210" s="50">
        <v>657037.8361170641</v>
      </c>
      <c r="L210" s="56">
        <v>0.04348421782083684</v>
      </c>
      <c r="M210" s="56">
        <v>0.9372121688561126</v>
      </c>
      <c r="N210" s="51">
        <v>0.00720511912039834</v>
      </c>
      <c r="O210" s="7">
        <v>-0.22607169671016347</v>
      </c>
      <c r="P210" s="52">
        <v>57.72776385277226</v>
      </c>
      <c r="Q210" s="34">
        <v>4609.265190132031</v>
      </c>
      <c r="R210" s="13">
        <v>5041.881401218479</v>
      </c>
      <c r="S210" s="56">
        <v>-0.08580451951565082</v>
      </c>
      <c r="T210" s="50">
        <v>291056.5389032249</v>
      </c>
      <c r="U210" s="50">
        <v>701055.5965347663</v>
      </c>
      <c r="V210" s="50">
        <v>409999.05763154133</v>
      </c>
    </row>
    <row r="211">
      <c r="A211" s="54">
        <v>45445.95995736111</v>
      </c>
      <c r="B211" s="47">
        <v>13.110545044157279</v>
      </c>
      <c r="C211" s="7">
        <v>-0.0726594344608773</v>
      </c>
      <c r="D211" s="48">
        <v>1.362260368316627</v>
      </c>
      <c r="E211" s="49">
        <v>149.83455763753838</v>
      </c>
      <c r="F211" s="7">
        <v>-0.06778467597697357</v>
      </c>
      <c r="G211" s="48">
        <v>1.5955371841471888</v>
      </c>
      <c r="H211" s="50">
        <v>43362.08612306539</v>
      </c>
      <c r="I211" s="56">
        <v>-0.06463743199504561</v>
      </c>
      <c r="J211" s="56">
        <v>0.06306741683632638</v>
      </c>
      <c r="K211" s="50">
        <v>644189.2406674293</v>
      </c>
      <c r="L211" s="56">
        <v>-0.9602568040063076</v>
      </c>
      <c r="M211" s="56">
        <v>0.9369325831636736</v>
      </c>
      <c r="N211" s="51">
        <v>-0.0048747584839037295</v>
      </c>
      <c r="O211" s="7">
        <v>-0.2332768158305618</v>
      </c>
      <c r="P211" s="52">
        <v>57.72776385277226</v>
      </c>
      <c r="Q211" s="34">
        <v>4588.736654822552</v>
      </c>
      <c r="R211" s="13">
        <v>5041.881401218479</v>
      </c>
      <c r="S211" s="56">
        <v>-0.08987612169663796</v>
      </c>
      <c r="T211" s="50">
        <v>291056.5389032249</v>
      </c>
      <c r="U211" s="50">
        <v>687551.3267904947</v>
      </c>
      <c r="V211" s="50">
        <v>396494.7878872698</v>
      </c>
    </row>
    <row r="212">
      <c r="A212" s="54">
        <v>45444.95996440972</v>
      </c>
      <c r="B212" s="47">
        <v>13.513804905415148</v>
      </c>
      <c r="C212" s="7">
        <v>0.011989565488903509</v>
      </c>
      <c r="D212" s="48">
        <v>1.4349198027775043</v>
      </c>
      <c r="E212" s="49">
        <v>153.7476154051738</v>
      </c>
      <c r="F212" s="7">
        <v>0.00656520131530014</v>
      </c>
      <c r="G212" s="48">
        <v>1.6633218601241624</v>
      </c>
      <c r="H212" s="50">
        <v>0.0</v>
      </c>
      <c r="I212" s="7">
        <v>0.0</v>
      </c>
      <c r="J212" s="7">
        <v>0.0</v>
      </c>
      <c r="K212" s="50">
        <v>708699.3303033435</v>
      </c>
      <c r="L212" s="7">
        <v>0.011989565488903509</v>
      </c>
      <c r="M212" s="7">
        <v>1.0</v>
      </c>
      <c r="N212" s="51">
        <v>0.005424364173603369</v>
      </c>
      <c r="O212" s="7">
        <v>-0.22840205734665808</v>
      </c>
      <c r="P212" s="52">
        <v>57.72776385277226</v>
      </c>
      <c r="Q212" s="34">
        <v>4609.498029843881</v>
      </c>
      <c r="R212" s="13">
        <v>5041.881401218479</v>
      </c>
      <c r="S212" s="7">
        <v>-0.08575833839925374</v>
      </c>
      <c r="T212" s="52">
        <v>291056.5389032249</v>
      </c>
      <c r="U212" s="52">
        <v>708699.3303033435</v>
      </c>
      <c r="V212" s="52">
        <v>417642.79140011856</v>
      </c>
    </row>
    <row r="213">
      <c r="A213" s="54">
        <v>45443.959980300926</v>
      </c>
      <c r="B213" s="47">
        <v>13.447262816951733</v>
      </c>
      <c r="C213" s="7">
        <v>-0.009818715453142168</v>
      </c>
      <c r="D213" s="48">
        <v>1.4229302372886008</v>
      </c>
      <c r="E213" s="49">
        <v>153.36862101399825</v>
      </c>
      <c r="F213" s="7">
        <v>-0.008429518562701688</v>
      </c>
      <c r="G213" s="48">
        <v>1.6567566588088622</v>
      </c>
      <c r="H213" s="50">
        <v>43286.19057590601</v>
      </c>
      <c r="I213" s="56">
        <v>-6.026786004554482E-4</v>
      </c>
      <c r="J213" s="56">
        <v>0.0613805953876156</v>
      </c>
      <c r="K213" s="50">
        <v>661923.4982932836</v>
      </c>
      <c r="L213" s="56">
        <v>-0.00921603685268672</v>
      </c>
      <c r="M213" s="56">
        <v>0.9386194046123845</v>
      </c>
      <c r="N213" s="51">
        <v>-0.0013891968904404806</v>
      </c>
      <c r="O213" s="7">
        <v>-0.23382642152026145</v>
      </c>
      <c r="P213" s="52">
        <v>57.72776385277226</v>
      </c>
      <c r="Q213" s="34">
        <v>4598.135421748519</v>
      </c>
      <c r="R213" s="13">
        <v>5041.881401218479</v>
      </c>
      <c r="S213" s="56">
        <v>-0.08801198286074717</v>
      </c>
      <c r="T213" s="50">
        <v>291056.5389032249</v>
      </c>
      <c r="U213" s="50">
        <v>705209.6888691896</v>
      </c>
      <c r="V213" s="50">
        <v>414153.14996596467</v>
      </c>
    </row>
    <row r="214">
      <c r="A214" s="54">
        <v>45442.95997108796</v>
      </c>
      <c r="B214" s="47">
        <v>13.501756687716673</v>
      </c>
      <c r="C214" s="7">
        <v>-0.04593609845594049</v>
      </c>
      <c r="D214" s="48">
        <v>1.432748952741743</v>
      </c>
      <c r="E214" s="49">
        <v>153.85523827097845</v>
      </c>
      <c r="F214" s="7">
        <v>-0.045235141462422135</v>
      </c>
      <c r="G214" s="48">
        <v>1.665186177371564</v>
      </c>
      <c r="H214" s="50">
        <v>43680.09387843036</v>
      </c>
      <c r="I214" s="56">
        <v>-0.0028337596637604207</v>
      </c>
      <c r="J214" s="56">
        <v>0.06168916732182676</v>
      </c>
      <c r="K214" s="50">
        <v>664387.3963270265</v>
      </c>
      <c r="L214" s="56">
        <v>-0.04310233879218007</v>
      </c>
      <c r="M214" s="56">
        <v>0.9383108326781733</v>
      </c>
      <c r="N214" s="51">
        <v>-7.009569935183535E-4</v>
      </c>
      <c r="O214" s="7">
        <v>-0.23243722462982097</v>
      </c>
      <c r="P214" s="52">
        <v>57.72776385277226</v>
      </c>
      <c r="Q214" s="34">
        <v>4602.166934078441</v>
      </c>
      <c r="R214" s="13">
        <v>5041.881401218479</v>
      </c>
      <c r="S214" s="56">
        <v>-0.08721237810825376</v>
      </c>
      <c r="T214" s="50">
        <v>291056.5389032249</v>
      </c>
      <c r="U214" s="50">
        <v>708067.4902054569</v>
      </c>
      <c r="V214" s="50">
        <v>417010.95130223193</v>
      </c>
    </row>
    <row r="215">
      <c r="A215" s="54">
        <v>45441.95996119213</v>
      </c>
      <c r="B215" s="47">
        <v>13.756702034147143</v>
      </c>
      <c r="C215" s="7">
        <v>0.00971735192323342</v>
      </c>
      <c r="D215" s="48">
        <v>1.4786850511976835</v>
      </c>
      <c r="E215" s="49">
        <v>156.4665618351679</v>
      </c>
      <c r="F215" s="7">
        <v>0.01994141918310488</v>
      </c>
      <c r="G215" s="48">
        <v>1.710421318833986</v>
      </c>
      <c r="H215" s="50">
        <v>43314.053041845575</v>
      </c>
      <c r="I215" s="56">
        <v>5.83415612963596E-4</v>
      </c>
      <c r="J215" s="56">
        <v>0.060038539055963944</v>
      </c>
      <c r="K215" s="50">
        <v>678123.4389909151</v>
      </c>
      <c r="L215" s="56">
        <v>0.009133936310269824</v>
      </c>
      <c r="M215" s="56">
        <v>0.9399614609440361</v>
      </c>
      <c r="N215" s="51">
        <v>-0.010224067259871461</v>
      </c>
      <c r="O215" s="7">
        <v>-0.23173626763630262</v>
      </c>
      <c r="P215" s="52">
        <v>57.72776385277226</v>
      </c>
      <c r="Q215" s="34">
        <v>4610.809386818188</v>
      </c>
      <c r="R215" s="13">
        <v>5041.881401218479</v>
      </c>
      <c r="S215" s="56">
        <v>-0.08549824561444738</v>
      </c>
      <c r="T215" s="50">
        <v>291056.5389032249</v>
      </c>
      <c r="U215" s="50">
        <v>721437.4920327606</v>
      </c>
      <c r="V215" s="50">
        <v>430380.9531295357</v>
      </c>
    </row>
    <row r="216">
      <c r="A216" s="54">
        <v>45440.95996275463</v>
      </c>
      <c r="B216" s="47">
        <v>13.702770730973198</v>
      </c>
      <c r="C216" s="7">
        <v>-0.02426630500184901</v>
      </c>
      <c r="D216" s="48">
        <v>1.46896769927445</v>
      </c>
      <c r="E216" s="49">
        <v>155.3153882976765</v>
      </c>
      <c r="F216" s="7">
        <v>-0.022170794864205146</v>
      </c>
      <c r="G216" s="48">
        <v>1.6904798996508812</v>
      </c>
      <c r="H216" s="50">
        <v>43623.52116483319</v>
      </c>
      <c r="I216" s="56">
        <v>-0.00147309786715213</v>
      </c>
      <c r="J216" s="56">
        <v>0.0607054871782039</v>
      </c>
      <c r="K216" s="50">
        <v>674985.6720498465</v>
      </c>
      <c r="L216" s="56">
        <v>-0.022793207134696878</v>
      </c>
      <c r="M216" s="56">
        <v>0.9392945128217961</v>
      </c>
      <c r="N216" s="51">
        <v>-0.0020955101376438634</v>
      </c>
      <c r="O216" s="7">
        <v>-0.22151220037643116</v>
      </c>
      <c r="P216" s="52">
        <v>57.72776385277226</v>
      </c>
      <c r="Q216" s="34">
        <v>4626.773953894368</v>
      </c>
      <c r="R216" s="13">
        <v>5041.881401218479</v>
      </c>
      <c r="S216" s="56">
        <v>-0.0823318547762333</v>
      </c>
      <c r="T216" s="50">
        <v>291056.5389032249</v>
      </c>
      <c r="U216" s="50">
        <v>718609.1932146797</v>
      </c>
      <c r="V216" s="50">
        <v>427552.6543114548</v>
      </c>
    </row>
    <row r="217">
      <c r="A217" s="54">
        <v>45439.95996334491</v>
      </c>
      <c r="B217" s="47">
        <v>13.83744872373346</v>
      </c>
      <c r="C217" s="7">
        <v>0.10935746860915696</v>
      </c>
      <c r="D217" s="48">
        <v>1.493234004276299</v>
      </c>
      <c r="E217" s="49">
        <v>156.59525870802557</v>
      </c>
      <c r="F217" s="7">
        <v>0.10821886364353439</v>
      </c>
      <c r="G217" s="48">
        <v>1.7126506945150863</v>
      </c>
      <c r="H217" s="50">
        <v>44293.188941051594</v>
      </c>
      <c r="I217" s="56">
        <v>0.006674903563855342</v>
      </c>
      <c r="J217" s="56">
        <v>0.06103747324027235</v>
      </c>
      <c r="K217" s="50">
        <v>681378.8710194363</v>
      </c>
      <c r="L217" s="56">
        <v>0.10268256504530163</v>
      </c>
      <c r="M217" s="56">
        <v>0.9389625267597277</v>
      </c>
      <c r="N217" s="51">
        <v>0.0011386049656225694</v>
      </c>
      <c r="O217" s="7">
        <v>-0.2194166902387873</v>
      </c>
      <c r="P217" s="52">
        <v>57.72776385277226</v>
      </c>
      <c r="Q217" s="34">
        <v>4634.061503187114</v>
      </c>
      <c r="R217" s="13">
        <v>5041.881401218479</v>
      </c>
      <c r="S217" s="56">
        <v>-0.08088645201626658</v>
      </c>
      <c r="T217" s="50">
        <v>291056.5389032249</v>
      </c>
      <c r="U217" s="50">
        <v>725672.0599604879</v>
      </c>
      <c r="V217" s="50">
        <v>434615.52105726296</v>
      </c>
    </row>
    <row r="218">
      <c r="A218" s="54">
        <v>45438.95996552083</v>
      </c>
      <c r="B218" s="47">
        <v>13.230514772952638</v>
      </c>
      <c r="C218" s="7">
        <v>-0.07321570994403004</v>
      </c>
      <c r="D218" s="48">
        <v>1.383876535667142</v>
      </c>
      <c r="E218" s="49">
        <v>150.34802570319627</v>
      </c>
      <c r="F218" s="7">
        <v>-0.06860828050587342</v>
      </c>
      <c r="G218" s="48">
        <v>1.604431830871552</v>
      </c>
      <c r="H218" s="50">
        <v>43901.27686518129</v>
      </c>
      <c r="I218" s="56">
        <v>-0.0046325520775391225</v>
      </c>
      <c r="J218" s="56">
        <v>0.06327265119849948</v>
      </c>
      <c r="K218" s="50">
        <v>649941.5767787073</v>
      </c>
      <c r="L218" s="56">
        <v>-0.06858315786649091</v>
      </c>
      <c r="M218" s="56">
        <v>0.9367273488015005</v>
      </c>
      <c r="N218" s="51">
        <v>-0.004607429438156618</v>
      </c>
      <c r="O218" s="7">
        <v>-0.22055529520440986</v>
      </c>
      <c r="P218" s="52">
        <v>57.72776385277226</v>
      </c>
      <c r="Q218" s="34">
        <v>4614.911638504729</v>
      </c>
      <c r="R218" s="13">
        <v>5041.881401218479</v>
      </c>
      <c r="S218" s="56">
        <v>-0.08468461051276688</v>
      </c>
      <c r="T218" s="50">
        <v>291056.5389032249</v>
      </c>
      <c r="U218" s="50">
        <v>693842.8536438886</v>
      </c>
      <c r="V218" s="50">
        <v>402786.3147406637</v>
      </c>
    </row>
    <row r="219">
      <c r="A219" s="54">
        <v>45437.95995966435</v>
      </c>
      <c r="B219" s="47">
        <v>13.636861963142005</v>
      </c>
      <c r="C219" s="7">
        <v>0.012015497206132597</v>
      </c>
      <c r="D219" s="48">
        <v>1.4570922456111721</v>
      </c>
      <c r="E219" s="49">
        <v>154.30862831858408</v>
      </c>
      <c r="F219" s="7">
        <v>0.005255923977296462</v>
      </c>
      <c r="G219" s="48">
        <v>1.6730401113774254</v>
      </c>
      <c r="H219" s="50">
        <v>44266.519028203125</v>
      </c>
      <c r="I219" s="56">
        <v>7.437351317197467E-4</v>
      </c>
      <c r="J219" s="56">
        <v>0.06189799048350252</v>
      </c>
      <c r="K219" s="50">
        <v>670886.2457453373</v>
      </c>
      <c r="L219" s="56">
        <v>0.01127176207441285</v>
      </c>
      <c r="M219" s="56">
        <v>0.9381020095164975</v>
      </c>
      <c r="N219" s="51">
        <v>0.006759573228836135</v>
      </c>
      <c r="O219" s="7">
        <v>-0.21594786576625324</v>
      </c>
      <c r="P219" s="52">
        <v>57.72776385277226</v>
      </c>
      <c r="Q219" s="34">
        <v>4634.561090757952</v>
      </c>
      <c r="R219" s="13">
        <v>5041.881401218479</v>
      </c>
      <c r="S219" s="56">
        <v>-0.08078736448701263</v>
      </c>
      <c r="T219" s="50">
        <v>291056.5389032249</v>
      </c>
      <c r="U219" s="50">
        <v>715152.7647735404</v>
      </c>
      <c r="V219" s="50">
        <v>424096.2258703155</v>
      </c>
    </row>
    <row r="220">
      <c r="A220" s="54">
        <v>45436.959968993055</v>
      </c>
      <c r="B220" s="47">
        <v>13.570175953647968</v>
      </c>
      <c r="C220" s="7">
        <v>-0.17108529985347198</v>
      </c>
      <c r="D220" s="48">
        <v>1.4450767484050395</v>
      </c>
      <c r="E220" s="49">
        <v>154.00521558039458</v>
      </c>
      <c r="F220" s="7">
        <v>-0.193828811412049</v>
      </c>
      <c r="G220" s="48">
        <v>1.667784187400129</v>
      </c>
      <c r="H220" s="50">
        <v>44049.19267485463</v>
      </c>
      <c r="I220" s="56">
        <v>-0.01058963014405844</v>
      </c>
      <c r="J220" s="56">
        <v>0.06189678571524294</v>
      </c>
      <c r="K220" s="50">
        <v>667606.3830686675</v>
      </c>
      <c r="L220" s="56">
        <v>-0.16049566970941354</v>
      </c>
      <c r="M220" s="56">
        <v>0.9381032142847571</v>
      </c>
      <c r="N220" s="51">
        <v>0.022743511558577012</v>
      </c>
      <c r="O220" s="7">
        <v>-0.22270743899508938</v>
      </c>
      <c r="P220" s="52">
        <v>57.72776385277226</v>
      </c>
      <c r="Q220" s="34">
        <v>4620.983601506795</v>
      </c>
      <c r="R220" s="13">
        <v>5041.881401218479</v>
      </c>
      <c r="S220" s="56">
        <v>-0.08348030550856778</v>
      </c>
      <c r="T220" s="50">
        <v>291056.5389032249</v>
      </c>
      <c r="U220" s="50">
        <v>711655.5757435221</v>
      </c>
      <c r="V220" s="50">
        <v>420599.0368402972</v>
      </c>
    </row>
    <row r="221">
      <c r="A221" s="54">
        <v>45435.95997002315</v>
      </c>
      <c r="B221" s="47">
        <v>14.519699367834738</v>
      </c>
      <c r="C221" s="7">
        <v>-0.022857496838736058</v>
      </c>
      <c r="D221" s="48">
        <v>1.6161620482585115</v>
      </c>
      <c r="E221" s="49">
        <v>165.19451943345288</v>
      </c>
      <c r="F221" s="7">
        <v>-0.015922116103601613</v>
      </c>
      <c r="G221" s="48">
        <v>1.861612998812178</v>
      </c>
      <c r="H221" s="50">
        <v>43593.87079668628</v>
      </c>
      <c r="I221" s="56">
        <v>-0.0013086156181331425</v>
      </c>
      <c r="J221" s="56">
        <v>0.0572510466638439</v>
      </c>
      <c r="K221" s="50">
        <v>717857.2001794078</v>
      </c>
      <c r="L221" s="56">
        <v>-0.021548881220602917</v>
      </c>
      <c r="M221" s="56">
        <v>0.9427489533361562</v>
      </c>
      <c r="N221" s="51">
        <v>-0.006935380735134444</v>
      </c>
      <c r="O221" s="7">
        <v>-0.2454509505536664</v>
      </c>
      <c r="P221" s="52">
        <v>57.72776385277226</v>
      </c>
      <c r="Q221" s="34">
        <v>4609.420903233038</v>
      </c>
      <c r="R221" s="13">
        <v>5041.881401218479</v>
      </c>
      <c r="S221" s="56">
        <v>-0.08577363558788348</v>
      </c>
      <c r="T221" s="50">
        <v>291056.5389032249</v>
      </c>
      <c r="U221" s="50">
        <v>761451.0709760941</v>
      </c>
      <c r="V221" s="50">
        <v>470394.5320728692</v>
      </c>
    </row>
    <row r="222">
      <c r="A222" s="54">
        <v>45434.959973391204</v>
      </c>
      <c r="B222" s="47">
        <v>14.646558475289723</v>
      </c>
      <c r="C222" s="7">
        <v>0.07660253941212725</v>
      </c>
      <c r="D222" s="48">
        <v>1.6390195450972476</v>
      </c>
      <c r="E222" s="49">
        <v>166.11366759191802</v>
      </c>
      <c r="F222" s="7">
        <v>0.03186003785084823</v>
      </c>
      <c r="G222" s="48">
        <v>1.8775351149157795</v>
      </c>
      <c r="H222" s="50">
        <v>44536.396343022796</v>
      </c>
      <c r="I222" s="56">
        <v>0.004441588018000448</v>
      </c>
      <c r="J222" s="56">
        <v>0.0579822555764683</v>
      </c>
      <c r="K222" s="50">
        <v>723567.4985509452</v>
      </c>
      <c r="L222" s="56">
        <v>0.0721609513941268</v>
      </c>
      <c r="M222" s="56">
        <v>0.9420177444235317</v>
      </c>
      <c r="N222" s="51">
        <v>0.04474250156127901</v>
      </c>
      <c r="O222" s="7">
        <v>-0.23851556981853195</v>
      </c>
      <c r="P222" s="52">
        <v>57.72776385277226</v>
      </c>
      <c r="Q222" s="34">
        <v>4623.965661759544</v>
      </c>
      <c r="R222" s="13">
        <v>5041.881401218479</v>
      </c>
      <c r="S222" s="56">
        <v>-0.08288884767458775</v>
      </c>
      <c r="T222" s="50">
        <v>291056.5389032249</v>
      </c>
      <c r="U222" s="50">
        <v>768103.894893968</v>
      </c>
      <c r="V222" s="50">
        <v>477047.3559907431</v>
      </c>
    </row>
    <row r="223">
      <c r="A223" s="54">
        <v>45433.95996689815</v>
      </c>
      <c r="B223" s="47">
        <v>14.221414381552417</v>
      </c>
      <c r="C223" s="7">
        <v>-0.029806845233114387</v>
      </c>
      <c r="D223" s="48">
        <v>1.5624170056851203</v>
      </c>
      <c r="E223" s="49">
        <v>164.27445885052387</v>
      </c>
      <c r="F223" s="7">
        <v>-0.03969111859402297</v>
      </c>
      <c r="G223" s="48">
        <v>1.8456750770649313</v>
      </c>
      <c r="H223" s="50">
        <v>35514.93083774329</v>
      </c>
      <c r="I223" s="56">
        <v>-0.0014193837123279494</v>
      </c>
      <c r="J223" s="56">
        <v>0.04761938746711318</v>
      </c>
      <c r="K223" s="50">
        <v>710293.294063733</v>
      </c>
      <c r="L223" s="56">
        <v>-0.028387461520786438</v>
      </c>
      <c r="M223" s="56">
        <v>0.9523806125328868</v>
      </c>
      <c r="N223" s="51">
        <v>0.00988427336090858</v>
      </c>
      <c r="O223" s="7">
        <v>-0.28325807137981096</v>
      </c>
      <c r="P223" s="52">
        <v>57.72776385277226</v>
      </c>
      <c r="Q223" s="34">
        <v>4540.013280945274</v>
      </c>
      <c r="R223" s="13">
        <v>5041.881401218479</v>
      </c>
      <c r="S223" s="56">
        <v>-0.09953985037250535</v>
      </c>
      <c r="T223" s="50">
        <v>291056.5389032249</v>
      </c>
      <c r="U223" s="50">
        <v>745808.2249014763</v>
      </c>
      <c r="V223" s="50">
        <v>454751.68599825137</v>
      </c>
    </row>
    <row r="224">
      <c r="A224" s="54">
        <v>45432.959997349535</v>
      </c>
      <c r="B224" s="47">
        <v>14.386842372596202</v>
      </c>
      <c r="C224" s="7">
        <v>0.14145378308389</v>
      </c>
      <c r="D224" s="48">
        <v>1.5922238509182347</v>
      </c>
      <c r="E224" s="49">
        <v>166.565738371772</v>
      </c>
      <c r="F224" s="7">
        <v>0.17435710900700707</v>
      </c>
      <c r="G224" s="48">
        <v>1.8853661956589542</v>
      </c>
      <c r="H224" s="50">
        <v>35415.724592767256</v>
      </c>
      <c r="I224" s="56">
        <v>0.006639889251801731</v>
      </c>
      <c r="J224" s="56">
        <v>0.046940344097152246</v>
      </c>
      <c r="K224" s="50">
        <v>719067.9775178834</v>
      </c>
      <c r="L224" s="56">
        <v>0.13481389383208828</v>
      </c>
      <c r="M224" s="56">
        <v>0.9530596559028477</v>
      </c>
      <c r="N224" s="51">
        <v>-0.032903325923117066</v>
      </c>
      <c r="O224" s="7">
        <v>-0.29314234474071954</v>
      </c>
      <c r="P224" s="52">
        <v>57.72776385277226</v>
      </c>
      <c r="Q224" s="34">
        <v>4529.645228880477</v>
      </c>
      <c r="R224" s="13">
        <v>5041.881401218479</v>
      </c>
      <c r="S224" s="56">
        <v>-0.10159623592379816</v>
      </c>
      <c r="T224" s="50">
        <v>291056.5389032249</v>
      </c>
      <c r="U224" s="50">
        <v>754483.7021106507</v>
      </c>
      <c r="V224" s="50">
        <v>463427.1632074258</v>
      </c>
    </row>
    <row r="225">
      <c r="A225" s="54">
        <v>45431.9599862037</v>
      </c>
      <c r="B225" s="47">
        <v>13.601773876480612</v>
      </c>
      <c r="C225" s="7">
        <v>-0.03574838868178043</v>
      </c>
      <c r="D225" s="48">
        <v>1.4507700678343447</v>
      </c>
      <c r="E225" s="49">
        <v>156.50049235696343</v>
      </c>
      <c r="F225" s="7">
        <v>-0.0347381217841396</v>
      </c>
      <c r="G225" s="48">
        <v>1.7110090866519472</v>
      </c>
      <c r="H225" s="50">
        <v>33646.32506143769</v>
      </c>
      <c r="I225" s="56">
        <v>-0.0016862197802797543</v>
      </c>
      <c r="J225" s="56">
        <v>0.04716911285960017</v>
      </c>
      <c r="K225" s="50">
        <v>679666.3285300485</v>
      </c>
      <c r="L225" s="56">
        <v>-0.034062168901500676</v>
      </c>
      <c r="M225" s="56">
        <v>0.9528308871403999</v>
      </c>
      <c r="N225" s="51">
        <v>-0.0010102668976408324</v>
      </c>
      <c r="O225" s="7">
        <v>-0.2602390188176025</v>
      </c>
      <c r="P225" s="52">
        <v>57.72776385277226</v>
      </c>
      <c r="Q225" s="34">
        <v>4557.893990291639</v>
      </c>
      <c r="R225" s="13">
        <v>5041.881401218479</v>
      </c>
      <c r="S225" s="56">
        <v>-0.09599341444443225</v>
      </c>
      <c r="T225" s="50">
        <v>291056.5389032249</v>
      </c>
      <c r="U225" s="50">
        <v>713312.6535914862</v>
      </c>
      <c r="V225" s="50">
        <v>422256.11468826124</v>
      </c>
    </row>
    <row r="226">
      <c r="A226" s="54">
        <v>45430.95996945602</v>
      </c>
      <c r="B226" s="47">
        <v>13.800177433664494</v>
      </c>
      <c r="C226" s="7">
        <v>0.07073029688943411</v>
      </c>
      <c r="D226" s="48">
        <v>1.4865184565161251</v>
      </c>
      <c r="E226" s="49">
        <v>158.50584644800708</v>
      </c>
      <c r="F226" s="7">
        <v>0.07638106626340946</v>
      </c>
      <c r="G226" s="48">
        <v>1.7457472084360868</v>
      </c>
      <c r="H226" s="50">
        <v>33945.353790340094</v>
      </c>
      <c r="I226" s="56">
        <v>0.0033175446192780225</v>
      </c>
      <c r="J226" s="56">
        <v>0.04690415232476716</v>
      </c>
      <c r="K226" s="50">
        <v>689772.1020822322</v>
      </c>
      <c r="L226" s="56">
        <v>0.06741275227015608</v>
      </c>
      <c r="M226" s="56">
        <v>0.9530958476752328</v>
      </c>
      <c r="N226" s="51">
        <v>-0.005650769373975351</v>
      </c>
      <c r="O226" s="7">
        <v>-0.25922875191996164</v>
      </c>
      <c r="P226" s="52">
        <v>57.72776385277226</v>
      </c>
      <c r="Q226" s="34">
        <v>4565.872313801153</v>
      </c>
      <c r="R226" s="13">
        <v>5041.881401218479</v>
      </c>
      <c r="S226" s="56">
        <v>-0.09441100445208582</v>
      </c>
      <c r="T226" s="50">
        <v>291056.5389032249</v>
      </c>
      <c r="U226" s="50">
        <v>723717.4558725724</v>
      </c>
      <c r="V226" s="50">
        <v>432660.91696934745</v>
      </c>
    </row>
    <row r="227">
      <c r="A227" s="54">
        <v>45429.95999880787</v>
      </c>
      <c r="B227" s="47">
        <v>13.407624285928135</v>
      </c>
      <c r="C227" s="7">
        <v>0.1345686731006781</v>
      </c>
      <c r="D227" s="48">
        <v>1.415788159626691</v>
      </c>
      <c r="E227" s="49">
        <v>154.09653829193002</v>
      </c>
      <c r="F227" s="7">
        <v>0.13566988846618955</v>
      </c>
      <c r="G227" s="48">
        <v>1.6693661421726773</v>
      </c>
      <c r="H227" s="50">
        <v>33859.11180112759</v>
      </c>
      <c r="I227" s="56">
        <v>0.006480124092443287</v>
      </c>
      <c r="J227" s="56">
        <v>0.048154774384935456</v>
      </c>
      <c r="K227" s="50">
        <v>669271.8286632085</v>
      </c>
      <c r="L227" s="56">
        <v>0.12808854900823483</v>
      </c>
      <c r="M227" s="56">
        <v>0.9518452256150646</v>
      </c>
      <c r="N227" s="51">
        <v>-0.0011012153655114432</v>
      </c>
      <c r="O227" s="7">
        <v>-0.2535779825459863</v>
      </c>
      <c r="P227" s="52">
        <v>57.72776385277226</v>
      </c>
      <c r="Q227" s="34">
        <v>4562.924957679979</v>
      </c>
      <c r="R227" s="13">
        <v>5041.881401218479</v>
      </c>
      <c r="S227" s="56">
        <v>-0.09499557911511958</v>
      </c>
      <c r="T227" s="50">
        <v>291056.5389032249</v>
      </c>
      <c r="U227" s="50">
        <v>703130.9404643361</v>
      </c>
      <c r="V227" s="50">
        <v>412074.40156111115</v>
      </c>
    </row>
    <row r="228">
      <c r="A228" s="54">
        <v>45428.95996759259</v>
      </c>
      <c r="B228" s="47">
        <v>12.660768150219372</v>
      </c>
      <c r="C228" s="7">
        <v>0.04027428640283848</v>
      </c>
      <c r="D228" s="48">
        <v>1.281219486526013</v>
      </c>
      <c r="E228" s="49">
        <v>146.26461900862188</v>
      </c>
      <c r="F228" s="7">
        <v>0.055213828220605166</v>
      </c>
      <c r="G228" s="48">
        <v>1.5336962537064878</v>
      </c>
      <c r="H228" s="50">
        <v>33166.73404804207</v>
      </c>
      <c r="I228" s="56">
        <v>0.002011806139242141</v>
      </c>
      <c r="J228" s="56">
        <v>0.04995262036723143</v>
      </c>
      <c r="K228" s="50">
        <v>630797.1141788112</v>
      </c>
      <c r="L228" s="56">
        <v>0.038262480263596334</v>
      </c>
      <c r="M228" s="56">
        <v>0.9500473796327685</v>
      </c>
      <c r="N228" s="51">
        <v>-0.014939541817766688</v>
      </c>
      <c r="O228" s="7">
        <v>-0.25247676718047485</v>
      </c>
      <c r="P228" s="52">
        <v>57.72776385277226</v>
      </c>
      <c r="Q228" s="34">
        <v>4539.469987527978</v>
      </c>
      <c r="R228" s="13">
        <v>5041.881401218479</v>
      </c>
      <c r="S228" s="56">
        <v>-0.09964760646077124</v>
      </c>
      <c r="T228" s="50">
        <v>291056.5389032249</v>
      </c>
      <c r="U228" s="50">
        <v>663963.8482268533</v>
      </c>
      <c r="V228" s="50">
        <v>372907.3093236284</v>
      </c>
    </row>
    <row r="229">
      <c r="A229" s="54">
        <v>45427.95998299769</v>
      </c>
      <c r="B229" s="47">
        <v>12.437245860683618</v>
      </c>
      <c r="C229" s="7">
        <v>0.14641557777536418</v>
      </c>
      <c r="D229" s="48">
        <v>1.2409452001231744</v>
      </c>
      <c r="E229" s="49">
        <v>143.07724817169526</v>
      </c>
      <c r="F229" s="7">
        <v>0.18435267794138088</v>
      </c>
      <c r="G229" s="48">
        <v>1.4784824254858826</v>
      </c>
      <c r="H229" s="50">
        <v>33282.899850002206</v>
      </c>
      <c r="I229" s="56">
        <v>0.007471363161036063</v>
      </c>
      <c r="J229" s="56">
        <v>0.051028471659613196</v>
      </c>
      <c r="K229" s="50">
        <v>618958.8539696436</v>
      </c>
      <c r="L229" s="56">
        <v>0.1389442146143281</v>
      </c>
      <c r="M229" s="56">
        <v>0.9489715283403867</v>
      </c>
      <c r="N229" s="51">
        <v>-0.0379371001660167</v>
      </c>
      <c r="O229" s="7">
        <v>-0.23753722536270816</v>
      </c>
      <c r="P229" s="52">
        <v>57.72776385277226</v>
      </c>
      <c r="Q229" s="34">
        <v>4558.668566486155</v>
      </c>
      <c r="R229" s="13">
        <v>5041.881401218479</v>
      </c>
      <c r="S229" s="56">
        <v>-0.09583978604009713</v>
      </c>
      <c r="T229" s="50">
        <v>291056.5389032249</v>
      </c>
      <c r="U229" s="50">
        <v>652241.7538196458</v>
      </c>
      <c r="V229" s="50">
        <v>361185.2149164209</v>
      </c>
    </row>
    <row r="230">
      <c r="A230" s="54">
        <v>45426.959953032405</v>
      </c>
      <c r="B230" s="47">
        <v>11.624639404030347</v>
      </c>
      <c r="C230" s="7">
        <v>-0.06744058025651523</v>
      </c>
      <c r="D230" s="48">
        <v>1.0945296223478103</v>
      </c>
      <c r="E230" s="49">
        <v>132.43498031386903</v>
      </c>
      <c r="F230" s="7">
        <v>-0.0643155280381853</v>
      </c>
      <c r="G230" s="48">
        <v>1.2941297475445017</v>
      </c>
      <c r="H230" s="50">
        <v>31389.673336521268</v>
      </c>
      <c r="I230" s="56">
        <v>-0.0034725157719651665</v>
      </c>
      <c r="J230" s="56">
        <v>0.05149000436765515</v>
      </c>
      <c r="K230" s="50">
        <v>578236.8691743112</v>
      </c>
      <c r="L230" s="56">
        <v>-0.06396806448455006</v>
      </c>
      <c r="M230" s="56">
        <v>0.9485099956323448</v>
      </c>
      <c r="N230" s="51">
        <v>-0.0031250522183299267</v>
      </c>
      <c r="O230" s="7">
        <v>-0.19960012519669146</v>
      </c>
      <c r="P230" s="52">
        <v>57.72776385277226</v>
      </c>
      <c r="Q230" s="34">
        <v>4603.213902142969</v>
      </c>
      <c r="R230" s="13">
        <v>5041.881401218479</v>
      </c>
      <c r="S230" s="56">
        <v>-0.08700472386547937</v>
      </c>
      <c r="T230" s="50">
        <v>291056.5389032249</v>
      </c>
      <c r="U230" s="50">
        <v>609626.5425108324</v>
      </c>
      <c r="V230" s="50">
        <v>318570.0036076075</v>
      </c>
    </row>
    <row r="231">
      <c r="A231" s="54">
        <v>45425.95996118056</v>
      </c>
      <c r="B231" s="47">
        <v>11.998934624454007</v>
      </c>
      <c r="C231" s="7">
        <v>0.04015724880560523</v>
      </c>
      <c r="D231" s="48">
        <v>1.1619702026043255</v>
      </c>
      <c r="E231" s="49">
        <v>136.14777192852375</v>
      </c>
      <c r="F231" s="7">
        <v>0.04699029530342047</v>
      </c>
      <c r="G231" s="48">
        <v>1.358445275582687</v>
      </c>
      <c r="H231" s="50">
        <v>31922.97725931601</v>
      </c>
      <c r="I231" s="56">
        <v>0.0020372309964031936</v>
      </c>
      <c r="J231" s="56">
        <v>0.050731338849060614</v>
      </c>
      <c r="K231" s="50">
        <v>597332.587122603</v>
      </c>
      <c r="L231" s="56">
        <v>0.03812001780920203</v>
      </c>
      <c r="M231" s="56">
        <v>0.9492686611509393</v>
      </c>
      <c r="N231" s="51">
        <v>-0.006833046497815243</v>
      </c>
      <c r="O231" s="7">
        <v>-0.19647507297836153</v>
      </c>
      <c r="P231" s="52">
        <v>57.72776385277226</v>
      </c>
      <c r="Q231" s="34">
        <v>4621.857232539009</v>
      </c>
      <c r="R231" s="13">
        <v>5041.881401218479</v>
      </c>
      <c r="S231" s="56">
        <v>-0.08330703070047676</v>
      </c>
      <c r="T231" s="50">
        <v>291056.5389032249</v>
      </c>
      <c r="U231" s="50">
        <v>629255.564381919</v>
      </c>
      <c r="V231" s="50">
        <v>338199.02547869406</v>
      </c>
    </row>
    <row r="232">
      <c r="A232" s="54">
        <v>45424.959968483796</v>
      </c>
      <c r="B232" s="47">
        <v>11.776061893582897</v>
      </c>
      <c r="C232" s="7">
        <v>-0.020271919772165248</v>
      </c>
      <c r="D232" s="48">
        <v>1.1218129537987203</v>
      </c>
      <c r="E232" s="49">
        <v>133.43512725787588</v>
      </c>
      <c r="F232" s="7">
        <v>-0.027100569079105075</v>
      </c>
      <c r="G232" s="48">
        <v>1.3114549802792665</v>
      </c>
      <c r="H232" s="50">
        <v>31348.77195810029</v>
      </c>
      <c r="I232" s="56">
        <v>-0.0010290369142727013</v>
      </c>
      <c r="J232" s="56">
        <v>0.050761690349901654</v>
      </c>
      <c r="K232" s="50">
        <v>586218.7625745835</v>
      </c>
      <c r="L232" s="56">
        <v>-0.019242882857892548</v>
      </c>
      <c r="M232" s="56">
        <v>0.9492383096500984</v>
      </c>
      <c r="N232" s="51">
        <v>0.006828649306939827</v>
      </c>
      <c r="O232" s="7">
        <v>-0.1896420264805463</v>
      </c>
      <c r="P232" s="52">
        <v>57.72776385277226</v>
      </c>
      <c r="Q232" s="34">
        <v>4628.223071569278</v>
      </c>
      <c r="R232" s="13">
        <v>5041.881401218479</v>
      </c>
      <c r="S232" s="56">
        <v>-0.08204443871869582</v>
      </c>
      <c r="T232" s="50">
        <v>291056.5389032249</v>
      </c>
      <c r="U232" s="50">
        <v>617567.5345326838</v>
      </c>
      <c r="V232" s="50">
        <v>326510.99562945886</v>
      </c>
    </row>
    <row r="233">
      <c r="A233" s="54">
        <v>45423.959967048606</v>
      </c>
      <c r="B233" s="47">
        <v>11.888571048318415</v>
      </c>
      <c r="C233" s="7">
        <v>-0.006551818965664591</v>
      </c>
      <c r="D233" s="48">
        <v>1.1420848735708855</v>
      </c>
      <c r="E233" s="49">
        <v>134.9995825099502</v>
      </c>
      <c r="F233" s="7">
        <v>-0.01600101686858313</v>
      </c>
      <c r="G233" s="48">
        <v>1.3385555493583716</v>
      </c>
      <c r="H233" s="50">
        <v>31222.893212359046</v>
      </c>
      <c r="I233" s="56">
        <v>-3.281111564183268E-4</v>
      </c>
      <c r="J233" s="56">
        <v>0.05007939903984275</v>
      </c>
      <c r="K233" s="50">
        <v>592244.916126135</v>
      </c>
      <c r="L233" s="56">
        <v>-0.006223707809246264</v>
      </c>
      <c r="M233" s="56">
        <v>0.9499206009601573</v>
      </c>
      <c r="N233" s="51">
        <v>0.009449197902918538</v>
      </c>
      <c r="O233" s="7">
        <v>-0.19647067578748612</v>
      </c>
      <c r="P233" s="52">
        <v>57.72776385277226</v>
      </c>
      <c r="Q233" s="34">
        <v>4618.29435133654</v>
      </c>
      <c r="R233" s="13">
        <v>5041.881401218479</v>
      </c>
      <c r="S233" s="56">
        <v>-0.08401368778320936</v>
      </c>
      <c r="T233" s="50">
        <v>291056.5389032249</v>
      </c>
      <c r="U233" s="50">
        <v>623467.8093384941</v>
      </c>
      <c r="V233" s="50">
        <v>332411.27043526917</v>
      </c>
    </row>
    <row r="234">
      <c r="A234" s="54">
        <v>45422.95997858796</v>
      </c>
      <c r="B234" s="47">
        <v>11.924933643577853</v>
      </c>
      <c r="C234" s="7">
        <v>-0.0626440444307641</v>
      </c>
      <c r="D234" s="48">
        <v>1.14863669253655</v>
      </c>
      <c r="E234" s="49">
        <v>135.92328543314397</v>
      </c>
      <c r="F234" s="7">
        <v>-0.05906508832458579</v>
      </c>
      <c r="G234" s="48">
        <v>1.3545565662269548</v>
      </c>
      <c r="H234" s="50">
        <v>31044.831441005572</v>
      </c>
      <c r="I234" s="56">
        <v>-0.0031097734148486083</v>
      </c>
      <c r="J234" s="56">
        <v>0.04964196426183201</v>
      </c>
      <c r="K234" s="50">
        <v>594329.9276491554</v>
      </c>
      <c r="L234" s="56">
        <v>-0.0595342710159155</v>
      </c>
      <c r="M234" s="56">
        <v>0.950358035738168</v>
      </c>
      <c r="N234" s="51">
        <v>-0.0035789561061783104</v>
      </c>
      <c r="O234" s="7">
        <v>-0.20591987369040465</v>
      </c>
      <c r="P234" s="52">
        <v>57.72776385277226</v>
      </c>
      <c r="Q234" s="34">
        <v>4600.939103975393</v>
      </c>
      <c r="R234" s="13">
        <v>5041.881401218479</v>
      </c>
      <c r="S234" s="56">
        <v>-0.08745590428535732</v>
      </c>
      <c r="T234" s="50">
        <v>291056.5389032249</v>
      </c>
      <c r="U234" s="50">
        <v>625374.759090161</v>
      </c>
      <c r="V234" s="50">
        <v>334318.220186936</v>
      </c>
    </row>
    <row r="235">
      <c r="A235" s="54">
        <v>45421.95996416667</v>
      </c>
      <c r="B235" s="47">
        <v>12.272608090168593</v>
      </c>
      <c r="C235" s="7">
        <v>0.13188083893515845</v>
      </c>
      <c r="D235" s="48">
        <v>1.2112807369673142</v>
      </c>
      <c r="E235" s="49">
        <v>139.3329809038888</v>
      </c>
      <c r="F235" s="7">
        <v>0.1391916247684981</v>
      </c>
      <c r="G235" s="48">
        <v>1.4136216545515405</v>
      </c>
      <c r="H235" s="50">
        <v>31959.7792061404</v>
      </c>
      <c r="I235" s="56">
        <v>0.006548837711269928</v>
      </c>
      <c r="J235" s="56">
        <v>0.04965723424378412</v>
      </c>
      <c r="K235" s="50">
        <v>611647.9386389385</v>
      </c>
      <c r="L235" s="56">
        <v>0.12533200122388852</v>
      </c>
      <c r="M235" s="56">
        <v>0.9503427657562158</v>
      </c>
      <c r="N235" s="51">
        <v>-0.007310785833339661</v>
      </c>
      <c r="O235" s="7">
        <v>-0.20234091758422634</v>
      </c>
      <c r="P235" s="52">
        <v>57.72776385277226</v>
      </c>
      <c r="Q235" s="34">
        <v>4619.20583102314</v>
      </c>
      <c r="R235" s="13">
        <v>5041.881401218479</v>
      </c>
      <c r="S235" s="56">
        <v>-0.08383290612373213</v>
      </c>
      <c r="T235" s="50">
        <v>291056.5389032249</v>
      </c>
      <c r="U235" s="50">
        <v>643607.7178450789</v>
      </c>
      <c r="V235" s="50">
        <v>352551.178941854</v>
      </c>
    </row>
    <row r="236">
      <c r="A236" s="54">
        <v>45420.95997725695</v>
      </c>
      <c r="B236" s="47">
        <v>11.540669434078463</v>
      </c>
      <c r="C236" s="7">
        <v>-0.15526176674328607</v>
      </c>
      <c r="D236" s="48">
        <v>1.0793998980321557</v>
      </c>
      <c r="E236" s="49">
        <v>131.29775965896926</v>
      </c>
      <c r="F236" s="7">
        <v>-0.16630746724393752</v>
      </c>
      <c r="G236" s="48">
        <v>1.2744300297830424</v>
      </c>
      <c r="H236" s="50">
        <v>31622.734381928793</v>
      </c>
      <c r="I236" s="56">
        <v>-0.008112385216524989</v>
      </c>
      <c r="J236" s="56">
        <v>0.05224972887200377</v>
      </c>
      <c r="K236" s="50">
        <v>573600.2029350293</v>
      </c>
      <c r="L236" s="56">
        <v>-0.14714938152676107</v>
      </c>
      <c r="M236" s="56">
        <v>0.9477502711279963</v>
      </c>
      <c r="N236" s="51">
        <v>0.011045700500651456</v>
      </c>
      <c r="O236" s="7">
        <v>-0.19503013175088668</v>
      </c>
      <c r="P236" s="52">
        <v>57.72776385277226</v>
      </c>
      <c r="Q236" s="34">
        <v>4609.545043944045</v>
      </c>
      <c r="R236" s="13">
        <v>5041.881401218479</v>
      </c>
      <c r="S236" s="56">
        <v>-0.08574901368563555</v>
      </c>
      <c r="T236" s="50">
        <v>291056.5389032249</v>
      </c>
      <c r="U236" s="50">
        <v>605222.9373169581</v>
      </c>
      <c r="V236" s="50">
        <v>314166.3984137332</v>
      </c>
    </row>
    <row r="237">
      <c r="A237" s="54">
        <v>45419.95995761574</v>
      </c>
      <c r="B237" s="47">
        <v>12.402372239503702</v>
      </c>
      <c r="C237" s="7">
        <v>-0.06983105317462579</v>
      </c>
      <c r="D237" s="48">
        <v>1.2346616647754418</v>
      </c>
      <c r="E237" s="49">
        <v>140.2457057297237</v>
      </c>
      <c r="F237" s="7">
        <v>-0.07237152968814664</v>
      </c>
      <c r="G237" s="48">
        <v>1.44073749702698</v>
      </c>
      <c r="H237" s="50">
        <v>26944.966222009614</v>
      </c>
      <c r="I237" s="56">
        <v>-0.0029159024342025087</v>
      </c>
      <c r="J237" s="56">
        <v>0.041756529532939186</v>
      </c>
      <c r="K237" s="50">
        <v>618342.5258995368</v>
      </c>
      <c r="L237" s="56">
        <v>-0.06691515074042328</v>
      </c>
      <c r="M237" s="56">
        <v>0.9582434704670608</v>
      </c>
      <c r="N237" s="51">
        <v>0.0025404765135208507</v>
      </c>
      <c r="O237" s="7">
        <v>-0.20607583225153814</v>
      </c>
      <c r="P237" s="52">
        <v>57.46038068434421</v>
      </c>
      <c r="Q237" s="34">
        <v>4601.121216253996</v>
      </c>
      <c r="R237" s="13">
        <v>5025.427006645327</v>
      </c>
      <c r="S237" s="56">
        <v>-0.08443178854856602</v>
      </c>
      <c r="T237" s="50">
        <v>288762.9489032249</v>
      </c>
      <c r="U237" s="50">
        <v>645287.4921215464</v>
      </c>
      <c r="V237" s="50">
        <v>356524.5432183215</v>
      </c>
    </row>
    <row r="238">
      <c r="A238" s="54">
        <v>45418.95997149305</v>
      </c>
      <c r="B238" s="47">
        <v>12.789934584622875</v>
      </c>
      <c r="C238" s="7">
        <v>0.1655887372788416</v>
      </c>
      <c r="D238" s="48">
        <v>1.3044927179500676</v>
      </c>
      <c r="E238" s="49">
        <v>144.40420137631293</v>
      </c>
      <c r="F238" s="7">
        <v>0.1579633612827207</v>
      </c>
      <c r="G238" s="48">
        <v>1.5131090267151266</v>
      </c>
      <c r="H238" s="50">
        <v>27207.59542521673</v>
      </c>
      <c r="I238" s="56">
        <v>-0.031069690410829565</v>
      </c>
      <c r="J238" s="56">
        <v>0.040885880283921004</v>
      </c>
      <c r="K238" s="50">
        <v>638244.5175360525</v>
      </c>
      <c r="L238" s="56">
        <v>-0.7288427829191918</v>
      </c>
      <c r="M238" s="56">
        <v>0.9591141197160791</v>
      </c>
      <c r="N238" s="51">
        <v>0.007625375996120898</v>
      </c>
      <c r="O238" s="7">
        <v>-0.208616308765059</v>
      </c>
      <c r="P238" s="52">
        <v>57.46038068434421</v>
      </c>
      <c r="Q238" s="34">
        <v>4608.260054893565</v>
      </c>
      <c r="R238" s="13">
        <v>5025.427006645327</v>
      </c>
      <c r="S238" s="56">
        <v>-0.0830112448554372</v>
      </c>
      <c r="T238" s="50">
        <v>288762.9489032249</v>
      </c>
      <c r="U238" s="50">
        <v>665452.1129612692</v>
      </c>
      <c r="V238" s="50">
        <v>376689.1640580443</v>
      </c>
    </row>
    <row r="239">
      <c r="A239" s="54">
        <v>45417.959960196764</v>
      </c>
      <c r="B239" s="47">
        <v>11.870917092725303</v>
      </c>
      <c r="C239" s="7">
        <v>-0.02674980144924266</v>
      </c>
      <c r="D239" s="48">
        <v>1.138903980671226</v>
      </c>
      <c r="E239" s="49">
        <v>135.3275665028292</v>
      </c>
      <c r="F239" s="7">
        <v>-0.014681334049211792</v>
      </c>
      <c r="G239" s="48">
        <v>1.3551456654324059</v>
      </c>
      <c r="H239" s="50">
        <v>26808.9973629784</v>
      </c>
      <c r="I239" s="7">
        <v>-0.0011610966654316242</v>
      </c>
      <c r="J239" s="7">
        <v>0.04340580499764783</v>
      </c>
      <c r="K239" s="50">
        <v>590827.2235164911</v>
      </c>
      <c r="L239" s="7">
        <v>-0.025588704783811037</v>
      </c>
      <c r="M239" s="7">
        <v>0.9565941950023522</v>
      </c>
      <c r="N239" s="51">
        <v>-0.012068467400030869</v>
      </c>
      <c r="O239" s="7">
        <v>-0.2162416847611799</v>
      </c>
      <c r="P239" s="52">
        <v>57.46038068434421</v>
      </c>
      <c r="Q239" s="34">
        <v>4564.008921763601</v>
      </c>
      <c r="R239" s="13">
        <v>5025.427006645327</v>
      </c>
      <c r="S239" s="7">
        <v>-0.09181669224755905</v>
      </c>
      <c r="T239" s="52">
        <v>288762.9489032249</v>
      </c>
      <c r="U239" s="52">
        <v>617636.2208794695</v>
      </c>
      <c r="V239" s="52">
        <v>328873.27197624464</v>
      </c>
    </row>
    <row r="240">
      <c r="A240" s="54">
        <v>45416.959963518515</v>
      </c>
      <c r="B240" s="47">
        <v>12.0193784907686</v>
      </c>
      <c r="C240" s="7">
        <v>0.04649245743056163</v>
      </c>
      <c r="D240" s="48">
        <v>1.1656537821204687</v>
      </c>
      <c r="E240" s="49">
        <v>136.17116154625094</v>
      </c>
      <c r="F240" s="7">
        <v>0.05410745224067659</v>
      </c>
      <c r="G240" s="48">
        <v>1.3698269994816177</v>
      </c>
      <c r="H240" s="50">
        <v>27311.854631721682</v>
      </c>
      <c r="I240" s="56">
        <v>0.0020305009538479184</v>
      </c>
      <c r="J240" s="56">
        <v>0.0436737713182951</v>
      </c>
      <c r="K240" s="50">
        <v>598048.717796807</v>
      </c>
      <c r="L240" s="56">
        <v>0.04446195647671371</v>
      </c>
      <c r="M240" s="56">
        <v>0.9563262286817048</v>
      </c>
      <c r="N240" s="51">
        <v>-0.007614994810114961</v>
      </c>
      <c r="O240" s="7">
        <v>-0.20417321736114902</v>
      </c>
      <c r="P240" s="52">
        <v>57.46038068434421</v>
      </c>
      <c r="Q240" s="34">
        <v>4592.459705325515</v>
      </c>
      <c r="R240" s="13">
        <v>5025.427006645327</v>
      </c>
      <c r="S240" s="56">
        <v>-0.08615532585535164</v>
      </c>
      <c r="T240" s="50">
        <v>288762.9489032249</v>
      </c>
      <c r="U240" s="50">
        <v>625360.5724285287</v>
      </c>
      <c r="V240" s="50">
        <v>336597.6235253038</v>
      </c>
    </row>
    <row r="241">
      <c r="A241" s="54">
        <v>45415.95997053241</v>
      </c>
      <c r="B241" s="47">
        <v>11.761345352028984</v>
      </c>
      <c r="C241" s="7">
        <v>0.10405001391474133</v>
      </c>
      <c r="D241" s="48">
        <v>1.119161324689907</v>
      </c>
      <c r="E241" s="49">
        <v>133.06212674264168</v>
      </c>
      <c r="F241" s="7">
        <v>0.09120421485964947</v>
      </c>
      <c r="G241" s="48">
        <v>1.315719547240941</v>
      </c>
      <c r="H241" s="50">
        <v>26767.090424983366</v>
      </c>
      <c r="I241" s="56">
        <v>0.004551324711305261</v>
      </c>
      <c r="J241" s="56">
        <v>0.043741702091790395</v>
      </c>
      <c r="K241" s="50">
        <v>585168.1828941386</v>
      </c>
      <c r="L241" s="56">
        <v>0.09949868920343606</v>
      </c>
      <c r="M241" s="56">
        <v>0.9562582979082095</v>
      </c>
      <c r="N241" s="51">
        <v>0.012845799055091867</v>
      </c>
      <c r="O241" s="7">
        <v>-0.19655822255103406</v>
      </c>
      <c r="P241" s="52">
        <v>57.46038068434421</v>
      </c>
      <c r="Q241" s="34">
        <v>4598.868876511189</v>
      </c>
      <c r="R241" s="13">
        <v>5025.427006645327</v>
      </c>
      <c r="S241" s="56">
        <v>-0.08487997727756921</v>
      </c>
      <c r="T241" s="50">
        <v>288762.9489032249</v>
      </c>
      <c r="U241" s="50">
        <v>611935.273319122</v>
      </c>
      <c r="V241" s="50">
        <v>323172.32441589714</v>
      </c>
    </row>
    <row r="242">
      <c r="A242" s="54">
        <v>45414.9599652662</v>
      </c>
      <c r="B242" s="47">
        <v>11.183867774802168</v>
      </c>
      <c r="C242" s="7">
        <v>0.07102405489524699</v>
      </c>
      <c r="D242" s="48">
        <v>1.0151113107751657</v>
      </c>
      <c r="E242" s="49">
        <v>127.8214978367895</v>
      </c>
      <c r="F242" s="7">
        <v>0.05689534770933946</v>
      </c>
      <c r="G242" s="48">
        <v>1.2245153323812916</v>
      </c>
      <c r="H242" s="50">
        <v>25420.231859659907</v>
      </c>
      <c r="I242" s="56">
        <v>0.003102733407705485</v>
      </c>
      <c r="J242" s="56">
        <v>0.0436856697675413</v>
      </c>
      <c r="K242" s="50">
        <v>556469.2526080199</v>
      </c>
      <c r="L242" s="56">
        <v>0.0679213214875415</v>
      </c>
      <c r="M242" s="56">
        <v>0.9563143302324587</v>
      </c>
      <c r="N242" s="51">
        <v>0.01412870718590753</v>
      </c>
      <c r="O242" s="7">
        <v>-0.20940402160612592</v>
      </c>
      <c r="P242" s="52">
        <v>57.46038068434421</v>
      </c>
      <c r="Q242" s="34">
        <v>4552.360082735634</v>
      </c>
      <c r="R242" s="13">
        <v>5025.427006645327</v>
      </c>
      <c r="S242" s="56">
        <v>-0.09413467219484783</v>
      </c>
      <c r="T242" s="50">
        <v>288762.9489032249</v>
      </c>
      <c r="U242" s="50">
        <v>581889.4844676798</v>
      </c>
      <c r="V242" s="50">
        <v>293126.53556445485</v>
      </c>
    </row>
    <row r="243">
      <c r="A243" s="54">
        <v>45413.95997810185</v>
      </c>
      <c r="B243" s="47">
        <v>10.789684270133549</v>
      </c>
      <c r="C243" s="7">
        <v>0.10906016426508591</v>
      </c>
      <c r="D243" s="48">
        <v>0.9440872558799187</v>
      </c>
      <c r="E243" s="49">
        <v>124.55226949824274</v>
      </c>
      <c r="F243" s="7">
        <v>0.1205945195392486</v>
      </c>
      <c r="G243" s="48">
        <v>1.1676199846719522</v>
      </c>
      <c r="H243" s="50">
        <v>24871.92610233123</v>
      </c>
      <c r="I243" s="56">
        <v>0.004831904527521432</v>
      </c>
      <c r="J243" s="56">
        <v>0.04430494452380261</v>
      </c>
      <c r="K243" s="50">
        <v>536508.4428307324</v>
      </c>
      <c r="L243" s="56">
        <v>0.10422825973756449</v>
      </c>
      <c r="M243" s="56">
        <v>0.9556950554761974</v>
      </c>
      <c r="N243" s="51">
        <v>-0.011534355274162689</v>
      </c>
      <c r="O243" s="7">
        <v>-0.22353272879203345</v>
      </c>
      <c r="P243" s="52">
        <v>57.46038068434421</v>
      </c>
      <c r="Q243" s="34">
        <v>4507.186992212808</v>
      </c>
      <c r="R243" s="13">
        <v>5025.427006645327</v>
      </c>
      <c r="S243" s="56">
        <v>-0.10312357810534893</v>
      </c>
      <c r="T243" s="50">
        <v>288762.9489032249</v>
      </c>
      <c r="U243" s="50">
        <v>561380.3689330637</v>
      </c>
      <c r="V243" s="50">
        <v>272617.4200298388</v>
      </c>
    </row>
    <row r="244">
      <c r="A244" s="54">
        <v>45412.959974513884</v>
      </c>
      <c r="B244" s="47">
        <v>10.184400358462321</v>
      </c>
      <c r="C244" s="7">
        <v>-0.1401684290762335</v>
      </c>
      <c r="D244" s="48">
        <v>0.8350270916148328</v>
      </c>
      <c r="E244" s="49">
        <v>117.6228624970719</v>
      </c>
      <c r="F244" s="7">
        <v>-0.14119498351818027</v>
      </c>
      <c r="G244" s="48">
        <v>1.0470254651327036</v>
      </c>
      <c r="H244" s="50">
        <v>25920.67344991792</v>
      </c>
      <c r="I244" s="56">
        <v>-0.0068566587925678515</v>
      </c>
      <c r="J244" s="56">
        <v>0.048917283569174595</v>
      </c>
      <c r="K244" s="50">
        <v>503967.16084208933</v>
      </c>
      <c r="L244" s="56">
        <v>-0.13331177028366564</v>
      </c>
      <c r="M244" s="56">
        <v>0.9510827164308254</v>
      </c>
      <c r="N244" s="51">
        <v>0.0010265544419467698</v>
      </c>
      <c r="O244" s="7">
        <v>-0.21199837351787076</v>
      </c>
      <c r="P244" s="52">
        <v>57.46038068434421</v>
      </c>
      <c r="Q244" s="34">
        <v>4504.9731237853375</v>
      </c>
      <c r="R244" s="13">
        <v>5025.427006645327</v>
      </c>
      <c r="S244" s="56">
        <v>-0.10356411150172361</v>
      </c>
      <c r="T244" s="50">
        <v>288762.9489032249</v>
      </c>
      <c r="U244" s="50">
        <v>529887.8342920073</v>
      </c>
      <c r="V244" s="50">
        <v>241124.88538878236</v>
      </c>
    </row>
    <row r="245">
      <c r="A245" s="54">
        <v>45411.959964375</v>
      </c>
      <c r="B245" s="47">
        <v>10.962335139835417</v>
      </c>
      <c r="C245" s="7">
        <v>-0.10888082008904276</v>
      </c>
      <c r="D245" s="48">
        <v>0.9751955206910663</v>
      </c>
      <c r="E245" s="49">
        <v>125.73598000074627</v>
      </c>
      <c r="F245" s="7">
        <v>-0.11046100237970569</v>
      </c>
      <c r="G245" s="48">
        <v>1.1882204486508838</v>
      </c>
      <c r="H245" s="50">
        <v>27062.296245927508</v>
      </c>
      <c r="I245" s="56">
        <v>-0.005166119726605012</v>
      </c>
      <c r="J245" s="56">
        <v>0.04744747258865389</v>
      </c>
      <c r="K245" s="50">
        <v>543300.9869692656</v>
      </c>
      <c r="L245" s="56">
        <v>-0.10371470036243777</v>
      </c>
      <c r="M245" s="56">
        <v>0.9525525274113462</v>
      </c>
      <c r="N245" s="51">
        <v>0.0015801822906629237</v>
      </c>
      <c r="O245" s="7">
        <v>-0.21302492795981753</v>
      </c>
      <c r="P245" s="52">
        <v>57.46038068434421</v>
      </c>
      <c r="Q245" s="34">
        <v>4536.1978584953</v>
      </c>
      <c r="R245" s="13">
        <v>5025.427006645327</v>
      </c>
      <c r="S245" s="56">
        <v>-0.09735076193587118</v>
      </c>
      <c r="T245" s="50">
        <v>288762.9489032249</v>
      </c>
      <c r="U245" s="50">
        <v>570363.2832151931</v>
      </c>
      <c r="V245" s="50">
        <v>281600.3343119682</v>
      </c>
    </row>
    <row r="246">
      <c r="A246" s="54">
        <v>45410.95996121528</v>
      </c>
      <c r="B246" s="47">
        <v>11.566623691329605</v>
      </c>
      <c r="C246" s="7">
        <v>0.42172490514913186</v>
      </c>
      <c r="D246" s="48">
        <v>1.084076340780109</v>
      </c>
      <c r="E246" s="49">
        <v>132.0831112482584</v>
      </c>
      <c r="F246" s="7">
        <v>0.24063884220960086</v>
      </c>
      <c r="G246" s="48">
        <v>1.2986814510305895</v>
      </c>
      <c r="H246" s="50">
        <v>27325.374152515666</v>
      </c>
      <c r="I246" s="56">
        <v>-7.025563953145928E-4</v>
      </c>
      <c r="J246" s="56">
        <v>0.045405767982170525</v>
      </c>
      <c r="K246" s="50">
        <v>574478.6557505908</v>
      </c>
      <c r="L246" s="56">
        <v>-0.014770288279187235</v>
      </c>
      <c r="M246" s="56">
        <v>0.9545942320178294</v>
      </c>
      <c r="N246" s="51">
        <v>0.181086062939531</v>
      </c>
      <c r="O246" s="7">
        <v>-0.21460511025048046</v>
      </c>
      <c r="P246" s="52">
        <v>57.46038068434421</v>
      </c>
      <c r="Q246" s="34">
        <v>4556.252682237159</v>
      </c>
      <c r="R246" s="13">
        <v>5025.427006645327</v>
      </c>
      <c r="S246" s="56">
        <v>-0.09336009134900572</v>
      </c>
      <c r="T246" s="50">
        <v>288762.9489032249</v>
      </c>
      <c r="U246" s="50">
        <v>601804.0299031065</v>
      </c>
      <c r="V246" s="50">
        <v>313041.0809998816</v>
      </c>
    </row>
    <row r="247">
      <c r="A247" s="54">
        <v>45409.959966932875</v>
      </c>
      <c r="B247" s="47">
        <v>9.226050467751923</v>
      </c>
      <c r="C247" s="7">
        <v>-0.42658840503333684</v>
      </c>
      <c r="D247" s="48">
        <v>0.6623514356309772</v>
      </c>
      <c r="E247" s="49">
        <v>118.2559117674549</v>
      </c>
      <c r="F247" s="7">
        <v>-0.2490015481379957</v>
      </c>
      <c r="G247" s="48">
        <v>1.0580426088209887</v>
      </c>
      <c r="H247" s="50">
        <v>0.0</v>
      </c>
      <c r="I247" s="7">
        <v>0.0</v>
      </c>
      <c r="J247" s="7">
        <v>0.0</v>
      </c>
      <c r="K247" s="50">
        <v>480025.5026663104</v>
      </c>
      <c r="L247" s="7">
        <v>-0.42658840503333684</v>
      </c>
      <c r="M247" s="7">
        <v>1.0</v>
      </c>
      <c r="N247" s="51">
        <v>-0.17758685689534115</v>
      </c>
      <c r="O247" s="7">
        <v>-0.39569117319001146</v>
      </c>
      <c r="P247" s="52">
        <v>57.46038068434421</v>
      </c>
      <c r="Q247" s="34">
        <v>4059.209349383392</v>
      </c>
      <c r="R247" s="13">
        <v>5025.427006645327</v>
      </c>
      <c r="S247" s="7">
        <v>-0.19226578278507805</v>
      </c>
      <c r="T247" s="52">
        <v>288762.9489032249</v>
      </c>
      <c r="U247" s="52">
        <v>480025.5026663104</v>
      </c>
      <c r="V247" s="52">
        <v>191262.5537630855</v>
      </c>
    </row>
    <row r="248">
      <c r="A248" s="54">
        <v>45408.95996168982</v>
      </c>
      <c r="B248" s="47">
        <v>11.593616115686942</v>
      </c>
      <c r="C248" s="7">
        <v>-0.07652394702478382</v>
      </c>
      <c r="D248" s="48">
        <v>1.088939840664314</v>
      </c>
      <c r="E248" s="49">
        <v>132.5636355144552</v>
      </c>
      <c r="F248" s="7">
        <v>-0.07981730606330784</v>
      </c>
      <c r="G248" s="48">
        <v>1.3070441569589843</v>
      </c>
      <c r="H248" s="50">
        <v>27380.835274581088</v>
      </c>
      <c r="I248" s="56">
        <v>-0.0034735747863390747</v>
      </c>
      <c r="J248" s="56">
        <v>0.04539199716415683</v>
      </c>
      <c r="K248" s="50">
        <v>575827.5931970789</v>
      </c>
      <c r="L248" s="56">
        <v>-0.07305037223844474</v>
      </c>
      <c r="M248" s="56">
        <v>0.9546080028358431</v>
      </c>
      <c r="N248" s="51">
        <v>0.003293359038524013</v>
      </c>
      <c r="O248" s="7">
        <v>-0.2181043162946703</v>
      </c>
      <c r="P248" s="52">
        <v>57.46038068434421</v>
      </c>
      <c r="Q248" s="34">
        <v>4550.331062743704</v>
      </c>
      <c r="R248" s="13">
        <v>5025.427006645327</v>
      </c>
      <c r="S248" s="56">
        <v>-0.09453842295856342</v>
      </c>
      <c r="T248" s="50">
        <v>288762.9489032249</v>
      </c>
      <c r="U248" s="50">
        <v>603208.42847166</v>
      </c>
      <c r="V248" s="50">
        <v>314445.4795684351</v>
      </c>
    </row>
    <row r="249">
      <c r="A249" s="54">
        <v>45407.95998542824</v>
      </c>
      <c r="B249" s="47">
        <v>12.018324021674493</v>
      </c>
      <c r="C249" s="7">
        <v>-0.02806521193342215</v>
      </c>
      <c r="D249" s="48">
        <v>1.1654637876890979</v>
      </c>
      <c r="E249" s="49">
        <v>137.14996830605168</v>
      </c>
      <c r="F249" s="7">
        <v>-0.05034544195209412</v>
      </c>
      <c r="G249" s="48">
        <v>1.3868614630222922</v>
      </c>
      <c r="H249" s="50">
        <v>27578.797642281424</v>
      </c>
      <c r="I249" s="56">
        <v>-0.0012378022293175767</v>
      </c>
      <c r="J249" s="56">
        <v>0.04410450319256308</v>
      </c>
      <c r="K249" s="50">
        <v>597726.9114339694</v>
      </c>
      <c r="L249" s="56">
        <v>-0.026827409704104577</v>
      </c>
      <c r="M249" s="56">
        <v>0.955895496807437</v>
      </c>
      <c r="N249" s="51">
        <v>0.022280230018671965</v>
      </c>
      <c r="O249" s="7">
        <v>-0.22139767533319432</v>
      </c>
      <c r="P249" s="52">
        <v>57.46038068434421</v>
      </c>
      <c r="Q249" s="34">
        <v>4559.284386277613</v>
      </c>
      <c r="R249" s="13">
        <v>5025.427006645327</v>
      </c>
      <c r="S249" s="56">
        <v>-0.09275681842584028</v>
      </c>
      <c r="T249" s="50">
        <v>288762.9489032249</v>
      </c>
      <c r="U249" s="50">
        <v>625305.7090762508</v>
      </c>
      <c r="V249" s="50">
        <v>336542.7601730259</v>
      </c>
    </row>
    <row r="250">
      <c r="A250" s="54">
        <v>45406.959960625</v>
      </c>
      <c r="B250" s="47">
        <v>12.174085947904986</v>
      </c>
      <c r="C250" s="7">
        <v>-0.13688325134313972</v>
      </c>
      <c r="D250" s="48">
        <v>1.19352899962252</v>
      </c>
      <c r="E250" s="49">
        <v>140.04283656634055</v>
      </c>
      <c r="F250" s="7">
        <v>-0.10268522817696812</v>
      </c>
      <c r="G250" s="48">
        <v>1.4372069049743863</v>
      </c>
      <c r="H250" s="50">
        <v>27675.058426129595</v>
      </c>
      <c r="I250" s="56">
        <v>-0.005980727430866613</v>
      </c>
      <c r="J250" s="56">
        <v>0.04369217835039651</v>
      </c>
      <c r="K250" s="50">
        <v>605734.8440096101</v>
      </c>
      <c r="L250" s="56">
        <v>-0.1309025239122731</v>
      </c>
      <c r="M250" s="56">
        <v>0.9563078216496035</v>
      </c>
      <c r="N250" s="51">
        <v>-0.0341980231661716</v>
      </c>
      <c r="O250" s="7">
        <v>-0.2436779053518663</v>
      </c>
      <c r="P250" s="52">
        <v>57.46038068434421</v>
      </c>
      <c r="Q250" s="34">
        <v>4522.972527307266</v>
      </c>
      <c r="R250" s="13">
        <v>5025.427006645327</v>
      </c>
      <c r="S250" s="56">
        <v>-0.09998244500888082</v>
      </c>
      <c r="T250" s="50">
        <v>288762.9489032249</v>
      </c>
      <c r="U250" s="50">
        <v>633409.9024357398</v>
      </c>
      <c r="V250" s="50">
        <v>344646.95353251486</v>
      </c>
    </row>
    <row r="251">
      <c r="A251" s="54">
        <v>45405.959962141205</v>
      </c>
      <c r="B251" s="47">
        <v>12.933787992859411</v>
      </c>
      <c r="C251" s="7">
        <v>-0.154920685472288</v>
      </c>
      <c r="D251" s="48">
        <v>1.3304122509656597</v>
      </c>
      <c r="E251" s="49">
        <v>145.9431688680479</v>
      </c>
      <c r="F251" s="7">
        <v>-4.654525019911482E-4</v>
      </c>
      <c r="G251" s="48">
        <v>1.5398921331513544</v>
      </c>
      <c r="H251" s="50">
        <v>28488.421144158307</v>
      </c>
      <c r="I251" s="56">
        <v>-0.006558485577474534</v>
      </c>
      <c r="J251" s="56">
        <v>0.042334473007787636</v>
      </c>
      <c r="K251" s="50">
        <v>644448.2926048877</v>
      </c>
      <c r="L251" s="56">
        <v>-0.14836219989481345</v>
      </c>
      <c r="M251" s="56">
        <v>0.9576655269922123</v>
      </c>
      <c r="N251" s="51">
        <v>-0.15445523297029684</v>
      </c>
      <c r="O251" s="7">
        <v>-0.2094798821856947</v>
      </c>
      <c r="P251" s="52">
        <v>57.46038068434421</v>
      </c>
      <c r="Q251" s="34">
        <v>4610.950406027367</v>
      </c>
      <c r="R251" s="13">
        <v>5025.427006645327</v>
      </c>
      <c r="S251" s="56">
        <v>-0.0824758970869304</v>
      </c>
      <c r="T251" s="50">
        <v>288762.9489032249</v>
      </c>
      <c r="U251" s="50">
        <v>672936.7137490461</v>
      </c>
      <c r="V251" s="50">
        <v>384173.7648458212</v>
      </c>
    </row>
    <row r="252">
      <c r="A252" s="54">
        <v>45404.95996133102</v>
      </c>
      <c r="B252" s="47">
        <v>13.793597797230609</v>
      </c>
      <c r="C252" s="7">
        <v>0.2657625517151456</v>
      </c>
      <c r="D252" s="48">
        <v>1.4853329364379477</v>
      </c>
      <c r="E252" s="49">
        <v>145.96991394600278</v>
      </c>
      <c r="F252" s="7">
        <v>0.13966237444126506</v>
      </c>
      <c r="G252" s="48">
        <v>1.5403575856533456</v>
      </c>
      <c r="H252" s="50">
        <v>28806.295578615653</v>
      </c>
      <c r="I252" s="7">
        <v>0.010667315843328928</v>
      </c>
      <c r="J252" s="7">
        <v>0.04013852130213801</v>
      </c>
      <c r="K252" s="50">
        <v>688865.7721535173</v>
      </c>
      <c r="L252" s="7">
        <v>0.2550952358718167</v>
      </c>
      <c r="M252" s="7">
        <v>0.959861478697862</v>
      </c>
      <c r="N252" s="51">
        <v>0.12610017727388056</v>
      </c>
      <c r="O252" s="7">
        <v>-0.05502464921539785</v>
      </c>
      <c r="P252" s="52">
        <v>57.46038068434421</v>
      </c>
      <c r="Q252" s="34">
        <v>4916.575260828162</v>
      </c>
      <c r="R252" s="13">
        <v>5025.427006645327</v>
      </c>
      <c r="S252" s="7">
        <v>-0.021660198361895686</v>
      </c>
      <c r="T252" s="52">
        <v>288762.9489032249</v>
      </c>
      <c r="U252" s="52">
        <v>717672.067732133</v>
      </c>
      <c r="V252" s="52">
        <v>428909.1188289081</v>
      </c>
    </row>
    <row r="253">
      <c r="A253" s="54">
        <v>45403.95996712963</v>
      </c>
      <c r="B253" s="47">
        <v>12.318615635211552</v>
      </c>
      <c r="C253" s="7">
        <v>-0.18516494379976312</v>
      </c>
      <c r="D253" s="48">
        <v>1.219570384722802</v>
      </c>
      <c r="E253" s="49">
        <v>137.94486074332826</v>
      </c>
      <c r="F253" s="7">
        <v>-0.055698968754898104</v>
      </c>
      <c r="G253" s="48">
        <v>1.4006952112120805</v>
      </c>
      <c r="H253" s="50">
        <v>27768.092651754072</v>
      </c>
      <c r="I253" s="56">
        <v>-0.008022217411353148</v>
      </c>
      <c r="J253" s="56">
        <v>0.04332470956288763</v>
      </c>
      <c r="K253" s="50">
        <v>613161.5969390677</v>
      </c>
      <c r="L253" s="56">
        <v>-0.17714272638840997</v>
      </c>
      <c r="M253" s="56">
        <v>0.9566752904371124</v>
      </c>
      <c r="N253" s="51">
        <v>-0.129465975044865</v>
      </c>
      <c r="O253" s="7">
        <v>-0.1811248264892784</v>
      </c>
      <c r="P253" s="52">
        <v>57.46038068434421</v>
      </c>
      <c r="Q253" s="34">
        <v>4646.274505169055</v>
      </c>
      <c r="R253" s="13">
        <v>5025.427006645327</v>
      </c>
      <c r="S253" s="56">
        <v>-0.07544682292169463</v>
      </c>
      <c r="T253" s="50">
        <v>288762.9489032249</v>
      </c>
      <c r="U253" s="50">
        <v>640929.6895908217</v>
      </c>
      <c r="V253" s="50">
        <v>352166.74068759684</v>
      </c>
    </row>
    <row r="254">
      <c r="A254" s="54">
        <v>45402.959962361114</v>
      </c>
      <c r="B254" s="47">
        <v>13.346281073300236</v>
      </c>
      <c r="C254" s="7">
        <v>0.244187442963395</v>
      </c>
      <c r="D254" s="48">
        <v>1.4047353285225652</v>
      </c>
      <c r="E254" s="49">
        <v>141.1453446917101</v>
      </c>
      <c r="F254" s="7">
        <v>0.09611389103253742</v>
      </c>
      <c r="G254" s="48">
        <v>1.4563941799669786</v>
      </c>
      <c r="H254" s="50">
        <v>27865.450523676147</v>
      </c>
      <c r="I254" s="56">
        <v>0.009798974875900743</v>
      </c>
      <c r="J254" s="56">
        <v>0.04012890571678438</v>
      </c>
      <c r="K254" s="50">
        <v>666533.0142722651</v>
      </c>
      <c r="L254" s="56">
        <v>0.23438846808749428</v>
      </c>
      <c r="M254" s="56">
        <v>0.9598710942832157</v>
      </c>
      <c r="N254" s="51">
        <v>0.14807355193085758</v>
      </c>
      <c r="O254" s="7">
        <v>-0.0516588514444134</v>
      </c>
      <c r="P254" s="52">
        <v>57.46038068434421</v>
      </c>
      <c r="Q254" s="34">
        <v>4919.740472579152</v>
      </c>
      <c r="R254" s="13">
        <v>5025.427006645327</v>
      </c>
      <c r="S254" s="56">
        <v>-0.021030358997637735</v>
      </c>
      <c r="T254" s="50">
        <v>288762.9489032249</v>
      </c>
      <c r="U254" s="50">
        <v>694398.4647959413</v>
      </c>
      <c r="V254" s="50">
        <v>405635.51589271636</v>
      </c>
    </row>
    <row r="255">
      <c r="A255" s="54">
        <v>45401.959975624995</v>
      </c>
      <c r="B255" s="47">
        <v>11.991040764853395</v>
      </c>
      <c r="C255" s="7">
        <v>0.09641506654600729</v>
      </c>
      <c r="D255" s="48">
        <v>1.1605478855591702</v>
      </c>
      <c r="E255" s="49">
        <v>135.62260392392693</v>
      </c>
      <c r="F255" s="7">
        <v>0.09111072926665287</v>
      </c>
      <c r="G255" s="48">
        <v>1.3602802889344412</v>
      </c>
      <c r="H255" s="50">
        <v>27777.961579578136</v>
      </c>
      <c r="I255" s="56">
        <v>0.004292792669122708</v>
      </c>
      <c r="J255" s="56">
        <v>0.04452408552841972</v>
      </c>
      <c r="K255" s="50">
        <v>596108.2171011152</v>
      </c>
      <c r="L255" s="56">
        <v>0.09212227387688458</v>
      </c>
      <c r="M255" s="56">
        <v>0.9554759144715803</v>
      </c>
      <c r="N255" s="51">
        <v>0.005304337279354421</v>
      </c>
      <c r="O255" s="7">
        <v>-0.19973240337527098</v>
      </c>
      <c r="P255" s="52">
        <v>57.46038068434421</v>
      </c>
      <c r="Q255" s="34">
        <v>4600.163694177719</v>
      </c>
      <c r="R255" s="13">
        <v>5025.427006645327</v>
      </c>
      <c r="S255" s="56">
        <v>-0.08462232401450971</v>
      </c>
      <c r="T255" s="50">
        <v>288762.9489032249</v>
      </c>
      <c r="U255" s="50">
        <v>623886.1786806933</v>
      </c>
      <c r="V255" s="50">
        <v>335123.22977746837</v>
      </c>
    </row>
    <row r="256">
      <c r="A256" s="54">
        <v>45400.95997920139</v>
      </c>
      <c r="B256" s="47">
        <v>11.455937145523054</v>
      </c>
      <c r="C256" s="7">
        <v>0.07857460877329525</v>
      </c>
      <c r="D256" s="48">
        <v>1.064132819013163</v>
      </c>
      <c r="E256" s="49">
        <v>130.38734673583684</v>
      </c>
      <c r="F256" s="7">
        <v>0.07367535748942844</v>
      </c>
      <c r="G256" s="48">
        <v>1.2691695596677883</v>
      </c>
      <c r="H256" s="50">
        <v>27266.972562825387</v>
      </c>
      <c r="I256" s="56">
        <v>0.00359451285541789</v>
      </c>
      <c r="J256" s="56">
        <v>0.04574649382969042</v>
      </c>
      <c r="K256" s="50">
        <v>568778.1071833421</v>
      </c>
      <c r="L256" s="56">
        <v>0.07498009591787735</v>
      </c>
      <c r="M256" s="56">
        <v>0.9542535061703096</v>
      </c>
      <c r="N256" s="51">
        <v>0.004899251283866812</v>
      </c>
      <c r="O256" s="7">
        <v>-0.2050367406546254</v>
      </c>
      <c r="P256" s="52">
        <v>57.46038068434421</v>
      </c>
      <c r="Q256" s="34">
        <v>4571.341427429668</v>
      </c>
      <c r="R256" s="13">
        <v>5025.427006645327</v>
      </c>
      <c r="S256" s="56">
        <v>-0.09035761112741326</v>
      </c>
      <c r="T256" s="50">
        <v>288762.9489032249</v>
      </c>
      <c r="U256" s="50">
        <v>596045.0797461675</v>
      </c>
      <c r="V256" s="50">
        <v>307282.1308429426</v>
      </c>
    </row>
    <row r="257">
      <c r="A257" s="54">
        <v>45399.959977060185</v>
      </c>
      <c r="B257" s="47">
        <v>11.019848066831265</v>
      </c>
      <c r="C257" s="7">
        <v>-0.057949864320465005</v>
      </c>
      <c r="D257" s="48">
        <v>0.9855582102398677</v>
      </c>
      <c r="E257" s="49">
        <v>126.15393264743912</v>
      </c>
      <c r="F257" s="7">
        <v>-0.057501016322401455</v>
      </c>
      <c r="G257" s="48">
        <v>1.1954942021783599</v>
      </c>
      <c r="H257" s="50">
        <v>26286.042429996123</v>
      </c>
      <c r="I257" s="56">
        <v>0.01396984450354045</v>
      </c>
      <c r="J257" s="56">
        <v>0.045845964376056876</v>
      </c>
      <c r="K257" s="50">
        <v>547069.6015778775</v>
      </c>
      <c r="L257" s="56">
        <v>0.2907427881930077</v>
      </c>
      <c r="M257" s="56">
        <v>0.9541540356239432</v>
      </c>
      <c r="N257" s="51">
        <v>-4.488479980635507E-4</v>
      </c>
      <c r="O257" s="7">
        <v>-0.20993599193849222</v>
      </c>
      <c r="P257" s="52">
        <v>57.46038068434421</v>
      </c>
      <c r="Q257" s="34">
        <v>4544.889183995744</v>
      </c>
      <c r="R257" s="13">
        <v>5025.427006645327</v>
      </c>
      <c r="S257" s="56">
        <v>-0.0956212918850773</v>
      </c>
      <c r="T257" s="50">
        <v>288762.9489032249</v>
      </c>
      <c r="U257" s="50">
        <v>573355.6440078736</v>
      </c>
      <c r="V257" s="50">
        <v>284592.6951046487</v>
      </c>
    </row>
    <row r="258">
      <c r="A258" s="54">
        <v>45398.95996409722</v>
      </c>
      <c r="B258" s="47">
        <v>11.341469813809846</v>
      </c>
      <c r="C258" s="7">
        <v>-0.015301052642858082</v>
      </c>
      <c r="D258" s="48">
        <v>1.0435080745603327</v>
      </c>
      <c r="E258" s="49">
        <v>129.457962935061</v>
      </c>
      <c r="F258" s="7">
        <v>-0.008419078107207323</v>
      </c>
      <c r="G258" s="48">
        <v>1.2529952185007613</v>
      </c>
      <c r="H258" s="50">
        <v>0.0</v>
      </c>
      <c r="I258" s="7">
        <v>0.0</v>
      </c>
      <c r="J258" s="7">
        <v>0.0</v>
      </c>
      <c r="K258" s="50">
        <v>590089.4177175928</v>
      </c>
      <c r="L258" s="7">
        <v>-0.015301052642858082</v>
      </c>
      <c r="M258" s="7">
        <v>1.0</v>
      </c>
      <c r="N258" s="51">
        <v>-0.006881974535650759</v>
      </c>
      <c r="O258" s="7">
        <v>-0.20948714394042867</v>
      </c>
      <c r="P258" s="52">
        <v>57.46038068434421</v>
      </c>
      <c r="Q258" s="34">
        <v>4558.154665337927</v>
      </c>
      <c r="R258" s="13">
        <v>5025.427006645327</v>
      </c>
      <c r="S258" s="7">
        <v>-0.09298161941055093</v>
      </c>
      <c r="T258" s="52">
        <v>288762.9489032249</v>
      </c>
      <c r="U258" s="52">
        <v>590089.4177175928</v>
      </c>
      <c r="V258" s="52">
        <v>301326.4688143679</v>
      </c>
    </row>
    <row r="259">
      <c r="A259" s="54">
        <v>45397.959959479165</v>
      </c>
      <c r="B259" s="47">
        <v>11.426390655977709</v>
      </c>
      <c r="C259" s="7">
        <v>-0.0039623011661698015</v>
      </c>
      <c r="D259" s="48">
        <v>1.0588091272031908</v>
      </c>
      <c r="E259" s="49">
        <v>129.94172636811237</v>
      </c>
      <c r="F259" s="7">
        <v>-0.04932222821475207</v>
      </c>
      <c r="G259" s="48">
        <v>1.2614142966079687</v>
      </c>
      <c r="H259" s="50">
        <v>27455.643229231708</v>
      </c>
      <c r="I259" s="56">
        <v>-1.82987553967584E-4</v>
      </c>
      <c r="J259" s="56">
        <v>0.046182141713490894</v>
      </c>
      <c r="K259" s="50">
        <v>567052.1515708363</v>
      </c>
      <c r="L259" s="56">
        <v>-0.0037793136122022176</v>
      </c>
      <c r="M259" s="56">
        <v>0.9538178582865091</v>
      </c>
      <c r="N259" s="51">
        <v>0.04535992704858227</v>
      </c>
      <c r="O259" s="7">
        <v>-0.2026051694047779</v>
      </c>
      <c r="P259" s="52">
        <v>57.46038068434421</v>
      </c>
      <c r="Q259" s="34">
        <v>4575.187750822125</v>
      </c>
      <c r="R259" s="13">
        <v>5025.427006645327</v>
      </c>
      <c r="S259" s="56">
        <v>-0.08959223867500861</v>
      </c>
      <c r="T259" s="50">
        <v>288762.9489032249</v>
      </c>
      <c r="U259" s="50">
        <v>594507.794800068</v>
      </c>
      <c r="V259" s="50">
        <v>305744.8458968431</v>
      </c>
    </row>
    <row r="260">
      <c r="A260" s="54">
        <v>45396.95997568287</v>
      </c>
      <c r="B260" s="47">
        <v>11.44838142744995</v>
      </c>
      <c r="C260" s="7">
        <v>0.285131763817007</v>
      </c>
      <c r="D260" s="48">
        <v>1.0627714283693606</v>
      </c>
      <c r="E260" s="49">
        <v>132.77580037753214</v>
      </c>
      <c r="F260" s="7">
        <v>0.2867182942856128</v>
      </c>
      <c r="G260" s="48">
        <v>1.3107365248227207</v>
      </c>
      <c r="H260" s="50">
        <v>27592.10220163308</v>
      </c>
      <c r="I260" s="56">
        <v>0.013208022954632841</v>
      </c>
      <c r="J260" s="56">
        <v>0.04632252393707191</v>
      </c>
      <c r="K260" s="50">
        <v>568059.8583676209</v>
      </c>
      <c r="L260" s="56">
        <v>0.2719237408623742</v>
      </c>
      <c r="M260" s="56">
        <v>0.9536774760629282</v>
      </c>
      <c r="N260" s="51">
        <v>-0.0015865304686057957</v>
      </c>
      <c r="O260" s="7">
        <v>-0.24796509645336018</v>
      </c>
      <c r="P260" s="52">
        <v>57.46038068434421</v>
      </c>
      <c r="Q260" s="34">
        <v>4486.148521610027</v>
      </c>
      <c r="R260" s="13">
        <v>5025.427006645327</v>
      </c>
      <c r="S260" s="56">
        <v>-0.10730998267852465</v>
      </c>
      <c r="T260" s="50">
        <v>288762.9489032249</v>
      </c>
      <c r="U260" s="50">
        <v>595651.9605692539</v>
      </c>
      <c r="V260" s="50">
        <v>306889.011666029</v>
      </c>
    </row>
    <row r="261">
      <c r="A261" s="54">
        <v>45395.95996422454</v>
      </c>
      <c r="B261" s="47">
        <v>9.865900138265562</v>
      </c>
      <c r="C261" s="7">
        <v>-0.4217377149199446</v>
      </c>
      <c r="D261" s="48">
        <v>0.7776396645523536</v>
      </c>
      <c r="E261" s="49">
        <v>116.30085803871499</v>
      </c>
      <c r="F261" s="7">
        <v>-0.4489396819840188</v>
      </c>
      <c r="G261" s="48">
        <v>1.024018230537108</v>
      </c>
      <c r="H261" s="50">
        <v>26884.64115283851</v>
      </c>
      <c r="I261" s="56">
        <v>-0.022088258906598175</v>
      </c>
      <c r="J261" s="56">
        <v>0.05237439793780603</v>
      </c>
      <c r="K261" s="50">
        <v>486431.83047063864</v>
      </c>
      <c r="L261" s="56">
        <v>-0.3996494560133464</v>
      </c>
      <c r="M261" s="56">
        <v>0.9476256020621939</v>
      </c>
      <c r="N261" s="51">
        <v>0.027201967064074184</v>
      </c>
      <c r="O261" s="7">
        <v>-0.24637856598475438</v>
      </c>
      <c r="P261" s="52">
        <v>57.46038068434421</v>
      </c>
      <c r="Q261" s="34">
        <v>4413.69462169059</v>
      </c>
      <c r="R261" s="13">
        <v>5025.427006645327</v>
      </c>
      <c r="S261" s="56">
        <v>-0.12172744408501382</v>
      </c>
      <c r="T261" s="50">
        <v>288762.9489032249</v>
      </c>
      <c r="U261" s="50">
        <v>513316.4716234772</v>
      </c>
      <c r="V261" s="50">
        <v>224553.52272025228</v>
      </c>
    </row>
    <row r="262">
      <c r="A262" s="54">
        <v>45394.959958113424</v>
      </c>
      <c r="B262" s="47">
        <v>12.206544456071255</v>
      </c>
      <c r="C262" s="7">
        <v>-0.3260853553236869</v>
      </c>
      <c r="D262" s="48">
        <v>1.1993773794722982</v>
      </c>
      <c r="E262" s="49">
        <v>142.09710306982512</v>
      </c>
      <c r="F262" s="7">
        <v>-0.32045470721984204</v>
      </c>
      <c r="G262" s="48">
        <v>1.4729579125211267</v>
      </c>
      <c r="H262" s="50">
        <v>29006.872194641757</v>
      </c>
      <c r="I262" s="56">
        <v>-0.06467645114685644</v>
      </c>
      <c r="J262" s="56">
        <v>0.04567301475023392</v>
      </c>
      <c r="K262" s="50">
        <v>606091.8256528261</v>
      </c>
      <c r="L262" s="56">
        <v>-1.3513993542394125</v>
      </c>
      <c r="M262" s="56">
        <v>0.9543269852497661</v>
      </c>
      <c r="N262" s="51">
        <v>-0.0056306481038448375</v>
      </c>
      <c r="O262" s="7">
        <v>-0.27358053304882857</v>
      </c>
      <c r="P262" s="52">
        <v>57.46038068434421</v>
      </c>
      <c r="Q262" s="34">
        <v>4469.469708579397</v>
      </c>
      <c r="R262" s="13">
        <v>5025.427006645327</v>
      </c>
      <c r="S262" s="56">
        <v>-0.11062886742375631</v>
      </c>
      <c r="T262" s="50">
        <v>288762.9489032249</v>
      </c>
      <c r="U262" s="50">
        <v>635098.6978474678</v>
      </c>
      <c r="V262" s="50">
        <v>346335.74894424295</v>
      </c>
    </row>
    <row r="263">
      <c r="A263" s="54">
        <v>45393.95995884259</v>
      </c>
      <c r="B263" s="47">
        <v>14.016318178117716</v>
      </c>
      <c r="C263" s="7">
        <v>-0.0062242720595686585</v>
      </c>
      <c r="D263" s="48">
        <v>1.525462734795985</v>
      </c>
      <c r="E263" s="49">
        <v>160.5105525387673</v>
      </c>
      <c r="F263" s="7">
        <v>-0.003440213165256001</v>
      </c>
      <c r="G263" s="48">
        <v>1.7934126197409688</v>
      </c>
      <c r="H263" s="50">
        <v>27851.359323297205</v>
      </c>
      <c r="I263" s="7">
        <v>-2.377127798242923E-4</v>
      </c>
      <c r="J263" s="7">
        <v>0.0381912579574431</v>
      </c>
      <c r="K263" s="50">
        <v>701408.7073215945</v>
      </c>
      <c r="L263" s="7">
        <v>-0.005986559279744366</v>
      </c>
      <c r="M263" s="7">
        <v>0.961808742042557</v>
      </c>
      <c r="N263" s="51">
        <v>-0.0027840588943126576</v>
      </c>
      <c r="O263" s="7">
        <v>-0.26794988494498373</v>
      </c>
      <c r="P263" s="52">
        <v>57.46038068434421</v>
      </c>
      <c r="Q263" s="34">
        <v>4543.377710127545</v>
      </c>
      <c r="R263" s="13">
        <v>5025.427006645327</v>
      </c>
      <c r="S263" s="7">
        <v>-0.09592205714665625</v>
      </c>
      <c r="T263" s="52">
        <v>288762.9489032249</v>
      </c>
      <c r="U263" s="52">
        <v>729260.0666448916</v>
      </c>
      <c r="V263" s="52">
        <v>440497.11774166673</v>
      </c>
    </row>
    <row r="264">
      <c r="A264" s="54">
        <v>45392.95996252315</v>
      </c>
      <c r="B264" s="47">
        <v>14.050862888048323</v>
      </c>
      <c r="C264" s="7">
        <v>-0.07606847435839414</v>
      </c>
      <c r="D264" s="48">
        <v>1.5316870068555537</v>
      </c>
      <c r="E264" s="49">
        <v>160.7082284968782</v>
      </c>
      <c r="F264" s="7">
        <v>0.00841811454248731</v>
      </c>
      <c r="G264" s="48">
        <v>1.7968528329062248</v>
      </c>
      <c r="H264" s="50">
        <v>29877.832011779985</v>
      </c>
      <c r="I264" s="56">
        <v>-0.0031088681685491957</v>
      </c>
      <c r="J264" s="56">
        <v>0.04086933772198276</v>
      </c>
      <c r="K264" s="50">
        <v>701179.5737878087</v>
      </c>
      <c r="L264" s="56">
        <v>-0.07295960618984496</v>
      </c>
      <c r="M264" s="56">
        <v>0.9591306622780172</v>
      </c>
      <c r="N264" s="51">
        <v>-0.08448658890088145</v>
      </c>
      <c r="O264" s="7">
        <v>-0.26516582605067107</v>
      </c>
      <c r="P264" s="52">
        <v>57.46038068434421</v>
      </c>
      <c r="Q264" s="34">
        <v>4548.973083937576</v>
      </c>
      <c r="R264" s="13">
        <v>5025.427006645327</v>
      </c>
      <c r="S264" s="56">
        <v>-0.09480864453462695</v>
      </c>
      <c r="T264" s="50">
        <v>288762.9489032249</v>
      </c>
      <c r="U264" s="50">
        <v>731057.4057995887</v>
      </c>
      <c r="V264" s="50">
        <v>442294.45689636376</v>
      </c>
    </row>
    <row r="265">
      <c r="A265" s="54">
        <v>45391.95997859954</v>
      </c>
      <c r="B265" s="47">
        <v>14.47304292073741</v>
      </c>
      <c r="C265" s="7">
        <v>-0.0956468328036304</v>
      </c>
      <c r="D265" s="48">
        <v>1.6077554812139478</v>
      </c>
      <c r="E265" s="49">
        <v>160.22452043062248</v>
      </c>
      <c r="F265" s="7">
        <v>-0.10451304101068137</v>
      </c>
      <c r="G265" s="48">
        <v>1.7884347183637375</v>
      </c>
      <c r="H265" s="50">
        <v>29241.452106727054</v>
      </c>
      <c r="I265" s="56">
        <v>-0.0037141650069365873</v>
      </c>
      <c r="J265" s="56">
        <v>0.038832075229945424</v>
      </c>
      <c r="K265" s="50">
        <v>723781.7106671608</v>
      </c>
      <c r="L265" s="56">
        <v>-0.0919326677966938</v>
      </c>
      <c r="M265" s="56">
        <v>0.9611679247700545</v>
      </c>
      <c r="N265" s="51">
        <v>0.008866208207050974</v>
      </c>
      <c r="O265" s="7">
        <v>-0.18067923714978962</v>
      </c>
      <c r="P265" s="52">
        <v>57.46038068434421</v>
      </c>
      <c r="Q265" s="34">
        <v>4699.799760673637</v>
      </c>
      <c r="R265" s="13">
        <v>5025.427006645327</v>
      </c>
      <c r="S265" s="56">
        <v>-0.0647959358560178</v>
      </c>
      <c r="T265" s="50">
        <v>288762.9489032249</v>
      </c>
      <c r="U265" s="50">
        <v>753023.1627738879</v>
      </c>
      <c r="V265" s="50">
        <v>464260.21387066296</v>
      </c>
    </row>
    <row r="266">
      <c r="A266" s="54">
        <v>45390.95996653935</v>
      </c>
      <c r="B266" s="47">
        <v>15.003882842797559</v>
      </c>
      <c r="C266" s="7">
        <v>0.06853265164741318</v>
      </c>
      <c r="D266" s="48">
        <v>1.7034023140175782</v>
      </c>
      <c r="E266" s="49">
        <v>166.2298795535747</v>
      </c>
      <c r="F266" s="7">
        <v>0.06686114201768101</v>
      </c>
      <c r="G266" s="48">
        <v>1.8929477593744188</v>
      </c>
      <c r="H266" s="50">
        <v>30307.965951115304</v>
      </c>
      <c r="I266" s="56">
        <v>0.0026607383971200232</v>
      </c>
      <c r="J266" s="56">
        <v>0.038824390026654616</v>
      </c>
      <c r="K266" s="50">
        <v>750334.4583164025</v>
      </c>
      <c r="L266" s="56">
        <v>0.06587191325029315</v>
      </c>
      <c r="M266" s="56">
        <v>0.9611756099733453</v>
      </c>
      <c r="N266" s="51">
        <v>0.0016715096297321708</v>
      </c>
      <c r="O266" s="7">
        <v>-0.1895454453568406</v>
      </c>
      <c r="P266" s="52">
        <v>57.46038068434421</v>
      </c>
      <c r="Q266" s="34">
        <v>4696.161883555492</v>
      </c>
      <c r="R266" s="13">
        <v>5025.427006645327</v>
      </c>
      <c r="S266" s="56">
        <v>-0.06551982998746868</v>
      </c>
      <c r="T266" s="50">
        <v>288762.9489032249</v>
      </c>
      <c r="U266" s="50">
        <v>780642.4242675179</v>
      </c>
      <c r="V266" s="50">
        <v>491879.475364293</v>
      </c>
    </row>
    <row r="267">
      <c r="A267" s="54">
        <v>45389.959958611114</v>
      </c>
      <c r="B267" s="47">
        <v>14.623526626154415</v>
      </c>
      <c r="C267" s="7">
        <v>0.02426424320592746</v>
      </c>
      <c r="D267" s="48">
        <v>1.634869662370165</v>
      </c>
      <c r="E267" s="49">
        <v>162.38801288024877</v>
      </c>
      <c r="F267" s="7">
        <v>-0.04615291958650092</v>
      </c>
      <c r="G267" s="48">
        <v>1.8260866173567378</v>
      </c>
      <c r="H267" s="50">
        <v>29367.867908650936</v>
      </c>
      <c r="I267" s="56">
        <v>9.365663785249818E-4</v>
      </c>
      <c r="J267" s="56">
        <v>0.03859862310876401</v>
      </c>
      <c r="K267" s="50">
        <v>731484.8657730025</v>
      </c>
      <c r="L267" s="56">
        <v>0.023327676827402482</v>
      </c>
      <c r="M267" s="56">
        <v>0.9614013768912361</v>
      </c>
      <c r="N267" s="51">
        <v>0.07041716279242838</v>
      </c>
      <c r="O267" s="7">
        <v>-0.19121695498657276</v>
      </c>
      <c r="P267" s="52">
        <v>57.46038068434421</v>
      </c>
      <c r="Q267" s="34">
        <v>4685.399619014587</v>
      </c>
      <c r="R267" s="13">
        <v>5025.427006645327</v>
      </c>
      <c r="S267" s="56">
        <v>-0.06766139219236654</v>
      </c>
      <c r="T267" s="50">
        <v>288762.9489032249</v>
      </c>
      <c r="U267" s="50">
        <v>760852.7336816534</v>
      </c>
      <c r="V267" s="50">
        <v>472089.7847784285</v>
      </c>
    </row>
    <row r="268">
      <c r="A268" s="54">
        <v>45388.9599672801</v>
      </c>
      <c r="B268" s="47">
        <v>14.488860076361519</v>
      </c>
      <c r="C268" s="7">
        <v>0.07567863360778837</v>
      </c>
      <c r="D268" s="48">
        <v>1.6106054191642376</v>
      </c>
      <c r="E268" s="49">
        <v>163.93823675909013</v>
      </c>
      <c r="F268" s="7">
        <v>0.041937729722599126</v>
      </c>
      <c r="G268" s="48">
        <v>1.8722395369432387</v>
      </c>
      <c r="H268" s="50">
        <v>22737.979607505906</v>
      </c>
      <c r="I268" s="7">
        <v>0.002305971820804266</v>
      </c>
      <c r="J268" s="7">
        <v>0.030470579486875805</v>
      </c>
      <c r="K268" s="50">
        <v>723489.3646180786</v>
      </c>
      <c r="L268" s="7">
        <v>0.0733726617869841</v>
      </c>
      <c r="M268" s="7">
        <v>0.9695294205131241</v>
      </c>
      <c r="N268" s="51">
        <v>0.033740903885189244</v>
      </c>
      <c r="O268" s="7">
        <v>-0.26163411777900114</v>
      </c>
      <c r="P268" s="52">
        <v>57.0767983138204</v>
      </c>
      <c r="Q268" s="34">
        <v>4551.880994805242</v>
      </c>
      <c r="R268" s="13">
        <v>5008.069187616141</v>
      </c>
      <c r="S268" s="7">
        <v>-0.09109063308049982</v>
      </c>
      <c r="T268" s="52">
        <v>285844.55496322486</v>
      </c>
      <c r="U268" s="52">
        <v>746227.3442255845</v>
      </c>
      <c r="V268" s="52">
        <v>460382.78926235967</v>
      </c>
    </row>
    <row r="269">
      <c r="A269" s="54">
        <v>45387.959964131944</v>
      </c>
      <c r="B269" s="47">
        <v>14.068843659838294</v>
      </c>
      <c r="C269" s="7">
        <v>-0.1855831165244295</v>
      </c>
      <c r="D269" s="48">
        <v>1.5349267855564492</v>
      </c>
      <c r="E269" s="49">
        <v>161.5445654179738</v>
      </c>
      <c r="F269" s="7">
        <v>-0.10177399587127267</v>
      </c>
      <c r="G269" s="48">
        <v>1.8303018072206396</v>
      </c>
      <c r="H269" s="50">
        <v>22412.334066724507</v>
      </c>
      <c r="I269" s="7">
        <v>-0.0057402420611563825</v>
      </c>
      <c r="J269" s="7">
        <v>0.030930842032716687</v>
      </c>
      <c r="K269" s="50">
        <v>702182.6848150168</v>
      </c>
      <c r="L269" s="7">
        <v>-0.1798428744632731</v>
      </c>
      <c r="M269" s="7">
        <v>0.9690691579672833</v>
      </c>
      <c r="N269" s="51">
        <v>-0.08380912065315682</v>
      </c>
      <c r="O269" s="7">
        <v>-0.2953750216641904</v>
      </c>
      <c r="P269" s="52">
        <v>57.0767983138204</v>
      </c>
      <c r="Q269" s="34">
        <v>4485.418726448356</v>
      </c>
      <c r="R269" s="13">
        <v>5008.069187616141</v>
      </c>
      <c r="S269" s="7">
        <v>-0.10436166945540307</v>
      </c>
      <c r="T269" s="52">
        <v>285844.55496322486</v>
      </c>
      <c r="U269" s="52">
        <v>724595.0188817413</v>
      </c>
      <c r="V269" s="52">
        <v>438750.46391851647</v>
      </c>
    </row>
    <row r="270">
      <c r="A270" s="54">
        <v>45386.959972372686</v>
      </c>
      <c r="B270" s="47">
        <v>15.098829956548876</v>
      </c>
      <c r="C270" s="7">
        <v>-0.09540790257028275</v>
      </c>
      <c r="D270" s="48">
        <v>1.7205099020808787</v>
      </c>
      <c r="E270" s="49">
        <v>167.35349925391006</v>
      </c>
      <c r="F270" s="7">
        <v>-0.05200497046774766</v>
      </c>
      <c r="G270" s="48">
        <v>1.9320758030919123</v>
      </c>
      <c r="H270" s="50">
        <v>22193.960021865783</v>
      </c>
      <c r="I270" s="56">
        <v>-0.002722945275287418</v>
      </c>
      <c r="J270" s="56">
        <v>0.0285400391574644</v>
      </c>
      <c r="K270" s="50">
        <v>755448.9822114895</v>
      </c>
      <c r="L270" s="56">
        <v>-0.09268495729499533</v>
      </c>
      <c r="M270" s="56">
        <v>0.9714599608425356</v>
      </c>
      <c r="N270" s="51">
        <v>-0.0434029321025351</v>
      </c>
      <c r="O270" s="7">
        <v>-0.21156590101103356</v>
      </c>
      <c r="P270" s="52">
        <v>57.0767983138204</v>
      </c>
      <c r="Q270" s="34">
        <v>4646.708588109706</v>
      </c>
      <c r="R270" s="13">
        <v>5008.069187616141</v>
      </c>
      <c r="S270" s="56">
        <v>-0.07215567236970291</v>
      </c>
      <c r="T270" s="50">
        <v>285844.55496322486</v>
      </c>
      <c r="U270" s="50">
        <v>777642.9422333553</v>
      </c>
      <c r="V270" s="50">
        <v>491798.3872701304</v>
      </c>
    </row>
    <row r="271">
      <c r="A271" s="54">
        <v>45385.9599654051</v>
      </c>
      <c r="B271" s="47">
        <v>15.628343815813945</v>
      </c>
      <c r="C271" s="7">
        <v>-0.0013554208940829149</v>
      </c>
      <c r="D271" s="48">
        <v>1.8159178046511615</v>
      </c>
      <c r="E271" s="49">
        <v>170.32177646461386</v>
      </c>
      <c r="F271" s="7">
        <v>-0.0023161715010546757</v>
      </c>
      <c r="G271" s="48">
        <v>1.98408077355966</v>
      </c>
      <c r="H271" s="50">
        <v>21788.65369618313</v>
      </c>
      <c r="I271" s="56">
        <v>-3.6690588261877405E-5</v>
      </c>
      <c r="J271" s="56">
        <v>0.02706951650372961</v>
      </c>
      <c r="K271" s="50">
        <v>783126.1179873493</v>
      </c>
      <c r="L271" s="56">
        <v>-0.0013187303058210375</v>
      </c>
      <c r="M271" s="56">
        <v>0.9729304834962704</v>
      </c>
      <c r="N271" s="51">
        <v>9.607506069717608E-4</v>
      </c>
      <c r="O271" s="7">
        <v>-0.16816296890849847</v>
      </c>
      <c r="P271" s="52">
        <v>57.0767983138204</v>
      </c>
      <c r="Q271" s="34">
        <v>4725.847677209743</v>
      </c>
      <c r="R271" s="13">
        <v>5008.069187616141</v>
      </c>
      <c r="S271" s="56">
        <v>-0.056353356919323326</v>
      </c>
      <c r="T271" s="50">
        <v>285844.55496322486</v>
      </c>
      <c r="U271" s="50">
        <v>804914.7716835324</v>
      </c>
      <c r="V271" s="50">
        <v>519070.21672030754</v>
      </c>
    </row>
    <row r="272">
      <c r="A272" s="54">
        <v>45384.95996755787</v>
      </c>
      <c r="B272" s="47">
        <v>15.635866401776106</v>
      </c>
      <c r="C272" s="7">
        <v>-0.06484677294769625</v>
      </c>
      <c r="D272" s="48">
        <v>1.8172732255452444</v>
      </c>
      <c r="E272" s="49">
        <v>170.45397611823978</v>
      </c>
      <c r="F272" s="7">
        <v>-0.15726402094841863</v>
      </c>
      <c r="G272" s="48">
        <v>1.9863969450607146</v>
      </c>
      <c r="H272" s="50">
        <v>21743.724624210095</v>
      </c>
      <c r="I272" s="56">
        <v>-0.0017509083594244848</v>
      </c>
      <c r="J272" s="56">
        <v>0.027000701497308474</v>
      </c>
      <c r="K272" s="50">
        <v>783558.4867415794</v>
      </c>
      <c r="L272" s="56">
        <v>-0.06309586458827178</v>
      </c>
      <c r="M272" s="56">
        <v>0.9729992985026916</v>
      </c>
      <c r="N272" s="51">
        <v>0.09241724800072237</v>
      </c>
      <c r="O272" s="7">
        <v>-0.16912371951547023</v>
      </c>
      <c r="P272" s="52">
        <v>57.0767983138204</v>
      </c>
      <c r="Q272" s="34">
        <v>4724.45542019607</v>
      </c>
      <c r="R272" s="13">
        <v>5008.069187616141</v>
      </c>
      <c r="S272" s="56">
        <v>-0.05663135967078603</v>
      </c>
      <c r="T272" s="50">
        <v>285844.55496322486</v>
      </c>
      <c r="U272" s="50">
        <v>805302.2113657894</v>
      </c>
      <c r="V272" s="50">
        <v>519457.65640256455</v>
      </c>
    </row>
    <row r="273">
      <c r="A273" s="54">
        <v>45383.95995497685</v>
      </c>
      <c r="B273" s="47">
        <v>15.99576599163582</v>
      </c>
      <c r="C273" s="7">
        <v>-0.14779127830241956</v>
      </c>
      <c r="D273" s="48">
        <v>1.8821199984929406</v>
      </c>
      <c r="E273" s="49">
        <v>179.4301029239331</v>
      </c>
      <c r="F273" s="7">
        <v>-0.07959376568840781</v>
      </c>
      <c r="G273" s="48">
        <v>2.1436609660091333</v>
      </c>
      <c r="H273" s="50">
        <v>22968.58790978291</v>
      </c>
      <c r="I273" s="7">
        <v>-0.004120416510991503</v>
      </c>
      <c r="J273" s="7">
        <v>0.027879970714916304</v>
      </c>
      <c r="K273" s="50">
        <v>800869.7204100421</v>
      </c>
      <c r="L273" s="7">
        <v>-0.14367086179142805</v>
      </c>
      <c r="M273" s="7">
        <v>0.9721200292850837</v>
      </c>
      <c r="N273" s="51">
        <v>-0.06819751261401175</v>
      </c>
      <c r="O273" s="7">
        <v>-0.2615409675161926</v>
      </c>
      <c r="P273" s="52">
        <v>57.0767983138204</v>
      </c>
      <c r="Q273" s="34">
        <v>4591.416350405148</v>
      </c>
      <c r="R273" s="13">
        <v>5008.069187616141</v>
      </c>
      <c r="S273" s="7">
        <v>-0.08319630212803061</v>
      </c>
      <c r="T273" s="52">
        <v>285844.55496322486</v>
      </c>
      <c r="U273" s="52">
        <v>823838.308319825</v>
      </c>
      <c r="V273" s="52">
        <v>537993.7533566002</v>
      </c>
    </row>
    <row r="274">
      <c r="A274" s="54">
        <v>45382.95996359954</v>
      </c>
      <c r="B274" s="47">
        <v>16.816007586214248</v>
      </c>
      <c r="C274" s="7">
        <v>0.07454252020827967</v>
      </c>
      <c r="D274" s="48">
        <v>2.02991127679536</v>
      </c>
      <c r="E274" s="49">
        <v>183.97306023516782</v>
      </c>
      <c r="F274" s="7">
        <v>0.03989651218562873</v>
      </c>
      <c r="G274" s="48">
        <v>2.223254731697541</v>
      </c>
      <c r="H274" s="50">
        <v>22968.58790978291</v>
      </c>
      <c r="I274" s="7">
        <v>0.0019768719190271337</v>
      </c>
      <c r="J274" s="7">
        <v>0.02652005745852897</v>
      </c>
      <c r="K274" s="50">
        <v>843115.0525838431</v>
      </c>
      <c r="L274" s="7">
        <v>0.07256564828925254</v>
      </c>
      <c r="M274" s="7">
        <v>0.9734799425414711</v>
      </c>
      <c r="N274" s="51">
        <v>0.03464600802265094</v>
      </c>
      <c r="O274" s="7">
        <v>-0.19334345490218086</v>
      </c>
      <c r="P274" s="52">
        <v>57.0767983138204</v>
      </c>
      <c r="Q274" s="34">
        <v>4707.665564656774</v>
      </c>
      <c r="R274" s="13">
        <v>5008.069187616141</v>
      </c>
      <c r="S274" s="7">
        <v>-0.05998392029051817</v>
      </c>
      <c r="T274" s="52">
        <v>285844.55496322486</v>
      </c>
      <c r="U274" s="52">
        <v>866083.640493626</v>
      </c>
      <c r="V274" s="52">
        <v>580239.0855304012</v>
      </c>
    </row>
    <row r="275">
      <c r="A275" s="54">
        <v>45381.959961099536</v>
      </c>
      <c r="B275" s="47">
        <v>16.402296599058296</v>
      </c>
      <c r="C275" s="7">
        <v>0.11613126956328879</v>
      </c>
      <c r="D275" s="48">
        <v>1.9553687565870805</v>
      </c>
      <c r="E275" s="49">
        <v>181.6958950557238</v>
      </c>
      <c r="F275" s="7">
        <v>0.06515664956482992</v>
      </c>
      <c r="G275" s="48">
        <v>2.1833582195119123</v>
      </c>
      <c r="H275" s="50">
        <v>23108.876521675546</v>
      </c>
      <c r="I275" s="56">
        <v>0.0031767746193863662</v>
      </c>
      <c r="J275" s="56">
        <v>0.02735503220909076</v>
      </c>
      <c r="K275" s="50">
        <v>821667.1904571778</v>
      </c>
      <c r="L275" s="56">
        <v>0.11295449494390242</v>
      </c>
      <c r="M275" s="56">
        <v>0.9726449677909093</v>
      </c>
      <c r="N275" s="51">
        <v>0.05097461999845887</v>
      </c>
      <c r="O275" s="7">
        <v>-0.2279894629248318</v>
      </c>
      <c r="P275" s="52">
        <v>57.0767983138204</v>
      </c>
      <c r="Q275" s="34">
        <v>4649.395445724139</v>
      </c>
      <c r="R275" s="13">
        <v>5008.069187616141</v>
      </c>
      <c r="S275" s="56">
        <v>-0.07161916667983016</v>
      </c>
      <c r="T275" s="50">
        <v>285844.55496322486</v>
      </c>
      <c r="U275" s="50">
        <v>844776.0669788533</v>
      </c>
      <c r="V275" s="50">
        <v>558931.5120156284</v>
      </c>
    </row>
    <row r="276">
      <c r="A276" s="54">
        <v>45380.95999375</v>
      </c>
      <c r="B276" s="47">
        <v>15.757768052982044</v>
      </c>
      <c r="C276" s="7">
        <v>0.027411812678467484</v>
      </c>
      <c r="D276" s="48">
        <v>1.8392374870237918</v>
      </c>
      <c r="E276" s="49">
        <v>177.97696210970776</v>
      </c>
      <c r="F276" s="7">
        <v>0.03589768559108775</v>
      </c>
      <c r="G276" s="48">
        <v>2.1182015699470824</v>
      </c>
      <c r="H276" s="50">
        <v>23105.45843009463</v>
      </c>
      <c r="I276" s="56">
        <v>7.804061816329061E-4</v>
      </c>
      <c r="J276" s="56">
        <v>0.028469703583153785</v>
      </c>
      <c r="K276" s="50">
        <v>788475.117483126</v>
      </c>
      <c r="L276" s="56">
        <v>0.026631406496834577</v>
      </c>
      <c r="M276" s="56">
        <v>0.9715302964168462</v>
      </c>
      <c r="N276" s="51">
        <v>-0.008485872912620263</v>
      </c>
      <c r="O276" s="7">
        <v>-0.27896408292329067</v>
      </c>
      <c r="P276" s="52">
        <v>57.0767983138204</v>
      </c>
      <c r="Q276" s="34">
        <v>4560.0316259637575</v>
      </c>
      <c r="R276" s="13">
        <v>5008.069187616141</v>
      </c>
      <c r="S276" s="56">
        <v>-0.08946313336890038</v>
      </c>
      <c r="T276" s="50">
        <v>285844.55496322486</v>
      </c>
      <c r="U276" s="50">
        <v>811580.5759132206</v>
      </c>
      <c r="V276" s="50">
        <v>525736.0209499958</v>
      </c>
    </row>
    <row r="277">
      <c r="A277" s="54">
        <v>45379.95996199074</v>
      </c>
      <c r="B277" s="47">
        <v>15.605632492616548</v>
      </c>
      <c r="C277" s="7">
        <v>0.05301451520931977</v>
      </c>
      <c r="D277" s="48">
        <v>1.8118256743453243</v>
      </c>
      <c r="E277" s="49">
        <v>175.9280371492923</v>
      </c>
      <c r="F277" s="7">
        <v>0.060109032348094615</v>
      </c>
      <c r="G277" s="48">
        <v>2.0823038843559947</v>
      </c>
      <c r="H277" s="50">
        <v>23491.6429423639</v>
      </c>
      <c r="I277" s="56">
        <v>0.0015494938959340243</v>
      </c>
      <c r="J277" s="56">
        <v>0.02922772923257117</v>
      </c>
      <c r="K277" s="50">
        <v>780253.415575045</v>
      </c>
      <c r="L277" s="56">
        <v>0.05146502131338575</v>
      </c>
      <c r="M277" s="56">
        <v>0.9707722707674289</v>
      </c>
      <c r="N277" s="51">
        <v>-0.007094517138774847</v>
      </c>
      <c r="O277" s="7">
        <v>-0.2704782100106704</v>
      </c>
      <c r="P277" s="52">
        <v>57.0767983138204</v>
      </c>
      <c r="Q277" s="34">
        <v>4568.601295968259</v>
      </c>
      <c r="R277" s="13">
        <v>5008.069187616141</v>
      </c>
      <c r="S277" s="56">
        <v>-0.08775196092230304</v>
      </c>
      <c r="T277" s="50">
        <v>285844.55496322486</v>
      </c>
      <c r="U277" s="50">
        <v>803745.0585174089</v>
      </c>
      <c r="V277" s="50">
        <v>517900.50355418405</v>
      </c>
    </row>
    <row r="278">
      <c r="A278" s="54">
        <v>45378.95996949074</v>
      </c>
      <c r="B278" s="47">
        <v>15.311401933204824</v>
      </c>
      <c r="C278" s="7">
        <v>-0.08321606567148443</v>
      </c>
      <c r="D278" s="48">
        <v>1.7588111591360045</v>
      </c>
      <c r="E278" s="49">
        <v>172.4972060331212</v>
      </c>
      <c r="F278" s="7">
        <v>-0.0858600546641286</v>
      </c>
      <c r="G278" s="48">
        <v>2.0221948520079</v>
      </c>
      <c r="H278" s="50">
        <v>22903.858586258284</v>
      </c>
      <c r="I278" s="56">
        <v>-0.0024169292351964564</v>
      </c>
      <c r="J278" s="56">
        <v>0.029044021916848003</v>
      </c>
      <c r="K278" s="50">
        <v>765687.2894245514</v>
      </c>
      <c r="L278" s="56">
        <v>-0.08079913643628797</v>
      </c>
      <c r="M278" s="56">
        <v>0.970955978083152</v>
      </c>
      <c r="N278" s="51">
        <v>0.002643988992644175</v>
      </c>
      <c r="O278" s="7">
        <v>-0.26338369287189556</v>
      </c>
      <c r="P278" s="52">
        <v>57.0767983138204</v>
      </c>
      <c r="Q278" s="34">
        <v>4571.616933084657</v>
      </c>
      <c r="R278" s="13">
        <v>5008.069187616141</v>
      </c>
      <c r="S278" s="56">
        <v>-0.08714980528039326</v>
      </c>
      <c r="T278" s="50">
        <v>285844.55496322486</v>
      </c>
      <c r="U278" s="50">
        <v>788591.1480108097</v>
      </c>
      <c r="V278" s="50">
        <v>502746.5930475848</v>
      </c>
    </row>
    <row r="279">
      <c r="A279" s="54">
        <v>45377.95997872685</v>
      </c>
      <c r="B279" s="47">
        <v>15.773251097681563</v>
      </c>
      <c r="C279" s="7">
        <v>0.055453389560078836</v>
      </c>
      <c r="D279" s="48">
        <v>1.842027224807489</v>
      </c>
      <c r="E279" s="49">
        <v>177.39782305639926</v>
      </c>
      <c r="F279" s="7">
        <v>0.05570485984538953</v>
      </c>
      <c r="G279" s="48">
        <v>2.1080549066720287</v>
      </c>
      <c r="H279" s="50">
        <v>18724.096729084446</v>
      </c>
      <c r="I279" s="56">
        <v>0.0012781176013980729</v>
      </c>
      <c r="J279" s="56">
        <v>0.02304850274325153</v>
      </c>
      <c r="K279" s="50">
        <v>793653.9105393812</v>
      </c>
      <c r="L279" s="56">
        <v>0.05417527195868076</v>
      </c>
      <c r="M279" s="56">
        <v>0.9769514972567483</v>
      </c>
      <c r="N279" s="51">
        <v>-2.514702853106954E-4</v>
      </c>
      <c r="O279" s="7">
        <v>-0.26602768186453973</v>
      </c>
      <c r="P279" s="52">
        <v>57.0767983138204</v>
      </c>
      <c r="Q279" s="34">
        <v>4579.413621159208</v>
      </c>
      <c r="R279" s="13">
        <v>5008.069187616141</v>
      </c>
      <c r="S279" s="56">
        <v>-0.08559298012833062</v>
      </c>
      <c r="T279" s="50">
        <v>285844.55496322486</v>
      </c>
      <c r="U279" s="50">
        <v>812378.0072684657</v>
      </c>
      <c r="V279" s="50">
        <v>526533.4523052408</v>
      </c>
    </row>
    <row r="280">
      <c r="A280" s="54">
        <v>45376.959971261575</v>
      </c>
      <c r="B280" s="47">
        <v>15.465484785623126</v>
      </c>
      <c r="C280" s="7">
        <v>0.02672319845517812</v>
      </c>
      <c r="D280" s="48">
        <v>1.78657383524741</v>
      </c>
      <c r="E280" s="49">
        <v>174.21836800590432</v>
      </c>
      <c r="F280" s="7">
        <v>0.06421491984026684</v>
      </c>
      <c r="G280" s="48">
        <v>2.052350046826639</v>
      </c>
      <c r="H280" s="50">
        <v>18630.062317345488</v>
      </c>
      <c r="I280" s="7">
        <v>6.250320188892791E-4</v>
      </c>
      <c r="J280" s="7">
        <v>0.023389117134972572</v>
      </c>
      <c r="K280" s="50">
        <v>777896.895491117</v>
      </c>
      <c r="L280" s="7">
        <v>0.02609816643628884</v>
      </c>
      <c r="M280" s="7">
        <v>0.9766108828650274</v>
      </c>
      <c r="N280" s="51">
        <v>-0.03749172138508872</v>
      </c>
      <c r="O280" s="7">
        <v>-0.26577621157922904</v>
      </c>
      <c r="P280" s="52">
        <v>57.0767983138204</v>
      </c>
      <c r="Q280" s="34">
        <v>4572.003325053923</v>
      </c>
      <c r="R280" s="13">
        <v>5008.069187616141</v>
      </c>
      <c r="S280" s="7">
        <v>-0.08707265140036675</v>
      </c>
      <c r="T280" s="52">
        <v>285844.55496322486</v>
      </c>
      <c r="U280" s="52">
        <v>796526.9578084626</v>
      </c>
      <c r="V280" s="52">
        <v>510682.4028452377</v>
      </c>
    </row>
    <row r="281">
      <c r="A281" s="54">
        <v>45375.95997216435</v>
      </c>
      <c r="B281" s="47">
        <v>15.317171034196887</v>
      </c>
      <c r="C281" s="7">
        <v>0.1157564420017132</v>
      </c>
      <c r="D281" s="48">
        <v>1.759850636792232</v>
      </c>
      <c r="E281" s="49">
        <v>170.55318597744326</v>
      </c>
      <c r="F281" s="7">
        <v>0.15804363347684358</v>
      </c>
      <c r="G281" s="48">
        <v>1.9881351269863723</v>
      </c>
      <c r="H281" s="50">
        <v>18630.062317345488</v>
      </c>
      <c r="I281" s="7">
        <v>0.002733656705130513</v>
      </c>
      <c r="J281" s="7">
        <v>0.023615590267451855</v>
      </c>
      <c r="K281" s="50">
        <v>770258.2147215027</v>
      </c>
      <c r="L281" s="7">
        <v>0.11302278529658269</v>
      </c>
      <c r="M281" s="7">
        <v>0.9763844097325481</v>
      </c>
      <c r="N281" s="51">
        <v>-0.04228719147513038</v>
      </c>
      <c r="O281" s="7">
        <v>-0.22828449019414032</v>
      </c>
      <c r="P281" s="52">
        <v>57.0767983138204</v>
      </c>
      <c r="Q281" s="34">
        <v>4625.467841704134</v>
      </c>
      <c r="R281" s="13">
        <v>5008.069187616141</v>
      </c>
      <c r="S281" s="7">
        <v>-0.07639697687446015</v>
      </c>
      <c r="T281" s="52">
        <v>285844.55496322486</v>
      </c>
      <c r="U281" s="52">
        <v>788888.2770388483</v>
      </c>
      <c r="V281" s="52">
        <v>503043.7220756234</v>
      </c>
    </row>
    <row r="282">
      <c r="A282" s="54">
        <v>45374.95996627315</v>
      </c>
      <c r="B282" s="47">
        <v>14.674722781087379</v>
      </c>
      <c r="C282" s="7">
        <v>-0.07797449213906082</v>
      </c>
      <c r="D282" s="48">
        <v>1.6440941947905188</v>
      </c>
      <c r="E282" s="49">
        <v>161.53256138470212</v>
      </c>
      <c r="F282" s="7">
        <v>0.06916154403797048</v>
      </c>
      <c r="G282" s="48">
        <v>1.8300914935095287</v>
      </c>
      <c r="H282" s="50">
        <v>17321.60438382235</v>
      </c>
      <c r="I282" s="56">
        <v>-0.0017870381487572807</v>
      </c>
      <c r="J282" s="56">
        <v>0.02291824030825685</v>
      </c>
      <c r="K282" s="50">
        <v>738478.3240069199</v>
      </c>
      <c r="L282" s="56">
        <v>-0.07618745399030355</v>
      </c>
      <c r="M282" s="56">
        <v>0.9770817596917433</v>
      </c>
      <c r="N282" s="51">
        <v>-0.1471360361770313</v>
      </c>
      <c r="O282" s="7">
        <v>-0.18599729871900994</v>
      </c>
      <c r="P282" s="52">
        <v>57.0767983138204</v>
      </c>
      <c r="Q282" s="34">
        <v>4678.932358354345</v>
      </c>
      <c r="R282" s="13">
        <v>5008.069187616141</v>
      </c>
      <c r="S282" s="56">
        <v>-0.06572130234855374</v>
      </c>
      <c r="T282" s="50">
        <v>285844.55496322486</v>
      </c>
      <c r="U282" s="50">
        <v>755799.9283907422</v>
      </c>
      <c r="V282" s="50">
        <v>469955.3734275173</v>
      </c>
    </row>
    <row r="283">
      <c r="A283" s="54">
        <v>45373.95998888889</v>
      </c>
      <c r="B283" s="47">
        <v>15.107481212459167</v>
      </c>
      <c r="C283" s="7">
        <v>-0.11070098825426822</v>
      </c>
      <c r="D283" s="48">
        <v>1.7220686869295796</v>
      </c>
      <c r="E283" s="49">
        <v>157.58504188457448</v>
      </c>
      <c r="F283" s="7">
        <v>-0.11440127452159565</v>
      </c>
      <c r="G283" s="48">
        <v>1.7609299494715582</v>
      </c>
      <c r="H283" s="50">
        <v>16872.339243969232</v>
      </c>
      <c r="I283" s="56">
        <v>-0.002523096832113456</v>
      </c>
      <c r="J283" s="56">
        <v>0.022791999167326087</v>
      </c>
      <c r="K283" s="50">
        <v>723402.3124047068</v>
      </c>
      <c r="L283" s="56">
        <v>-0.10817789142215477</v>
      </c>
      <c r="M283" s="56">
        <v>0.977208000832674</v>
      </c>
      <c r="N283" s="51">
        <v>0.003700286267327435</v>
      </c>
      <c r="O283" s="7">
        <v>-0.038861262541978636</v>
      </c>
      <c r="P283" s="52">
        <v>57.0767983138204</v>
      </c>
      <c r="Q283" s="34">
        <v>4697.620045631623</v>
      </c>
      <c r="R283" s="13">
        <v>5008.069187616141</v>
      </c>
      <c r="S283" s="56">
        <v>-0.00878999597150889</v>
      </c>
      <c r="T283" s="50">
        <v>271952.9654792385</v>
      </c>
      <c r="U283" s="50">
        <v>740274.651648676</v>
      </c>
      <c r="V283" s="50">
        <v>468321.68616943754</v>
      </c>
    </row>
    <row r="284">
      <c r="A284" s="54">
        <v>45372.95996076389</v>
      </c>
      <c r="B284" s="47">
        <v>15.721871697270355</v>
      </c>
      <c r="C284" s="7">
        <v>-0.19519663872771043</v>
      </c>
      <c r="D284" s="48">
        <v>1.8327696751838478</v>
      </c>
      <c r="E284" s="49">
        <v>164.11470035728757</v>
      </c>
      <c r="F284" s="7">
        <v>-0.1724562588691354</v>
      </c>
      <c r="G284" s="48">
        <v>1.8753312239931539</v>
      </c>
      <c r="H284" s="50">
        <v>17358.669907481675</v>
      </c>
      <c r="I284" s="56">
        <v>-0.004398288531245438</v>
      </c>
      <c r="J284" s="56">
        <v>0.022532603839458685</v>
      </c>
      <c r="K284" s="50">
        <v>753021.4437784249</v>
      </c>
      <c r="L284" s="56">
        <v>-0.190798350196465</v>
      </c>
      <c r="M284" s="56">
        <v>0.9774673961605413</v>
      </c>
      <c r="N284" s="51">
        <v>-0.02274037985857502</v>
      </c>
      <c r="O284" s="7">
        <v>-0.04256154880930607</v>
      </c>
      <c r="P284" s="52">
        <v>57.0767983138204</v>
      </c>
      <c r="Q284" s="34">
        <v>4694.156659999029</v>
      </c>
      <c r="R284" s="13">
        <v>5008.069187616141</v>
      </c>
      <c r="S284" s="56">
        <v>-0.009520779315731814</v>
      </c>
      <c r="T284" s="50">
        <v>271952.9654792385</v>
      </c>
      <c r="U284" s="50">
        <v>770380.1136859065</v>
      </c>
      <c r="V284" s="50">
        <v>498427.14820666803</v>
      </c>
    </row>
    <row r="285">
      <c r="A285" s="54">
        <v>45371.95996519676</v>
      </c>
      <c r="B285" s="47">
        <v>16.805213042209147</v>
      </c>
      <c r="C285" s="7">
        <v>0.3727677000059564</v>
      </c>
      <c r="D285" s="48">
        <v>2.0279663139115582</v>
      </c>
      <c r="E285" s="49">
        <v>173.95795146271723</v>
      </c>
      <c r="F285" s="7">
        <v>0.3298659585451542</v>
      </c>
      <c r="G285" s="48">
        <v>2.0477874828622893</v>
      </c>
      <c r="H285" s="50">
        <v>17827.427762925072</v>
      </c>
      <c r="I285" s="56">
        <v>0.008070159554436488</v>
      </c>
      <c r="J285" s="56">
        <v>0.021649299427787164</v>
      </c>
      <c r="K285" s="50">
        <v>805636.9906765618</v>
      </c>
      <c r="L285" s="56">
        <v>0.3646975404515199</v>
      </c>
      <c r="M285" s="56">
        <v>0.9783507005722129</v>
      </c>
      <c r="N285" s="51">
        <v>0.04290174146080217</v>
      </c>
      <c r="O285" s="7">
        <v>-0.01982116895073105</v>
      </c>
      <c r="P285" s="52">
        <v>57.0767983138204</v>
      </c>
      <c r="Q285" s="34">
        <v>4733.698066201776</v>
      </c>
      <c r="R285" s="13">
        <v>5008.069187616141</v>
      </c>
      <c r="S285" s="56">
        <v>-0.0011774401310390098</v>
      </c>
      <c r="T285" s="50">
        <v>271952.9654792385</v>
      </c>
      <c r="U285" s="50">
        <v>823464.4184394869</v>
      </c>
      <c r="V285" s="50">
        <v>551511.4529602483</v>
      </c>
    </row>
    <row r="286">
      <c r="A286" s="54">
        <v>45370.95997440972</v>
      </c>
      <c r="B286" s="47">
        <v>14.73635230717609</v>
      </c>
      <c r="C286" s="7">
        <v>-0.6115366257253347</v>
      </c>
      <c r="D286" s="48">
        <v>1.6551986139056019</v>
      </c>
      <c r="E286" s="49">
        <v>155.13025867624043</v>
      </c>
      <c r="F286" s="7">
        <v>-0.4448406854357714</v>
      </c>
      <c r="G286" s="48">
        <v>1.717921524317135</v>
      </c>
      <c r="H286" s="50">
        <v>16651.232998937016</v>
      </c>
      <c r="I286" s="56">
        <v>-0.014101913906102184</v>
      </c>
      <c r="J286" s="56">
        <v>0.023059802655934315</v>
      </c>
      <c r="K286" s="50">
        <v>705437.903989055</v>
      </c>
      <c r="L286" s="56">
        <v>-0.5974347118192326</v>
      </c>
      <c r="M286" s="56">
        <v>0.9769401973440657</v>
      </c>
      <c r="N286" s="51">
        <v>-0.16669594028956336</v>
      </c>
      <c r="O286" s="7">
        <v>-0.06272291041153322</v>
      </c>
      <c r="P286" s="52">
        <v>57.0767983138204</v>
      </c>
      <c r="Q286" s="34">
        <v>4654.727859991549</v>
      </c>
      <c r="R286" s="13">
        <v>5008.069187616141</v>
      </c>
      <c r="S286" s="56">
        <v>-0.017840358301392044</v>
      </c>
      <c r="T286" s="50">
        <v>271952.9654792385</v>
      </c>
      <c r="U286" s="50">
        <v>722089.136987992</v>
      </c>
      <c r="V286" s="50">
        <v>450136.1715087535</v>
      </c>
    </row>
    <row r="287">
      <c r="A287" s="54">
        <v>45369.95996740741</v>
      </c>
      <c r="B287" s="47">
        <v>18.130380579951698</v>
      </c>
      <c r="C287" s="7">
        <v>-0.04819269647618318</v>
      </c>
      <c r="D287" s="48">
        <v>2.2667352396309366</v>
      </c>
      <c r="E287" s="49">
        <v>180.52034076063956</v>
      </c>
      <c r="F287" s="7">
        <v>-0.06742898403017117</v>
      </c>
      <c r="G287" s="48">
        <v>2.1627622097529065</v>
      </c>
      <c r="H287" s="50">
        <v>17963.16463810624</v>
      </c>
      <c r="I287" s="56">
        <v>-9.744427766454576E-4</v>
      </c>
      <c r="J287" s="56">
        <v>0.0202197189179283</v>
      </c>
      <c r="K287" s="50">
        <v>870435.1712150577</v>
      </c>
      <c r="L287" s="56">
        <v>-0.04721825369953773</v>
      </c>
      <c r="M287" s="56">
        <v>0.9797802810820717</v>
      </c>
      <c r="N287" s="51">
        <v>0.019236287553987985</v>
      </c>
      <c r="O287" s="7">
        <v>0.10397302987803014</v>
      </c>
      <c r="P287" s="52">
        <v>57.0767983138204</v>
      </c>
      <c r="Q287" s="34">
        <v>4921.319847446628</v>
      </c>
      <c r="R287" s="13">
        <v>5008.069187616141</v>
      </c>
      <c r="S287" s="56">
        <v>0.03841124195415451</v>
      </c>
      <c r="T287" s="50">
        <v>271952.9654792385</v>
      </c>
      <c r="U287" s="50">
        <v>888398.335853164</v>
      </c>
      <c r="V287" s="50">
        <v>616445.3703739254</v>
      </c>
    </row>
    <row r="288">
      <c r="A288" s="54">
        <v>45368.959967083334</v>
      </c>
      <c r="B288" s="47">
        <v>18.397850045394513</v>
      </c>
      <c r="C288" s="7">
        <v>0.39520384118175933</v>
      </c>
      <c r="D288" s="48">
        <v>2.3149279361071198</v>
      </c>
      <c r="E288" s="49">
        <v>184.36897128263547</v>
      </c>
      <c r="F288" s="7">
        <v>0.3754961880104326</v>
      </c>
      <c r="G288" s="48">
        <v>2.2301911937830776</v>
      </c>
      <c r="H288" s="50">
        <v>18151.83677178665</v>
      </c>
      <c r="I288" s="56">
        <v>0.007957448637670119</v>
      </c>
      <c r="J288" s="56">
        <v>0.020135048824108936</v>
      </c>
      <c r="K288" s="50">
        <v>883352.645802516</v>
      </c>
      <c r="L288" s="56">
        <v>0.3872463925440892</v>
      </c>
      <c r="M288" s="56">
        <v>0.979864951175891</v>
      </c>
      <c r="N288" s="51">
        <v>0.019707653171326722</v>
      </c>
      <c r="O288" s="7">
        <v>0.08473674232404216</v>
      </c>
      <c r="P288" s="52">
        <v>57.0767983138204</v>
      </c>
      <c r="Q288" s="34">
        <v>4889.67572093412</v>
      </c>
      <c r="R288" s="13">
        <v>5008.069187616141</v>
      </c>
      <c r="S288" s="56">
        <v>0.031734249250773054</v>
      </c>
      <c r="T288" s="50">
        <v>271952.9654792385</v>
      </c>
      <c r="U288" s="50">
        <v>901504.4825743027</v>
      </c>
      <c r="V288" s="50">
        <v>629551.5170950643</v>
      </c>
    </row>
    <row r="289">
      <c r="A289" s="54">
        <v>45367.95996925926</v>
      </c>
      <c r="B289" s="47">
        <v>16.20446872683575</v>
      </c>
      <c r="C289" s="7">
        <v>-0.07800394216343687</v>
      </c>
      <c r="D289" s="48">
        <v>1.9197240949253604</v>
      </c>
      <c r="E289" s="49">
        <v>162.93685109195562</v>
      </c>
      <c r="F289" s="7">
        <v>-0.08542985017807903</v>
      </c>
      <c r="G289" s="48">
        <v>1.854695005772645</v>
      </c>
      <c r="H289" s="50">
        <v>17271.106752508058</v>
      </c>
      <c r="I289" s="56">
        <v>-0.0016966845587155128</v>
      </c>
      <c r="J289" s="56">
        <v>0.021751266816240566</v>
      </c>
      <c r="K289" s="50">
        <v>776756.5192436293</v>
      </c>
      <c r="L289" s="56">
        <v>-0.07630725760472135</v>
      </c>
      <c r="M289" s="56">
        <v>0.9782487331837594</v>
      </c>
      <c r="N289" s="51">
        <v>0.0074259080146421574</v>
      </c>
      <c r="O289" s="7">
        <v>0.06502908915271544</v>
      </c>
      <c r="P289" s="52">
        <v>57.0767983138204</v>
      </c>
      <c r="Q289" s="34">
        <v>4873.223096400809</v>
      </c>
      <c r="R289" s="13">
        <v>5008.069187616141</v>
      </c>
      <c r="S289" s="56">
        <v>0.028262702835454033</v>
      </c>
      <c r="T289" s="50">
        <v>271952.9654792385</v>
      </c>
      <c r="U289" s="50">
        <v>794027.6259961374</v>
      </c>
      <c r="V289" s="50">
        <v>522074.6605168989</v>
      </c>
    </row>
    <row r="290">
      <c r="A290" s="54">
        <v>45366.96001953704</v>
      </c>
      <c r="B290" s="47">
        <v>16.637390605842825</v>
      </c>
      <c r="C290" s="7">
        <v>0.2356233891919537</v>
      </c>
      <c r="D290" s="48">
        <v>1.9977280370887973</v>
      </c>
      <c r="E290" s="49">
        <v>167.81291342054973</v>
      </c>
      <c r="F290" s="7">
        <v>0.15999390763769394</v>
      </c>
      <c r="G290" s="48">
        <v>1.940124855950724</v>
      </c>
      <c r="H290" s="50">
        <v>18413.43208708077</v>
      </c>
      <c r="I290" s="56">
        <v>0.005321904956474696</v>
      </c>
      <c r="J290" s="56">
        <v>0.02258648844126054</v>
      </c>
      <c r="K290" s="50">
        <v>796827.5972994743</v>
      </c>
      <c r="L290" s="56">
        <v>0.230301484235479</v>
      </c>
      <c r="M290" s="56">
        <v>0.9774135115587395</v>
      </c>
      <c r="N290" s="51">
        <v>0.07562948155425975</v>
      </c>
      <c r="O290" s="7">
        <v>0.05760318113807328</v>
      </c>
      <c r="P290" s="52">
        <v>57.0767983138204</v>
      </c>
      <c r="Q290" s="34">
        <v>4858.035134301671</v>
      </c>
      <c r="R290" s="13">
        <v>5008.069187616141</v>
      </c>
      <c r="S290" s="56">
        <v>0.02505800347125788</v>
      </c>
      <c r="T290" s="50">
        <v>271952.9654792385</v>
      </c>
      <c r="U290" s="50">
        <v>815241.0293865551</v>
      </c>
      <c r="V290" s="50">
        <v>543288.0639073167</v>
      </c>
    </row>
    <row r="291">
      <c r="A291" s="54">
        <v>45365.95996392361</v>
      </c>
      <c r="B291" s="47">
        <v>15.329680795827482</v>
      </c>
      <c r="C291" s="7">
        <v>0.1665425837853931</v>
      </c>
      <c r="D291" s="48">
        <v>1.7621046478968436</v>
      </c>
      <c r="E291" s="49">
        <v>158.68097342287305</v>
      </c>
      <c r="F291" s="7">
        <v>0.16524194442808726</v>
      </c>
      <c r="G291" s="48">
        <v>1.78013094831303</v>
      </c>
      <c r="H291" s="50">
        <v>18965.000898357823</v>
      </c>
      <c r="I291" s="56">
        <v>0.0042047892979688115</v>
      </c>
      <c r="J291" s="56">
        <v>0.02524753250728418</v>
      </c>
      <c r="K291" s="50">
        <v>732197.5490611766</v>
      </c>
      <c r="L291" s="56">
        <v>0.1623377944874243</v>
      </c>
      <c r="M291" s="56">
        <v>0.9747524674927158</v>
      </c>
      <c r="N291" s="51">
        <v>0.001300639357305844</v>
      </c>
      <c r="O291" s="7">
        <v>-0.01802630041618647</v>
      </c>
      <c r="P291" s="52">
        <v>57.0767983138204</v>
      </c>
      <c r="Q291" s="34">
        <v>4733.790912397177</v>
      </c>
      <c r="R291" s="13">
        <v>5008.069187616141</v>
      </c>
      <c r="S291" s="56">
        <v>-0.001157849343188279</v>
      </c>
      <c r="T291" s="50">
        <v>271952.9654792385</v>
      </c>
      <c r="U291" s="50">
        <v>751162.5499595344</v>
      </c>
      <c r="V291" s="50">
        <v>479209.58448029595</v>
      </c>
    </row>
    <row r="292">
      <c r="A292" s="54">
        <v>45364.95996628472</v>
      </c>
      <c r="B292" s="47">
        <v>14.40536945581855</v>
      </c>
      <c r="C292" s="7">
        <v>0.2674859417474491</v>
      </c>
      <c r="D292" s="48">
        <v>1.5955620641114505</v>
      </c>
      <c r="E292" s="49">
        <v>149.04269105112343</v>
      </c>
      <c r="F292" s="7">
        <v>0.22972951352414706</v>
      </c>
      <c r="G292" s="48">
        <v>1.6148890038849428</v>
      </c>
      <c r="H292" s="50">
        <v>18609.699594019017</v>
      </c>
      <c r="I292" s="56">
        <v>0.007052045528130299</v>
      </c>
      <c r="J292" s="56">
        <v>0.026364172569445142</v>
      </c>
      <c r="K292" s="50">
        <v>687261.1008265032</v>
      </c>
      <c r="L292" s="56">
        <v>0.26043389621931884</v>
      </c>
      <c r="M292" s="56">
        <v>0.9736358274305549</v>
      </c>
      <c r="N292" s="51">
        <v>0.03775642822330205</v>
      </c>
      <c r="O292" s="7">
        <v>-0.019326939773492313</v>
      </c>
      <c r="P292" s="52">
        <v>56.99771226606199</v>
      </c>
      <c r="Q292" s="34">
        <v>4736.030968324371</v>
      </c>
      <c r="R292" s="13">
        <v>5004.236670970016</v>
      </c>
      <c r="S292" s="56">
        <v>0.006422717952329826</v>
      </c>
      <c r="T292" s="50">
        <v>271952.9654792385</v>
      </c>
      <c r="U292" s="50">
        <v>705870.8004205222</v>
      </c>
      <c r="V292" s="50">
        <v>433917.83494128374</v>
      </c>
    </row>
    <row r="293">
      <c r="A293" s="54">
        <v>45363.95997322917</v>
      </c>
      <c r="B293" s="47">
        <v>12.920822479120208</v>
      </c>
      <c r="C293" s="7">
        <v>0.011088914515495318</v>
      </c>
      <c r="D293" s="48">
        <v>1.3280761223640014</v>
      </c>
      <c r="E293" s="49">
        <v>135.9486343402517</v>
      </c>
      <c r="F293" s="7">
        <v>0.0152398876914277</v>
      </c>
      <c r="G293" s="48">
        <v>1.3851594903607958</v>
      </c>
      <c r="H293" s="50">
        <v>18214.854355542837</v>
      </c>
      <c r="I293" s="56">
        <v>3.1902429899989407E-4</v>
      </c>
      <c r="J293" s="56">
        <v>0.028769659875554007</v>
      </c>
      <c r="K293" s="50">
        <v>614912.3509827539</v>
      </c>
      <c r="L293" s="56">
        <v>0.010769890216495425</v>
      </c>
      <c r="M293" s="56">
        <v>0.9712303401244461</v>
      </c>
      <c r="N293" s="51">
        <v>-0.004150973175932382</v>
      </c>
      <c r="O293" s="7">
        <v>-0.057083367996794365</v>
      </c>
      <c r="P293" s="52">
        <v>56.99771226606199</v>
      </c>
      <c r="Q293" s="34">
        <v>4657.1060342813635</v>
      </c>
      <c r="R293" s="13">
        <v>5004.236670970016</v>
      </c>
      <c r="S293" s="56">
        <v>-0.010349099454488286</v>
      </c>
      <c r="T293" s="50">
        <v>271952.9654792385</v>
      </c>
      <c r="U293" s="50">
        <v>633127.2053382967</v>
      </c>
      <c r="V293" s="50">
        <v>361174.23985905823</v>
      </c>
    </row>
    <row r="294">
      <c r="A294" s="54">
        <v>45362.95999325231</v>
      </c>
      <c r="B294" s="47">
        <v>12.859279003559209</v>
      </c>
      <c r="C294" s="7">
        <v>0.09064511673730635</v>
      </c>
      <c r="D294" s="48">
        <v>1.316987207848506</v>
      </c>
      <c r="E294" s="49">
        <v>135.0799956066486</v>
      </c>
      <c r="F294" s="7">
        <v>0.08921624461717892</v>
      </c>
      <c r="G294" s="48">
        <v>1.369919602669368</v>
      </c>
      <c r="H294" s="50">
        <v>18345.488233756987</v>
      </c>
      <c r="I294" s="7">
        <v>0.0026391024625144906</v>
      </c>
      <c r="J294" s="7">
        <v>0.029114667811204094</v>
      </c>
      <c r="K294" s="50">
        <v>611766.053918105</v>
      </c>
      <c r="L294" s="7">
        <v>0.08800601427479186</v>
      </c>
      <c r="M294" s="7">
        <v>0.9708853321887959</v>
      </c>
      <c r="N294" s="51">
        <v>0.0014288721201274335</v>
      </c>
      <c r="O294" s="7">
        <v>-0.05293239482086198</v>
      </c>
      <c r="P294" s="52">
        <v>56.99771226606199</v>
      </c>
      <c r="Q294" s="34">
        <v>4664.728772917195</v>
      </c>
      <c r="R294" s="13">
        <v>5004.236670970016</v>
      </c>
      <c r="S294" s="7">
        <v>-0.008729241521247624</v>
      </c>
      <c r="T294" s="52">
        <v>271952.9654792385</v>
      </c>
      <c r="U294" s="52">
        <v>630111.5421518619</v>
      </c>
      <c r="V294" s="52">
        <v>358158.57667262346</v>
      </c>
    </row>
    <row r="295">
      <c r="A295" s="54">
        <v>45361.95997304398</v>
      </c>
      <c r="B295" s="47">
        <v>12.356198605667158</v>
      </c>
      <c r="C295" s="7">
        <v>-0.032260559896190255</v>
      </c>
      <c r="D295" s="48">
        <v>1.2263420911111997</v>
      </c>
      <c r="E295" s="49">
        <v>129.99487376650004</v>
      </c>
      <c r="F295" s="7">
        <v>-0.04810523739459649</v>
      </c>
      <c r="G295" s="48">
        <v>1.2807033580521892</v>
      </c>
      <c r="H295" s="50">
        <v>17764.082447104884</v>
      </c>
      <c r="I295" s="56">
        <v>-9.465182337257297E-4</v>
      </c>
      <c r="J295" s="56">
        <v>0.02933979561332743</v>
      </c>
      <c r="K295" s="50">
        <v>587696.2514018349</v>
      </c>
      <c r="L295" s="56">
        <v>-0.03131404166246453</v>
      </c>
      <c r="M295" s="56">
        <v>0.9706602043866727</v>
      </c>
      <c r="N295" s="51">
        <v>0.015844677498406234</v>
      </c>
      <c r="O295" s="7">
        <v>-0.05436126694098942</v>
      </c>
      <c r="P295" s="52">
        <v>56.99771226606199</v>
      </c>
      <c r="Q295" s="34">
        <v>4657.570843420198</v>
      </c>
      <c r="R295" s="13">
        <v>5004.236670970016</v>
      </c>
      <c r="S295" s="56">
        <v>-0.010250325928731478</v>
      </c>
      <c r="T295" s="50">
        <v>271952.9654792385</v>
      </c>
      <c r="U295" s="50">
        <v>605460.3338489397</v>
      </c>
      <c r="V295" s="50">
        <v>333507.36836970126</v>
      </c>
    </row>
    <row r="296">
      <c r="A296" s="54">
        <v>45360.95996261574</v>
      </c>
      <c r="B296" s="47">
        <v>12.535244713091014</v>
      </c>
      <c r="C296" s="7">
        <v>0.025100237508298928</v>
      </c>
      <c r="D296" s="48">
        <v>1.25860265100739</v>
      </c>
      <c r="E296" s="49">
        <v>132.73676224600786</v>
      </c>
      <c r="F296" s="7">
        <v>0.015544219149493</v>
      </c>
      <c r="G296" s="48">
        <v>1.3288085954467856</v>
      </c>
      <c r="H296" s="50">
        <v>17466.981527652366</v>
      </c>
      <c r="I296" s="56">
        <v>7.137761944764555E-4</v>
      </c>
      <c r="J296" s="56">
        <v>0.028437029499838742</v>
      </c>
      <c r="K296" s="50">
        <v>596766.7072530768</v>
      </c>
      <c r="L296" s="56">
        <v>0.024386461313822473</v>
      </c>
      <c r="M296" s="56">
        <v>0.9715629705001613</v>
      </c>
      <c r="N296" s="51">
        <v>0.009556018358805929</v>
      </c>
      <c r="O296" s="7">
        <v>-0.07020594443939565</v>
      </c>
      <c r="P296" s="52">
        <v>56.99771226606199</v>
      </c>
      <c r="Q296" s="34">
        <v>4627.45721974398</v>
      </c>
      <c r="R296" s="13">
        <v>5004.236670970016</v>
      </c>
      <c r="S296" s="56">
        <v>-0.016649573566745846</v>
      </c>
      <c r="T296" s="50">
        <v>271952.9654792385</v>
      </c>
      <c r="U296" s="50">
        <v>614233.6887807292</v>
      </c>
      <c r="V296" s="50">
        <v>342280.7233014907</v>
      </c>
    </row>
    <row r="297">
      <c r="A297" s="54">
        <v>45359.95996136574</v>
      </c>
      <c r="B297" s="47">
        <v>12.395938394919956</v>
      </c>
      <c r="C297" s="7">
        <v>0.002234652639348411</v>
      </c>
      <c r="D297" s="48">
        <v>1.233502413499091</v>
      </c>
      <c r="E297" s="49">
        <v>131.85077731552443</v>
      </c>
      <c r="F297" s="7">
        <v>0.007839471160671518</v>
      </c>
      <c r="G297" s="48">
        <v>1.3132643762972926</v>
      </c>
      <c r="H297" s="50">
        <v>17429.294190114044</v>
      </c>
      <c r="I297" s="56">
        <v>6.412237508872944E-5</v>
      </c>
      <c r="J297" s="56">
        <v>0.02869456038027749</v>
      </c>
      <c r="K297" s="50">
        <v>589978.3105660002</v>
      </c>
      <c r="L297" s="56">
        <v>0.002170530264259682</v>
      </c>
      <c r="M297" s="56">
        <v>0.9713054396197226</v>
      </c>
      <c r="N297" s="51">
        <v>-0.005604818521323107</v>
      </c>
      <c r="O297" s="7">
        <v>-0.07976196279820158</v>
      </c>
      <c r="P297" s="52">
        <v>56.99771226606199</v>
      </c>
      <c r="Q297" s="34">
        <v>4606.780613075662</v>
      </c>
      <c r="R297" s="13">
        <v>5004.236670970016</v>
      </c>
      <c r="S297" s="56">
        <v>-0.021043422935624206</v>
      </c>
      <c r="T297" s="50">
        <v>271952.9654792385</v>
      </c>
      <c r="U297" s="50">
        <v>607407.6047561142</v>
      </c>
      <c r="V297" s="50">
        <v>335454.6392768757</v>
      </c>
    </row>
    <row r="298">
      <c r="A298" s="54">
        <v>45358.959961898145</v>
      </c>
      <c r="B298" s="47">
        <v>12.383536072771571</v>
      </c>
      <c r="C298" s="7">
        <v>0.32199245843895663</v>
      </c>
      <c r="D298" s="48">
        <v>1.2312677608597427</v>
      </c>
      <c r="E298" s="49">
        <v>131.4039453939904</v>
      </c>
      <c r="F298" s="7">
        <v>0.27234345847271646</v>
      </c>
      <c r="G298" s="48">
        <v>1.3054249051366211</v>
      </c>
      <c r="H298" s="50">
        <v>17250.073326211797</v>
      </c>
      <c r="I298" s="56">
        <v>0.009153583680332615</v>
      </c>
      <c r="J298" s="56">
        <v>0.028427944321149222</v>
      </c>
      <c r="K298" s="50">
        <v>589549.8110178156</v>
      </c>
      <c r="L298" s="56">
        <v>0.31283887475862404</v>
      </c>
      <c r="M298" s="56">
        <v>0.9715720556788509</v>
      </c>
      <c r="N298" s="51">
        <v>0.04964899996624017</v>
      </c>
      <c r="O298" s="7">
        <v>-0.07415714427687847</v>
      </c>
      <c r="P298" s="52">
        <v>56.99771226606199</v>
      </c>
      <c r="Q298" s="34">
        <v>4617.8208920946045</v>
      </c>
      <c r="R298" s="13">
        <v>5004.236670970016</v>
      </c>
      <c r="S298" s="56">
        <v>-0.0186973260263112</v>
      </c>
      <c r="T298" s="50">
        <v>271952.9654792385</v>
      </c>
      <c r="U298" s="50">
        <v>606799.8843440274</v>
      </c>
      <c r="V298" s="50">
        <v>334846.9188647889</v>
      </c>
    </row>
    <row r="299">
      <c r="A299" s="54">
        <v>45357.9599545949</v>
      </c>
      <c r="B299" s="47">
        <v>10.596477928435363</v>
      </c>
      <c r="C299" s="7">
        <v>0.005436386237999358</v>
      </c>
      <c r="D299" s="48">
        <v>0.909275302420786</v>
      </c>
      <c r="E299" s="49">
        <v>115.8809913104183</v>
      </c>
      <c r="F299" s="7">
        <v>0.06330402424622705</v>
      </c>
      <c r="G299" s="48">
        <v>1.0330814466639047</v>
      </c>
      <c r="H299" s="50">
        <v>16964.484489763374</v>
      </c>
      <c r="I299" s="56">
        <v>1.776186716419341E-4</v>
      </c>
      <c r="J299" s="56">
        <v>0.03267219506966074</v>
      </c>
      <c r="K299" s="50">
        <v>502268.5959198392</v>
      </c>
      <c r="L299" s="56">
        <v>0.005258767566357423</v>
      </c>
      <c r="M299" s="56">
        <v>0.9673278049303392</v>
      </c>
      <c r="N299" s="51">
        <v>-0.057867638008227695</v>
      </c>
      <c r="O299" s="7">
        <v>-0.12380614424311864</v>
      </c>
      <c r="P299" s="52">
        <v>56.99771226606199</v>
      </c>
      <c r="Q299" s="34">
        <v>4480.744206085515</v>
      </c>
      <c r="R299" s="13">
        <v>5004.236670970016</v>
      </c>
      <c r="S299" s="56">
        <v>-0.04782658886767647</v>
      </c>
      <c r="T299" s="50">
        <v>271952.9654792385</v>
      </c>
      <c r="U299" s="50">
        <v>519233.0804096026</v>
      </c>
      <c r="V299" s="50">
        <v>247280.11493036413</v>
      </c>
    </row>
    <row r="300">
      <c r="A300" s="54">
        <v>45356.95996335648</v>
      </c>
      <c r="B300" s="47">
        <v>10.566305984814466</v>
      </c>
      <c r="C300" s="7">
        <v>-0.09585364969923749</v>
      </c>
      <c r="D300" s="48">
        <v>0.9038389161827867</v>
      </c>
      <c r="E300" s="49">
        <v>112.27280675114802</v>
      </c>
      <c r="F300" s="7">
        <v>-0.14386613323983677</v>
      </c>
      <c r="G300" s="48">
        <v>0.9697774224176776</v>
      </c>
      <c r="H300" s="50">
        <v>16306.48399803896</v>
      </c>
      <c r="I300" s="56">
        <v>-0.0030188739744371976</v>
      </c>
      <c r="J300" s="56">
        <v>0.03149461688636372</v>
      </c>
      <c r="K300" s="50">
        <v>501448.15505264926</v>
      </c>
      <c r="L300" s="56">
        <v>-0.09283477572480028</v>
      </c>
      <c r="M300" s="56">
        <v>0.9685053831136362</v>
      </c>
      <c r="N300" s="51">
        <v>0.04801248354059928</v>
      </c>
      <c r="O300" s="7">
        <v>-0.06593850623489095</v>
      </c>
      <c r="P300" s="52">
        <v>56.99771226606199</v>
      </c>
      <c r="Q300" s="34">
        <v>4611.576516460376</v>
      </c>
      <c r="R300" s="13">
        <v>5004.236670970016</v>
      </c>
      <c r="S300" s="56">
        <v>-0.020024277125184335</v>
      </c>
      <c r="T300" s="50">
        <v>271952.9654792385</v>
      </c>
      <c r="U300" s="50">
        <v>517754.63905068825</v>
      </c>
      <c r="V300" s="50">
        <v>245801.67357144976</v>
      </c>
    </row>
    <row r="301">
      <c r="A301" s="54">
        <v>45355.95998083333</v>
      </c>
      <c r="B301" s="47">
        <v>11.098293740645234</v>
      </c>
      <c r="C301" s="7">
        <v>-0.01199560540564959</v>
      </c>
      <c r="D301" s="48">
        <v>0.9996925658820242</v>
      </c>
      <c r="E301" s="49">
        <v>120.47284721838318</v>
      </c>
      <c r="F301" s="7">
        <v>-0.0037686397707843433</v>
      </c>
      <c r="G301" s="48">
        <v>1.1136435556575144</v>
      </c>
      <c r="H301" s="50">
        <v>17469.572370452246</v>
      </c>
      <c r="I301" s="56">
        <v>-3.853429470768196E-4</v>
      </c>
      <c r="J301" s="56">
        <v>0.032123676466994655</v>
      </c>
      <c r="K301" s="50">
        <v>526352.7509679517</v>
      </c>
      <c r="L301" s="56">
        <v>-0.01161026245857277</v>
      </c>
      <c r="M301" s="56">
        <v>0.9678763235330053</v>
      </c>
      <c r="N301" s="51">
        <v>-0.008226965634865246</v>
      </c>
      <c r="O301" s="7">
        <v>-0.11395098977549023</v>
      </c>
      <c r="P301" s="52">
        <v>56.99771226606199</v>
      </c>
      <c r="Q301" s="34">
        <v>4514.0655001919895</v>
      </c>
      <c r="R301" s="13">
        <v>5004.236670970016</v>
      </c>
      <c r="S301" s="56">
        <v>-0.04074570033366583</v>
      </c>
      <c r="T301" s="50">
        <v>271952.9654792385</v>
      </c>
      <c r="U301" s="50">
        <v>543822.323338404</v>
      </c>
      <c r="V301" s="50">
        <v>271869.35785916547</v>
      </c>
    </row>
    <row r="302">
      <c r="A302" s="54">
        <v>45354.95996017361</v>
      </c>
      <c r="B302" s="47">
        <v>11.164869350646589</v>
      </c>
      <c r="C302" s="7">
        <v>0.06325317443844058</v>
      </c>
      <c r="D302" s="48">
        <v>1.0116881712876737</v>
      </c>
      <c r="E302" s="49">
        <v>120.68765106367277</v>
      </c>
      <c r="F302" s="7">
        <v>0.03909103143297399</v>
      </c>
      <c r="G302" s="48">
        <v>1.1174121954282987</v>
      </c>
      <c r="H302" s="50">
        <v>16244.315987993137</v>
      </c>
      <c r="I302" s="56">
        <v>0.001878145758093579</v>
      </c>
      <c r="J302" s="56">
        <v>0.029692513850374937</v>
      </c>
      <c r="K302" s="50">
        <v>530840.2478131959</v>
      </c>
      <c r="L302" s="56">
        <v>0.061375028680347006</v>
      </c>
      <c r="M302" s="56">
        <v>0.970307486149625</v>
      </c>
      <c r="N302" s="51">
        <v>0.024162143005466596</v>
      </c>
      <c r="O302" s="7">
        <v>-0.10572402414062498</v>
      </c>
      <c r="P302" s="52">
        <v>56.99771226606199</v>
      </c>
      <c r="Q302" s="34">
        <v>4533.06165941167</v>
      </c>
      <c r="R302" s="13">
        <v>5004.236670970016</v>
      </c>
      <c r="S302" s="56">
        <v>-0.03670895177344892</v>
      </c>
      <c r="T302" s="50">
        <v>271952.9654792385</v>
      </c>
      <c r="U302" s="50">
        <v>547084.5638011891</v>
      </c>
      <c r="V302" s="50">
        <v>275131.5983219506</v>
      </c>
    </row>
    <row r="303">
      <c r="A303" s="54">
        <v>45353.95997469907</v>
      </c>
      <c r="B303" s="47">
        <v>10.813814232513243</v>
      </c>
      <c r="C303" s="7">
        <v>-0.037111005906038885</v>
      </c>
      <c r="D303" s="48">
        <v>0.9484349968492332</v>
      </c>
      <c r="E303" s="49">
        <v>118.45955170187254</v>
      </c>
      <c r="F303" s="7">
        <v>-0.0408184290077771</v>
      </c>
      <c r="G303" s="48">
        <v>1.0783211639953247</v>
      </c>
      <c r="H303" s="50">
        <v>15971.293012455348</v>
      </c>
      <c r="I303" s="56">
        <v>-0.0011185697830634893</v>
      </c>
      <c r="J303" s="56">
        <v>0.030141187385100496</v>
      </c>
      <c r="K303" s="50">
        <v>513911.3824242243</v>
      </c>
      <c r="L303" s="56">
        <v>-0.035992436122975396</v>
      </c>
      <c r="M303" s="56">
        <v>0.9698588126148995</v>
      </c>
      <c r="N303" s="51">
        <v>0.0037074231017382164</v>
      </c>
      <c r="O303" s="7">
        <v>-0.12988616714609158</v>
      </c>
      <c r="P303" s="52">
        <v>56.99771226606199</v>
      </c>
      <c r="Q303" s="34">
        <v>4473.110591961691</v>
      </c>
      <c r="R303" s="13">
        <v>5004.236670970016</v>
      </c>
      <c r="S303" s="56">
        <v>-0.04944875787917173</v>
      </c>
      <c r="T303" s="50">
        <v>271952.9654792385</v>
      </c>
      <c r="U303" s="50">
        <v>529882.6754366796</v>
      </c>
      <c r="V303" s="50">
        <v>257929.70995744114</v>
      </c>
    </row>
    <row r="304">
      <c r="A304" s="54">
        <v>45352.9599661574</v>
      </c>
      <c r="B304" s="47">
        <v>11.01978031529176</v>
      </c>
      <c r="C304" s="7">
        <v>0.13211614092841417</v>
      </c>
      <c r="D304" s="48">
        <v>0.985546002755272</v>
      </c>
      <c r="E304" s="49">
        <v>120.57270999058713</v>
      </c>
      <c r="F304" s="7">
        <v>0.10822762932043739</v>
      </c>
      <c r="G304" s="48">
        <v>1.1191395930031018</v>
      </c>
      <c r="H304" s="50">
        <v>15148.029435107033</v>
      </c>
      <c r="I304" s="56">
        <v>0.003706280353247665</v>
      </c>
      <c r="J304" s="56">
        <v>0.028053198702313566</v>
      </c>
      <c r="K304" s="50">
        <v>524827.0941096374</v>
      </c>
      <c r="L304" s="56">
        <v>0.1284098605751665</v>
      </c>
      <c r="M304" s="56">
        <v>0.9719468012976865</v>
      </c>
      <c r="N304" s="51">
        <v>0.02388851160797678</v>
      </c>
      <c r="O304" s="7">
        <v>-0.1335935902478298</v>
      </c>
      <c r="P304" s="52">
        <v>56.89701159314362</v>
      </c>
      <c r="Q304" s="34">
        <v>4478.419068352194</v>
      </c>
      <c r="R304" s="13">
        <v>4996.14961003471</v>
      </c>
      <c r="S304" s="56">
        <v>-0.04832068855850054</v>
      </c>
      <c r="T304" s="50">
        <v>271952.9654792385</v>
      </c>
      <c r="U304" s="50">
        <v>539975.1235447444</v>
      </c>
      <c r="V304" s="50">
        <v>268022.15806550597</v>
      </c>
    </row>
    <row r="305">
      <c r="A305" s="54">
        <v>45351.95995412037</v>
      </c>
      <c r="B305" s="47">
        <v>10.286535733139061</v>
      </c>
      <c r="C305" s="7">
        <v>0.12601398423171983</v>
      </c>
      <c r="D305" s="48">
        <v>0.8534298618268579</v>
      </c>
      <c r="E305" s="49">
        <v>114.41488131044376</v>
      </c>
      <c r="F305" s="7">
        <v>0.1318166413495856</v>
      </c>
      <c r="G305" s="48">
        <v>1.0109119636826644</v>
      </c>
      <c r="H305" s="50">
        <v>14833.34599621989</v>
      </c>
      <c r="I305" s="56">
        <v>0.00370841146609748</v>
      </c>
      <c r="J305" s="56">
        <v>0.02942857087415232</v>
      </c>
      <c r="K305" s="50">
        <v>489212.4012353693</v>
      </c>
      <c r="L305" s="56">
        <v>0.12230557276562236</v>
      </c>
      <c r="M305" s="56">
        <v>0.9705714291258477</v>
      </c>
      <c r="N305" s="51">
        <v>-0.0058026571178657615</v>
      </c>
      <c r="O305" s="7">
        <v>-0.15748210185580658</v>
      </c>
      <c r="P305" s="52">
        <v>56.89701159314362</v>
      </c>
      <c r="Q305" s="34">
        <v>4405.421230687236</v>
      </c>
      <c r="R305" s="13">
        <v>4996.14961003471</v>
      </c>
      <c r="S305" s="56">
        <v>-0.06383297778945603</v>
      </c>
      <c r="T305" s="50">
        <v>271952.9654792385</v>
      </c>
      <c r="U305" s="50">
        <v>504045.7472315892</v>
      </c>
      <c r="V305" s="50">
        <v>232092.78175235074</v>
      </c>
    </row>
    <row r="306">
      <c r="A306" s="54">
        <v>45350.959984560184</v>
      </c>
      <c r="B306" s="47">
        <v>9.587158120653015</v>
      </c>
      <c r="C306" s="7">
        <v>0.12333617385722473</v>
      </c>
      <c r="D306" s="48">
        <v>0.727415877595138</v>
      </c>
      <c r="E306" s="49">
        <v>106.91490833940713</v>
      </c>
      <c r="F306" s="7">
        <v>0.12038304579314829</v>
      </c>
      <c r="G306" s="48">
        <v>0.8790953223330789</v>
      </c>
      <c r="H306" s="50">
        <v>15205.30194111745</v>
      </c>
      <c r="I306" s="7">
        <v>0.003992039356244042</v>
      </c>
      <c r="J306" s="7">
        <v>0.03236714121572532</v>
      </c>
      <c r="K306" s="50">
        <v>454570.5685868015</v>
      </c>
      <c r="L306" s="7">
        <v>0.11934413450098068</v>
      </c>
      <c r="M306" s="7">
        <v>0.9676328587842746</v>
      </c>
      <c r="N306" s="51">
        <v>0.002953128064076438</v>
      </c>
      <c r="O306" s="7">
        <v>-0.15167944473794082</v>
      </c>
      <c r="P306" s="52">
        <v>56.89701159314362</v>
      </c>
      <c r="Q306" s="34">
        <v>4393.922960085138</v>
      </c>
      <c r="R306" s="13">
        <v>4996.14961003471</v>
      </c>
      <c r="S306" s="7">
        <v>-0.06627639947071445</v>
      </c>
      <c r="T306" s="52">
        <v>271952.9654792385</v>
      </c>
      <c r="U306" s="52">
        <v>469775.870527919</v>
      </c>
      <c r="V306" s="52">
        <v>197822.9050486805</v>
      </c>
    </row>
    <row r="307">
      <c r="A307" s="54">
        <v>45349.959973564815</v>
      </c>
      <c r="B307" s="47">
        <v>8.902642355745419</v>
      </c>
      <c r="C307" s="7">
        <v>-0.011992738698549887</v>
      </c>
      <c r="D307" s="48">
        <v>0.6040797037379133</v>
      </c>
      <c r="E307" s="49">
        <v>100.06547278729643</v>
      </c>
      <c r="F307" s="7">
        <v>-0.019290557936895603</v>
      </c>
      <c r="G307" s="48">
        <v>0.7587122765399306</v>
      </c>
      <c r="H307" s="50">
        <v>13774.13359842312</v>
      </c>
      <c r="I307" s="56">
        <v>-3.786717612122132E-4</v>
      </c>
      <c r="J307" s="56">
        <v>0.031575086452771677</v>
      </c>
      <c r="K307" s="50">
        <v>422460.0986981608</v>
      </c>
      <c r="L307" s="56">
        <v>-0.011614066937337676</v>
      </c>
      <c r="M307" s="56">
        <v>0.9684249135472284</v>
      </c>
      <c r="N307" s="51">
        <v>0.007297819238345715</v>
      </c>
      <c r="O307" s="7">
        <v>-0.15463257280201725</v>
      </c>
      <c r="P307" s="52">
        <v>56.89701159314362</v>
      </c>
      <c r="Q307" s="34">
        <v>4359.4880446311645</v>
      </c>
      <c r="R307" s="13">
        <v>4996.14961003471</v>
      </c>
      <c r="S307" s="56">
        <v>-0.07359393633553522</v>
      </c>
      <c r="T307" s="50">
        <v>271952.9654792385</v>
      </c>
      <c r="U307" s="50">
        <v>436234.2322965839</v>
      </c>
      <c r="V307" s="50">
        <v>164281.2668173454</v>
      </c>
    </row>
    <row r="308">
      <c r="A308" s="54">
        <v>45348.95998271991</v>
      </c>
      <c r="B308" s="47">
        <v>8.96920205552237</v>
      </c>
      <c r="C308" s="7">
        <v>0.09402197472625762</v>
      </c>
      <c r="D308" s="48">
        <v>0.6160724424364632</v>
      </c>
      <c r="E308" s="49">
        <v>101.16304788587018</v>
      </c>
      <c r="F308" s="7">
        <v>0.09687959111283906</v>
      </c>
      <c r="G308" s="48">
        <v>0.7780028344768262</v>
      </c>
      <c r="H308" s="50">
        <v>13188.853969974787</v>
      </c>
      <c r="I308" s="56">
        <v>0.002821511368509375</v>
      </c>
      <c r="J308" s="56">
        <v>0.030009063059185125</v>
      </c>
      <c r="K308" s="50">
        <v>426306.8391798973</v>
      </c>
      <c r="L308" s="56">
        <v>0.09120046335774824</v>
      </c>
      <c r="M308" s="56">
        <v>0.9699909369408148</v>
      </c>
      <c r="N308" s="51">
        <v>-0.002857616386581441</v>
      </c>
      <c r="O308" s="7">
        <v>-0.16193039204036297</v>
      </c>
      <c r="P308" s="52">
        <v>56.89701159314362</v>
      </c>
      <c r="Q308" s="34">
        <v>4344.429140230146</v>
      </c>
      <c r="R308" s="13">
        <v>4996.14961003471</v>
      </c>
      <c r="S308" s="56">
        <v>-0.07679400483129074</v>
      </c>
      <c r="T308" s="50">
        <v>271952.9654792385</v>
      </c>
      <c r="U308" s="50">
        <v>439495.69314987207</v>
      </c>
      <c r="V308" s="50">
        <v>167542.72767063358</v>
      </c>
    </row>
    <row r="309">
      <c r="A309" s="54">
        <v>45347.95996246528</v>
      </c>
      <c r="B309" s="47">
        <v>8.44738009579164</v>
      </c>
      <c r="C309" s="7">
        <v>-0.006367634464677252</v>
      </c>
      <c r="D309" s="48">
        <v>0.5220504677102056</v>
      </c>
      <c r="E309" s="49">
        <v>95.65088866718398</v>
      </c>
      <c r="F309" s="7">
        <v>-0.009161982466276086</v>
      </c>
      <c r="G309" s="48">
        <v>0.6811232433639871</v>
      </c>
      <c r="H309" s="50">
        <v>12550.802021352847</v>
      </c>
      <c r="I309" s="56">
        <v>-1.9307531492981968E-4</v>
      </c>
      <c r="J309" s="56">
        <v>0.030321356541562382</v>
      </c>
      <c r="K309" s="50">
        <v>401375.3362814995</v>
      </c>
      <c r="L309" s="56">
        <v>-0.006174559149747432</v>
      </c>
      <c r="M309" s="56">
        <v>0.9696786434584376</v>
      </c>
      <c r="N309" s="51">
        <v>0.0027943480015988342</v>
      </c>
      <c r="O309" s="7">
        <v>-0.15907277565378153</v>
      </c>
      <c r="P309" s="52">
        <v>56.89701159314362</v>
      </c>
      <c r="Q309" s="34">
        <v>4327.46777443023</v>
      </c>
      <c r="R309" s="13">
        <v>4996.14961003471</v>
      </c>
      <c r="S309" s="56">
        <v>-0.08039835285661096</v>
      </c>
      <c r="T309" s="50">
        <v>271952.9654792385</v>
      </c>
      <c r="U309" s="50">
        <v>413926.13830285234</v>
      </c>
      <c r="V309" s="50">
        <v>141973.17282361386</v>
      </c>
    </row>
    <row r="310">
      <c r="A310" s="54">
        <v>45346.9599647338</v>
      </c>
      <c r="B310" s="47">
        <v>8.4827204670706</v>
      </c>
      <c r="C310" s="7">
        <v>0.06641721626467056</v>
      </c>
      <c r="D310" s="48">
        <v>0.5284181021748828</v>
      </c>
      <c r="E310" s="49">
        <v>96.17217808978386</v>
      </c>
      <c r="F310" s="7">
        <v>0.06836431303597656</v>
      </c>
      <c r="G310" s="48">
        <v>0.6902852258302632</v>
      </c>
      <c r="H310" s="50">
        <v>12496.460175837206</v>
      </c>
      <c r="I310" s="56">
        <v>0.001996786845808936</v>
      </c>
      <c r="J310" s="56">
        <v>0.030064295947782604</v>
      </c>
      <c r="K310" s="50">
        <v>403161.3752027719</v>
      </c>
      <c r="L310" s="56">
        <v>0.06442042941886163</v>
      </c>
      <c r="M310" s="56">
        <v>0.9699357040522174</v>
      </c>
      <c r="N310" s="51">
        <v>-0.0019470967713060006</v>
      </c>
      <c r="O310" s="7">
        <v>-0.16186712365538036</v>
      </c>
      <c r="P310" s="52">
        <v>56.89701159314362</v>
      </c>
      <c r="Q310" s="34">
        <v>4322.0174860817</v>
      </c>
      <c r="R310" s="13">
        <v>4996.14961003471</v>
      </c>
      <c r="S310" s="56">
        <v>-0.08155655770156203</v>
      </c>
      <c r="T310" s="50">
        <v>271952.9654792385</v>
      </c>
      <c r="U310" s="50">
        <v>415657.83537860913</v>
      </c>
      <c r="V310" s="50">
        <v>143704.86989937065</v>
      </c>
    </row>
    <row r="311">
      <c r="A311" s="54">
        <v>45345.959973668985</v>
      </c>
      <c r="B311" s="47">
        <v>8.114104916801677</v>
      </c>
      <c r="C311" s="7">
        <v>-0.0436851413975643</v>
      </c>
      <c r="D311" s="48">
        <v>0.46200088591021227</v>
      </c>
      <c r="E311" s="49">
        <v>92.2824529784186</v>
      </c>
      <c r="F311" s="7">
        <v>-0.04974074410536078</v>
      </c>
      <c r="G311" s="48">
        <v>0.6219209127942866</v>
      </c>
      <c r="H311" s="50">
        <v>12299.839669380139</v>
      </c>
      <c r="I311" s="56">
        <v>-0.0013514244173825581</v>
      </c>
      <c r="J311" s="56">
        <v>0.03093556239371376</v>
      </c>
      <c r="K311" s="50">
        <v>385295.63678717584</v>
      </c>
      <c r="L311" s="56">
        <v>-0.042333716980181735</v>
      </c>
      <c r="M311" s="56">
        <v>0.9690644376062861</v>
      </c>
      <c r="N311" s="51">
        <v>0.006055602707796481</v>
      </c>
      <c r="O311" s="7">
        <v>-0.15992002688407436</v>
      </c>
      <c r="P311" s="52">
        <v>56.89701159314362</v>
      </c>
      <c r="Q311" s="34">
        <v>4308.46237420172</v>
      </c>
      <c r="R311" s="13">
        <v>4996.14961003471</v>
      </c>
      <c r="S311" s="56">
        <v>-0.08443706516269114</v>
      </c>
      <c r="T311" s="50">
        <v>271952.9654792385</v>
      </c>
      <c r="U311" s="50">
        <v>397595.476456556</v>
      </c>
      <c r="V311" s="50">
        <v>125642.51097731752</v>
      </c>
    </row>
    <row r="312">
      <c r="A312" s="54">
        <v>45344.95999284722</v>
      </c>
      <c r="B312" s="47">
        <v>8.35655745155816</v>
      </c>
      <c r="C312" s="7">
        <v>-0.03226802805795481</v>
      </c>
      <c r="D312" s="48">
        <v>0.5056860273077766</v>
      </c>
      <c r="E312" s="49">
        <v>95.11255267243291</v>
      </c>
      <c r="F312" s="7">
        <v>-0.028445715385857273</v>
      </c>
      <c r="G312" s="48">
        <v>0.6716616568996474</v>
      </c>
      <c r="H312" s="50">
        <v>12492.63635658705</v>
      </c>
      <c r="I312" s="56">
        <v>-9.844605223497968E-4</v>
      </c>
      <c r="J312" s="56">
        <v>0.03050885292964485</v>
      </c>
      <c r="K312" s="50">
        <v>396983.14385041647</v>
      </c>
      <c r="L312" s="56">
        <v>-0.03128356753560502</v>
      </c>
      <c r="M312" s="56">
        <v>0.9694911470703551</v>
      </c>
      <c r="N312" s="51">
        <v>-0.0038223126720975387</v>
      </c>
      <c r="O312" s="7">
        <v>-0.16597562959187084</v>
      </c>
      <c r="P312" s="52">
        <v>56.89701159314362</v>
      </c>
      <c r="Q312" s="34">
        <v>4305.170755086721</v>
      </c>
      <c r="R312" s="13">
        <v>4996.14961003471</v>
      </c>
      <c r="S312" s="56">
        <v>-0.08513654544023525</v>
      </c>
      <c r="T312" s="50">
        <v>271952.9654792385</v>
      </c>
      <c r="U312" s="50">
        <v>409475.7802070035</v>
      </c>
      <c r="V312" s="50">
        <v>137522.81472776504</v>
      </c>
    </row>
    <row r="313">
      <c r="A313" s="54">
        <v>45343.95996530092</v>
      </c>
      <c r="B313" s="47">
        <v>8.53564500727981</v>
      </c>
      <c r="C313" s="7">
        <v>-0.047732625864166156</v>
      </c>
      <c r="D313" s="48">
        <v>0.5379540553657314</v>
      </c>
      <c r="E313" s="49">
        <v>96.73102887051729</v>
      </c>
      <c r="F313" s="7">
        <v>-0.06920995485686476</v>
      </c>
      <c r="G313" s="48">
        <v>0.7001073722855047</v>
      </c>
      <c r="H313" s="50">
        <v>12469.851269352606</v>
      </c>
      <c r="I313" s="56">
        <v>-0.0014231131755896014</v>
      </c>
      <c r="J313" s="56">
        <v>0.029814265396573565</v>
      </c>
      <c r="K313" s="50">
        <v>405781.31485817896</v>
      </c>
      <c r="L313" s="56">
        <v>-0.04630951268857656</v>
      </c>
      <c r="M313" s="56">
        <v>0.9701857346034265</v>
      </c>
      <c r="N313" s="51">
        <v>0.021477328992698608</v>
      </c>
      <c r="O313" s="7">
        <v>-0.1621533169197733</v>
      </c>
      <c r="P313" s="52">
        <v>56.89701159314362</v>
      </c>
      <c r="Q313" s="34">
        <v>4323.857308365822</v>
      </c>
      <c r="R313" s="13">
        <v>4996.14961003471</v>
      </c>
      <c r="S313" s="56">
        <v>-0.08116558919731873</v>
      </c>
      <c r="T313" s="50">
        <v>271952.9654792385</v>
      </c>
      <c r="U313" s="50">
        <v>418251.16612753156</v>
      </c>
      <c r="V313" s="50">
        <v>146298.20064829307</v>
      </c>
    </row>
    <row r="314">
      <c r="A314" s="54">
        <v>45342.95997165509</v>
      </c>
      <c r="B314" s="47">
        <v>8.800561080825931</v>
      </c>
      <c r="C314" s="7">
        <v>-0.07905177246599293</v>
      </c>
      <c r="D314" s="48">
        <v>0.5856866812298975</v>
      </c>
      <c r="E314" s="49">
        <v>100.66886847436928</v>
      </c>
      <c r="F314" s="7">
        <v>-0.07203488581863726</v>
      </c>
      <c r="G314" s="48">
        <v>0.7693173271423694</v>
      </c>
      <c r="H314" s="50">
        <v>12690.788639274624</v>
      </c>
      <c r="I314" s="56">
        <v>-0.002326424944388217</v>
      </c>
      <c r="J314" s="56">
        <v>0.02942913070531107</v>
      </c>
      <c r="K314" s="50">
        <v>418541.40664212796</v>
      </c>
      <c r="L314" s="56">
        <v>-0.07672534752160472</v>
      </c>
      <c r="M314" s="56">
        <v>0.9705708692946889</v>
      </c>
      <c r="N314" s="51">
        <v>-0.007016886647355669</v>
      </c>
      <c r="O314" s="7">
        <v>-0.1836306459124719</v>
      </c>
      <c r="P314" s="52">
        <v>56.89701159314362</v>
      </c>
      <c r="Q314" s="34">
        <v>4283.669835736717</v>
      </c>
      <c r="R314" s="13">
        <v>4996.14961003471</v>
      </c>
      <c r="S314" s="56">
        <v>-0.08970556406267077</v>
      </c>
      <c r="T314" s="50">
        <v>271952.9654792385</v>
      </c>
      <c r="U314" s="50">
        <v>431232.19528140256</v>
      </c>
      <c r="V314" s="50">
        <v>159279.22980216407</v>
      </c>
    </row>
    <row r="315">
      <c r="A315" s="54">
        <v>45341.95995927083</v>
      </c>
      <c r="B315" s="47">
        <v>9.239298418012192</v>
      </c>
      <c r="C315" s="7">
        <v>-0.07806888011638469</v>
      </c>
      <c r="D315" s="48">
        <v>0.6647384536958905</v>
      </c>
      <c r="E315" s="49">
        <v>103.95848598113506</v>
      </c>
      <c r="F315" s="7">
        <v>-0.012122899022102285</v>
      </c>
      <c r="G315" s="48">
        <v>0.8413522129610067</v>
      </c>
      <c r="H315" s="50">
        <v>12656.684015450859</v>
      </c>
      <c r="I315" s="56">
        <v>-0.002182519220160246</v>
      </c>
      <c r="J315" s="56">
        <v>0.027956328013243655</v>
      </c>
      <c r="K315" s="50">
        <v>440073.87521446845</v>
      </c>
      <c r="L315" s="56">
        <v>-0.07588636089622444</v>
      </c>
      <c r="M315" s="56">
        <v>0.9720436719867563</v>
      </c>
      <c r="N315" s="51">
        <v>-0.0659459810942824</v>
      </c>
      <c r="O315" s="7">
        <v>-0.17661375926511624</v>
      </c>
      <c r="P315" s="52">
        <v>56.457686503096255</v>
      </c>
      <c r="Q315" s="34">
        <v>4354.916820470766</v>
      </c>
      <c r="R315" s="13">
        <v>4947.01692070455</v>
      </c>
      <c r="S315" s="56">
        <v>-0.07456533704525346</v>
      </c>
      <c r="T315" s="50">
        <v>271952.9654792385</v>
      </c>
      <c r="U315" s="50">
        <v>452730.55922991934</v>
      </c>
      <c r="V315" s="50">
        <v>180777.59375068086</v>
      </c>
    </row>
    <row r="316">
      <c r="A316" s="54">
        <v>45340.95997149305</v>
      </c>
      <c r="B316" s="47">
        <v>9.672580702658127</v>
      </c>
      <c r="C316" s="7">
        <v>0.05271549264069231</v>
      </c>
      <c r="D316" s="48">
        <v>0.7428073338122752</v>
      </c>
      <c r="E316" s="49">
        <v>104.64291681363359</v>
      </c>
      <c r="F316" s="7">
        <v>0.05789476806670146</v>
      </c>
      <c r="G316" s="48">
        <v>0.853475111983109</v>
      </c>
      <c r="H316" s="50">
        <v>12691.216496678146</v>
      </c>
      <c r="I316" s="7">
        <v>0.0014115567543973124</v>
      </c>
      <c r="J316" s="7">
        <v>0.02677688633241946</v>
      </c>
      <c r="K316" s="50">
        <v>461270.4061925352</v>
      </c>
      <c r="L316" s="7">
        <v>0.051303935886295</v>
      </c>
      <c r="M316" s="7">
        <v>0.9732231136675806</v>
      </c>
      <c r="N316" s="51">
        <v>-0.005179275426009156</v>
      </c>
      <c r="O316" s="7">
        <v>-0.11066777817083384</v>
      </c>
      <c r="P316" s="52">
        <v>56.457686503096255</v>
      </c>
      <c r="Q316" s="34">
        <v>4529.323504364152</v>
      </c>
      <c r="R316" s="13">
        <v>4947.01692070455</v>
      </c>
      <c r="S316" s="7">
        <v>-0.037503322458145215</v>
      </c>
      <c r="T316" s="52">
        <v>271952.9654792385</v>
      </c>
      <c r="U316" s="52">
        <v>473961.6226892133</v>
      </c>
      <c r="V316" s="52">
        <v>202008.65720997483</v>
      </c>
    </row>
    <row r="317">
      <c r="A317" s="54">
        <v>45339.959971041666</v>
      </c>
      <c r="B317" s="47">
        <v>9.380009718502285</v>
      </c>
      <c r="C317" s="7">
        <v>-0.029272625811176844</v>
      </c>
      <c r="D317" s="48">
        <v>0.6900918411715828</v>
      </c>
      <c r="E317" s="49">
        <v>101.3743121479543</v>
      </c>
      <c r="F317" s="7">
        <v>-0.00217157584661809</v>
      </c>
      <c r="G317" s="48">
        <v>0.7955803439164075</v>
      </c>
      <c r="H317" s="50">
        <v>12604.550376935831</v>
      </c>
      <c r="I317" s="56">
        <v>-8.027585419516271E-4</v>
      </c>
      <c r="J317" s="56">
        <v>0.027423523503829938</v>
      </c>
      <c r="K317" s="50">
        <v>447020.9377619423</v>
      </c>
      <c r="L317" s="56">
        <v>-0.028469867269225218</v>
      </c>
      <c r="M317" s="56">
        <v>0.9725764764961701</v>
      </c>
      <c r="N317" s="51">
        <v>-0.027101049964558754</v>
      </c>
      <c r="O317" s="7">
        <v>-0.10548850274482469</v>
      </c>
      <c r="P317" s="52">
        <v>56.457686503096255</v>
      </c>
      <c r="Q317" s="34">
        <v>4533.944333630215</v>
      </c>
      <c r="R317" s="13">
        <v>4947.01692070455</v>
      </c>
      <c r="S317" s="56">
        <v>-0.03652138049445272</v>
      </c>
      <c r="T317" s="50">
        <v>271952.9654792385</v>
      </c>
      <c r="U317" s="50">
        <v>459625.4881388781</v>
      </c>
      <c r="V317" s="50">
        <v>187672.5226596396</v>
      </c>
    </row>
    <row r="318">
      <c r="A318" s="54">
        <v>45338.959975983795</v>
      </c>
      <c r="B318" s="47">
        <v>9.542472791754316</v>
      </c>
      <c r="C318" s="7">
        <v>-0.02313007365487696</v>
      </c>
      <c r="D318" s="48">
        <v>0.7193644669827597</v>
      </c>
      <c r="E318" s="49">
        <v>101.49691429632036</v>
      </c>
      <c r="F318" s="7">
        <v>-0.04714983709003495</v>
      </c>
      <c r="G318" s="48">
        <v>0.7977519197630256</v>
      </c>
      <c r="H318" s="50">
        <v>12661.166883003778</v>
      </c>
      <c r="I318" s="56">
        <v>-6.263095051030212E-4</v>
      </c>
      <c r="J318" s="56">
        <v>0.02707771338942383</v>
      </c>
      <c r="K318" s="50">
        <v>454925.0986525879</v>
      </c>
      <c r="L318" s="56">
        <v>-0.022503764149773935</v>
      </c>
      <c r="M318" s="56">
        <v>0.9729222866105761</v>
      </c>
      <c r="N318" s="51">
        <v>0.024019763435157993</v>
      </c>
      <c r="O318" s="7">
        <v>-0.07838745278026593</v>
      </c>
      <c r="P318" s="52">
        <v>56.457686503096255</v>
      </c>
      <c r="Q318" s="34">
        <v>4606.901291308946</v>
      </c>
      <c r="R318" s="13">
        <v>4947.01692070455</v>
      </c>
      <c r="S318" s="56">
        <v>-0.021017778399861582</v>
      </c>
      <c r="T318" s="50">
        <v>271952.9654792385</v>
      </c>
      <c r="U318" s="50">
        <v>467586.2655355917</v>
      </c>
      <c r="V318" s="50">
        <v>195633.3000563532</v>
      </c>
    </row>
    <row r="319">
      <c r="A319" s="54">
        <v>45337.95996944445</v>
      </c>
      <c r="B319" s="47">
        <v>9.670844700538883</v>
      </c>
      <c r="C319" s="7">
        <v>-0.08390197811225986</v>
      </c>
      <c r="D319" s="48">
        <v>0.7424945406376366</v>
      </c>
      <c r="E319" s="49">
        <v>104.15888501742161</v>
      </c>
      <c r="F319" s="7">
        <v>-0.09020435948368544</v>
      </c>
      <c r="G319" s="48">
        <v>0.8449017568530606</v>
      </c>
      <c r="H319" s="50">
        <v>12593.412897729748</v>
      </c>
      <c r="I319" s="7">
        <v>-0.0022297204540491487</v>
      </c>
      <c r="J319" s="7">
        <v>0.026575302563973034</v>
      </c>
      <c r="K319" s="50">
        <v>461283.144760059</v>
      </c>
      <c r="L319" s="7">
        <v>-0.0816722576582107</v>
      </c>
      <c r="M319" s="7">
        <v>0.973424697436027</v>
      </c>
      <c r="N319" s="51">
        <v>0.0063023813714255805</v>
      </c>
      <c r="O319" s="7">
        <v>-0.10240721621542392</v>
      </c>
      <c r="P319" s="52">
        <v>56.457686503096255</v>
      </c>
      <c r="Q319" s="34">
        <v>4549.554822697345</v>
      </c>
      <c r="R319" s="13">
        <v>4947.01692070455</v>
      </c>
      <c r="S319" s="7">
        <v>-0.03320409837772175</v>
      </c>
      <c r="T319" s="52">
        <v>271952.9654792385</v>
      </c>
      <c r="U319" s="52">
        <v>473876.55765778874</v>
      </c>
      <c r="V319" s="52">
        <v>201923.59217855026</v>
      </c>
    </row>
    <row r="320">
      <c r="A320" s="54">
        <v>45336.95996157407</v>
      </c>
      <c r="B320" s="47">
        <v>10.136500679061925</v>
      </c>
      <c r="C320" s="7">
        <v>0.10606857052651941</v>
      </c>
      <c r="D320" s="48">
        <v>0.8263965187498965</v>
      </c>
      <c r="E320" s="49">
        <v>109.25161446636412</v>
      </c>
      <c r="F320" s="7">
        <v>0.08162792942316277</v>
      </c>
      <c r="G320" s="48">
        <v>0.935106116336746</v>
      </c>
      <c r="H320" s="50">
        <v>12696.951974686024</v>
      </c>
      <c r="I320" s="56">
        <v>0.0027114232971531442</v>
      </c>
      <c r="J320" s="56">
        <v>0.025562928619606788</v>
      </c>
      <c r="K320" s="50">
        <v>483996.99744030595</v>
      </c>
      <c r="L320" s="56">
        <v>0.10335714722936627</v>
      </c>
      <c r="M320" s="56">
        <v>0.9744370713803933</v>
      </c>
      <c r="N320" s="51">
        <v>0.024440641103356642</v>
      </c>
      <c r="O320" s="7">
        <v>-0.1087095975868495</v>
      </c>
      <c r="P320" s="52">
        <v>56.457686503096255</v>
      </c>
      <c r="Q320" s="34">
        <v>4546.330521897338</v>
      </c>
      <c r="R320" s="13">
        <v>4947.01692070455</v>
      </c>
      <c r="S320" s="56">
        <v>-0.033889273283954864</v>
      </c>
      <c r="T320" s="50">
        <v>271952.9654792385</v>
      </c>
      <c r="U320" s="50">
        <v>496693.94941499195</v>
      </c>
      <c r="V320" s="50">
        <v>224740.98393575347</v>
      </c>
    </row>
    <row r="321">
      <c r="A321" s="54">
        <v>45335.959969166666</v>
      </c>
      <c r="B321" s="47">
        <v>9.547820112639743</v>
      </c>
      <c r="C321" s="7">
        <v>0.009182117080003938</v>
      </c>
      <c r="D321" s="48">
        <v>0.7203279482233771</v>
      </c>
      <c r="E321" s="49">
        <v>104.64309041709433</v>
      </c>
      <c r="F321" s="7">
        <v>0.019415988378397753</v>
      </c>
      <c r="G321" s="48">
        <v>0.8534781869135832</v>
      </c>
      <c r="H321" s="50">
        <v>12138.341040293739</v>
      </c>
      <c r="I321" s="56">
        <v>2.3823036582224522E-4</v>
      </c>
      <c r="J321" s="56">
        <v>0.02594503683045425</v>
      </c>
      <c r="K321" s="50">
        <v>455709.9460758675</v>
      </c>
      <c r="L321" s="56">
        <v>0.008943886714181693</v>
      </c>
      <c r="M321" s="56">
        <v>0.9740549631695458</v>
      </c>
      <c r="N321" s="51">
        <v>-0.010233871298393815</v>
      </c>
      <c r="O321" s="7">
        <v>-0.13315023869020615</v>
      </c>
      <c r="P321" s="52">
        <v>56.457686503096255</v>
      </c>
      <c r="Q321" s="34">
        <v>4470.895166144045</v>
      </c>
      <c r="R321" s="13">
        <v>4947.01692070455</v>
      </c>
      <c r="S321" s="56">
        <v>-0.04991954341409107</v>
      </c>
      <c r="T321" s="50">
        <v>271952.9654792385</v>
      </c>
      <c r="U321" s="50">
        <v>467848.28711616126</v>
      </c>
      <c r="V321" s="50">
        <v>195895.32163692277</v>
      </c>
    </row>
    <row r="322">
      <c r="A322" s="54">
        <v>45334.959980555555</v>
      </c>
      <c r="B322" s="47">
        <v>9.49685936284572</v>
      </c>
      <c r="C322" s="7">
        <v>0.06455019000822793</v>
      </c>
      <c r="D322" s="48">
        <v>0.7111458311433732</v>
      </c>
      <c r="E322" s="49">
        <v>103.54690863207898</v>
      </c>
      <c r="F322" s="7">
        <v>0.06712909779036691</v>
      </c>
      <c r="G322" s="48">
        <v>0.8340621985351855</v>
      </c>
      <c r="H322" s="50">
        <v>12214.611750073705</v>
      </c>
      <c r="I322" s="56">
        <v>0.0016943236374992404</v>
      </c>
      <c r="J322" s="56">
        <v>0.026248158793696387</v>
      </c>
      <c r="K322" s="50">
        <v>453136.5713968028</v>
      </c>
      <c r="L322" s="56">
        <v>0.06285586637072868</v>
      </c>
      <c r="M322" s="56">
        <v>0.9737518412063035</v>
      </c>
      <c r="N322" s="51">
        <v>-0.002578907782138984</v>
      </c>
      <c r="O322" s="7">
        <v>-0.12291636739181233</v>
      </c>
      <c r="P322" s="52">
        <v>56.457686503096255</v>
      </c>
      <c r="Q322" s="34">
        <v>4494.109860878165</v>
      </c>
      <c r="R322" s="13">
        <v>4947.01692070455</v>
      </c>
      <c r="S322" s="56">
        <v>-0.04498634168314616</v>
      </c>
      <c r="T322" s="50">
        <v>271952.9654792385</v>
      </c>
      <c r="U322" s="50">
        <v>465351.1831468765</v>
      </c>
      <c r="V322" s="50">
        <v>193398.21766763803</v>
      </c>
    </row>
    <row r="323">
      <c r="A323" s="54">
        <v>45333.959963113426</v>
      </c>
      <c r="B323" s="47">
        <v>9.138605808300056</v>
      </c>
      <c r="C323" s="7">
        <v>-0.026444220097585402</v>
      </c>
      <c r="D323" s="48">
        <v>0.6465956411351452</v>
      </c>
      <c r="E323" s="49">
        <v>99.75695507379476</v>
      </c>
      <c r="F323" s="7">
        <v>-0.02983123127913001</v>
      </c>
      <c r="G323" s="48">
        <v>0.7669331007448186</v>
      </c>
      <c r="H323" s="50">
        <v>11711.35755410325</v>
      </c>
      <c r="I323" s="56">
        <v>-6.916035969086297E-4</v>
      </c>
      <c r="J323" s="56">
        <v>0.026153299070891464</v>
      </c>
      <c r="K323" s="50">
        <v>436085.20999778743</v>
      </c>
      <c r="L323" s="56">
        <v>-0.025752616500676773</v>
      </c>
      <c r="M323" s="56">
        <v>0.9738467009291085</v>
      </c>
      <c r="N323" s="51">
        <v>0.003387011181544608</v>
      </c>
      <c r="O323" s="7">
        <v>-0.12033745960967335</v>
      </c>
      <c r="P323" s="52">
        <v>56.457686503096255</v>
      </c>
      <c r="Q323" s="34">
        <v>4488.875660054331</v>
      </c>
      <c r="R323" s="13">
        <v>4947.01692070455</v>
      </c>
      <c r="S323" s="56">
        <v>-0.046098627192819444</v>
      </c>
      <c r="T323" s="50">
        <v>271952.9654792385</v>
      </c>
      <c r="U323" s="50">
        <v>447796.5675518907</v>
      </c>
      <c r="V323" s="50">
        <v>175843.6020726522</v>
      </c>
    </row>
    <row r="324">
      <c r="A324" s="54">
        <v>45332.95995883102</v>
      </c>
      <c r="B324" s="47">
        <v>9.285371229841655</v>
      </c>
      <c r="C324" s="7">
        <v>0.089690777818348</v>
      </c>
      <c r="D324" s="48">
        <v>0.6730398612327306</v>
      </c>
      <c r="E324" s="49">
        <v>101.44115737735324</v>
      </c>
      <c r="F324" s="7">
        <v>0.024064164150318534</v>
      </c>
      <c r="G324" s="48">
        <v>0.7967643320239486</v>
      </c>
      <c r="H324" s="50">
        <v>11625.171119410516</v>
      </c>
      <c r="I324" s="56">
        <v>0.0022916434993797714</v>
      </c>
      <c r="J324" s="56">
        <v>0.025550491980580986</v>
      </c>
      <c r="K324" s="50">
        <v>443362.9805078042</v>
      </c>
      <c r="L324" s="56">
        <v>0.08739913431896823</v>
      </c>
      <c r="M324" s="56">
        <v>0.974449508019419</v>
      </c>
      <c r="N324" s="51">
        <v>0.06562661366802947</v>
      </c>
      <c r="O324" s="7">
        <v>-0.12372447079121796</v>
      </c>
      <c r="P324" s="52">
        <v>56.457686503096255</v>
      </c>
      <c r="Q324" s="34">
        <v>4485.242118587962</v>
      </c>
      <c r="R324" s="13">
        <v>4947.01692070455</v>
      </c>
      <c r="S324" s="56">
        <v>-0.046870767135069324</v>
      </c>
      <c r="T324" s="50">
        <v>271952.9654792385</v>
      </c>
      <c r="U324" s="50">
        <v>454988.15162721474</v>
      </c>
      <c r="V324" s="50">
        <v>183035.18614797626</v>
      </c>
    </row>
    <row r="325">
      <c r="A325" s="54">
        <v>45331.95997643519</v>
      </c>
      <c r="B325" s="47">
        <v>8.787587412949824</v>
      </c>
      <c r="C325" s="7">
        <v>0.07234754132246768</v>
      </c>
      <c r="D325" s="48">
        <v>0.5833490834143826</v>
      </c>
      <c r="E325" s="49">
        <v>100.08255034179551</v>
      </c>
      <c r="F325" s="7">
        <v>0.0853412004715719</v>
      </c>
      <c r="G325" s="48">
        <v>0.77270016787363</v>
      </c>
      <c r="H325" s="50">
        <v>11509.289888732083</v>
      </c>
      <c r="I325" s="56">
        <v>0.0019337567006570992</v>
      </c>
      <c r="J325" s="56">
        <v>0.02672871344774459</v>
      </c>
      <c r="K325" s="50">
        <v>419087.18873464345</v>
      </c>
      <c r="L325" s="56">
        <v>0.07041378462181058</v>
      </c>
      <c r="M325" s="56">
        <v>0.9732712865522555</v>
      </c>
      <c r="N325" s="51">
        <v>-0.01299365914910422</v>
      </c>
      <c r="O325" s="7">
        <v>-0.18935108445924742</v>
      </c>
      <c r="P325" s="52">
        <v>56.457686503096255</v>
      </c>
      <c r="Q325" s="34">
        <v>4302.413129489906</v>
      </c>
      <c r="R325" s="13">
        <v>4947.01692070455</v>
      </c>
      <c r="S325" s="56">
        <v>-0.08572255027567735</v>
      </c>
      <c r="T325" s="50">
        <v>271952.9654792385</v>
      </c>
      <c r="U325" s="50">
        <v>430596.47862337553</v>
      </c>
      <c r="V325" s="50">
        <v>158643.51314413705</v>
      </c>
    </row>
    <row r="326">
      <c r="A326" s="54">
        <v>45330.959969664356</v>
      </c>
      <c r="B326" s="47">
        <v>8.386058558610127</v>
      </c>
      <c r="C326" s="7">
        <v>-0.00577552498833267</v>
      </c>
      <c r="D326" s="48">
        <v>0.511001542091915</v>
      </c>
      <c r="E326" s="49">
        <v>95.26438359977361</v>
      </c>
      <c r="F326" s="7">
        <v>0.0272346873504139</v>
      </c>
      <c r="G326" s="48">
        <v>0.6873589674020582</v>
      </c>
      <c r="H326" s="50">
        <v>11011.732762913147</v>
      </c>
      <c r="I326" s="56">
        <v>-1.5477058493961948E-4</v>
      </c>
      <c r="J326" s="56">
        <v>0.026797665191004575</v>
      </c>
      <c r="K326" s="50">
        <v>399909.61745268543</v>
      </c>
      <c r="L326" s="56">
        <v>-0.00562075440339305</v>
      </c>
      <c r="M326" s="56">
        <v>0.9732023348089954</v>
      </c>
      <c r="N326" s="51">
        <v>-0.03301021233874657</v>
      </c>
      <c r="O326" s="7">
        <v>-0.1763574253101432</v>
      </c>
      <c r="P326" s="52">
        <v>56.457686503096255</v>
      </c>
      <c r="Q326" s="34">
        <v>4313.483535903287</v>
      </c>
      <c r="R326" s="13">
        <v>4947.01692070455</v>
      </c>
      <c r="S326" s="56">
        <v>-0.08337005119239256</v>
      </c>
      <c r="T326" s="50">
        <v>271952.9654792385</v>
      </c>
      <c r="U326" s="50">
        <v>410921.3502155986</v>
      </c>
      <c r="V326" s="50">
        <v>138968.3847363601</v>
      </c>
    </row>
    <row r="327">
      <c r="A327" s="54">
        <v>45329.95995611111</v>
      </c>
      <c r="B327" s="47">
        <v>8.418112722295374</v>
      </c>
      <c r="C327" s="7">
        <v>0.07826573107575285</v>
      </c>
      <c r="D327" s="48">
        <v>0.5167770670802476</v>
      </c>
      <c r="E327" s="49">
        <v>93.72677615933411</v>
      </c>
      <c r="F327" s="7">
        <v>0.05418446645335262</v>
      </c>
      <c r="G327" s="48">
        <v>0.6601242800516443</v>
      </c>
      <c r="H327" s="50">
        <v>10769.08768502694</v>
      </c>
      <c r="I327" s="7">
        <v>0.002043313511620703</v>
      </c>
      <c r="J327" s="7">
        <v>0.02610738420935459</v>
      </c>
      <c r="K327" s="50">
        <v>401722.9336783483</v>
      </c>
      <c r="L327" s="7">
        <v>0.07622241756413216</v>
      </c>
      <c r="M327" s="7">
        <v>0.9738926157906455</v>
      </c>
      <c r="N327" s="51">
        <v>0.024081264622400234</v>
      </c>
      <c r="O327" s="7">
        <v>-0.14334721297139663</v>
      </c>
      <c r="P327" s="52">
        <v>56.457686503096255</v>
      </c>
      <c r="Q327" s="53">
        <v>4401.005115786176</v>
      </c>
      <c r="R327" s="13">
        <v>4947.01692070455</v>
      </c>
      <c r="S327" s="7">
        <v>-0.0647714172530575</v>
      </c>
      <c r="T327" s="52">
        <v>271952.9654792385</v>
      </c>
      <c r="U327" s="52">
        <v>412492.02136337524</v>
      </c>
      <c r="V327" s="52">
        <v>140539.05588413676</v>
      </c>
    </row>
    <row r="328">
      <c r="A328" s="54">
        <v>45328.95997328704</v>
      </c>
      <c r="B328" s="47">
        <v>7.983737914824946</v>
      </c>
      <c r="C328" s="7">
        <v>0.03896715209632351</v>
      </c>
      <c r="D328" s="48">
        <v>0.43851133600449477</v>
      </c>
      <c r="E328" s="49">
        <v>90.66764653897319</v>
      </c>
      <c r="F328" s="7">
        <v>0.04453315734394714</v>
      </c>
      <c r="G328" s="48">
        <v>0.6059398135982916</v>
      </c>
      <c r="H328" s="50">
        <v>10547.981210027703</v>
      </c>
      <c r="I328" s="56">
        <v>0.0010506569232016621</v>
      </c>
      <c r="J328" s="56">
        <v>0.02696263048950888</v>
      </c>
      <c r="K328" s="50">
        <v>380659.44249189587</v>
      </c>
      <c r="L328" s="56">
        <v>0.037916495173121845</v>
      </c>
      <c r="M328" s="56">
        <v>0.9730373695104911</v>
      </c>
      <c r="N328" s="51">
        <v>-0.005566005247623629</v>
      </c>
      <c r="O328" s="7">
        <v>-0.16742847759379687</v>
      </c>
      <c r="P328" s="52">
        <v>56.457686503096255</v>
      </c>
      <c r="Q328" s="34">
        <v>4314.741130219635</v>
      </c>
      <c r="R328" s="13">
        <v>4947.01692070455</v>
      </c>
      <c r="S328" s="56">
        <v>-0.08310280811513952</v>
      </c>
      <c r="T328" s="50">
        <v>271952.9654792385</v>
      </c>
      <c r="U328" s="50">
        <v>391207.4237019236</v>
      </c>
      <c r="V328" s="50">
        <v>119254.45822268509</v>
      </c>
    </row>
    <row r="329">
      <c r="A329" s="54">
        <v>45327.959965752314</v>
      </c>
      <c r="B329" s="47">
        <v>7.76747022069035</v>
      </c>
      <c r="C329" s="7">
        <v>0.0011816042586212383</v>
      </c>
      <c r="D329" s="48">
        <v>0.39954418390817126</v>
      </c>
      <c r="E329" s="49">
        <v>88.15340750265555</v>
      </c>
      <c r="F329" s="7">
        <v>-0.0020111032458440814</v>
      </c>
      <c r="G329" s="48">
        <v>0.5614066562543445</v>
      </c>
      <c r="H329" s="50">
        <v>10372.408896819776</v>
      </c>
      <c r="I329" s="56">
        <v>3.2201141246790135E-5</v>
      </c>
      <c r="J329" s="56">
        <v>0.027252052463287685</v>
      </c>
      <c r="K329" s="50">
        <v>370237.7822362281</v>
      </c>
      <c r="L329" s="56">
        <v>0.001149403117374448</v>
      </c>
      <c r="M329" s="56">
        <v>0.9727479475367122</v>
      </c>
      <c r="N329" s="51">
        <v>0.0031927075044653197</v>
      </c>
      <c r="O329" s="7">
        <v>-0.16186247234617324</v>
      </c>
      <c r="P329" s="52">
        <v>56.457686503096255</v>
      </c>
      <c r="Q329" s="34">
        <v>4317.58909741047</v>
      </c>
      <c r="R329" s="13">
        <v>4947.01692070455</v>
      </c>
      <c r="S329" s="56">
        <v>-0.0824976053831454</v>
      </c>
      <c r="T329" s="50">
        <v>271952.9654792385</v>
      </c>
      <c r="U329" s="50">
        <v>380610.1911330479</v>
      </c>
      <c r="V329" s="50">
        <v>108657.22565380944</v>
      </c>
    </row>
    <row r="330">
      <c r="A330" s="54">
        <v>45326.959964803245</v>
      </c>
      <c r="B330" s="47">
        <v>7.760912317055002</v>
      </c>
      <c r="C330" s="7">
        <v>-0.05419274564435095</v>
      </c>
      <c r="D330" s="48">
        <v>0.39836257964955</v>
      </c>
      <c r="E330" s="49">
        <v>88.26694973923479</v>
      </c>
      <c r="F330" s="7">
        <v>-0.04241854809360479</v>
      </c>
      <c r="G330" s="48">
        <v>0.5634177595001886</v>
      </c>
      <c r="H330" s="50">
        <v>10310.037782958307</v>
      </c>
      <c r="I330" s="56">
        <v>-0.0014692233407315712</v>
      </c>
      <c r="J330" s="56">
        <v>0.027111070370444003</v>
      </c>
      <c r="K330" s="50">
        <v>369978.8125679346</v>
      </c>
      <c r="L330" s="56">
        <v>-0.052723522303619375</v>
      </c>
      <c r="M330" s="56">
        <v>0.972888929629556</v>
      </c>
      <c r="N330" s="51">
        <v>-0.011774197550746157</v>
      </c>
      <c r="O330" s="7">
        <v>-0.16505517985063856</v>
      </c>
      <c r="P330" s="52">
        <v>56.457686503096255</v>
      </c>
      <c r="Q330" s="34">
        <v>4308.394608337236</v>
      </c>
      <c r="R330" s="13">
        <v>4947.01692070455</v>
      </c>
      <c r="S330" s="56">
        <v>-0.08445146563979422</v>
      </c>
      <c r="T330" s="50">
        <v>271952.9654792385</v>
      </c>
      <c r="U330" s="50">
        <v>380288.8503508929</v>
      </c>
      <c r="V330" s="50">
        <v>108335.88487165445</v>
      </c>
    </row>
    <row r="331">
      <c r="A331" s="54">
        <v>45325.959973715275</v>
      </c>
      <c r="B331" s="47">
        <v>8.06168205538115</v>
      </c>
      <c r="C331" s="7">
        <v>-0.050444298991416</v>
      </c>
      <c r="D331" s="48">
        <v>0.45255532529390097</v>
      </c>
      <c r="E331" s="49">
        <v>90.66180282942004</v>
      </c>
      <c r="F331" s="7">
        <v>-0.039235276437359135</v>
      </c>
      <c r="G331" s="48">
        <v>0.6058363075937934</v>
      </c>
      <c r="H331" s="50">
        <v>10457.062324900491</v>
      </c>
      <c r="I331" s="56">
        <v>-0.0013353505998043766</v>
      </c>
      <c r="J331" s="56">
        <v>0.026471784255176396</v>
      </c>
      <c r="K331" s="50">
        <v>384569.6659114358</v>
      </c>
      <c r="L331" s="56">
        <v>-0.049108948391611625</v>
      </c>
      <c r="M331" s="56">
        <v>0.9735282157448236</v>
      </c>
      <c r="N331" s="51">
        <v>-0.011209022554056869</v>
      </c>
      <c r="O331" s="7">
        <v>-0.1532809822998924</v>
      </c>
      <c r="P331" s="52">
        <v>56.457686503096255</v>
      </c>
      <c r="Q331" s="34">
        <v>4357.146184039359</v>
      </c>
      <c r="R331" s="13">
        <v>4947.01692070455</v>
      </c>
      <c r="S331" s="56">
        <v>-0.07409158969076754</v>
      </c>
      <c r="T331" s="50">
        <v>271952.9654792385</v>
      </c>
      <c r="U331" s="50">
        <v>395026.72823633626</v>
      </c>
      <c r="V331" s="50">
        <v>123073.76275709778</v>
      </c>
    </row>
    <row r="332">
      <c r="A332" s="54">
        <v>45324.95996763889</v>
      </c>
      <c r="B332" s="47">
        <v>8.34164791478351</v>
      </c>
      <c r="C332" s="7">
        <v>0.007866679560159184</v>
      </c>
      <c r="D332" s="48">
        <v>0.502999624285317</v>
      </c>
      <c r="E332" s="49">
        <v>92.87693576638277</v>
      </c>
      <c r="F332" s="7">
        <v>0.05769941302772463</v>
      </c>
      <c r="G332" s="48">
        <v>0.6450715840311525</v>
      </c>
      <c r="H332" s="50">
        <v>10488.178399432232</v>
      </c>
      <c r="I332" s="56">
        <v>2.0185469490832528E-4</v>
      </c>
      <c r="J332" s="56">
        <v>0.025659453059537193</v>
      </c>
      <c r="K332" s="50">
        <v>398257.0265391411</v>
      </c>
      <c r="L332" s="56">
        <v>0.007664824865250859</v>
      </c>
      <c r="M332" s="56">
        <v>0.9743405469404628</v>
      </c>
      <c r="N332" s="51">
        <v>-0.04983273346756545</v>
      </c>
      <c r="O332" s="7">
        <v>-0.14207195974583553</v>
      </c>
      <c r="P332" s="52">
        <v>56.457686503096255</v>
      </c>
      <c r="Q332" s="34">
        <v>4400.933359458662</v>
      </c>
      <c r="R332" s="13">
        <v>4947.01692070455</v>
      </c>
      <c r="S332" s="56">
        <v>-0.06478666571715112</v>
      </c>
      <c r="T332" s="50">
        <v>271952.9654792385</v>
      </c>
      <c r="U332" s="50">
        <v>408745.2049385733</v>
      </c>
      <c r="V332" s="50">
        <v>136792.2394593348</v>
      </c>
    </row>
    <row r="333">
      <c r="A333" s="54">
        <v>45323.95997251157</v>
      </c>
      <c r="B333" s="47">
        <v>8.297987843224625</v>
      </c>
      <c r="C333" s="7">
        <v>3.5826549701889476E-4</v>
      </c>
      <c r="D333" s="48">
        <v>0.4951329447251578</v>
      </c>
      <c r="E333" s="49">
        <v>89.43613942600138</v>
      </c>
      <c r="F333" s="7">
        <v>0.02837545719498813</v>
      </c>
      <c r="G333" s="48">
        <v>0.5873721710034279</v>
      </c>
      <c r="H333" s="50">
        <v>8907.985986721009</v>
      </c>
      <c r="I333" s="56">
        <v>-0.007246460261992642</v>
      </c>
      <c r="J333" s="56">
        <v>0.021908160562241725</v>
      </c>
      <c r="K333" s="50">
        <v>397697.852116992</v>
      </c>
      <c r="L333" s="7">
        <v>3.504165589862935E-4</v>
      </c>
      <c r="M333" s="7">
        <v>0.9780918394377582</v>
      </c>
      <c r="N333" s="51">
        <v>-0.028017191697969235</v>
      </c>
      <c r="O333" s="7">
        <v>-0.09223922627827008</v>
      </c>
      <c r="P333" s="52">
        <v>56.34226242574606</v>
      </c>
      <c r="Q333" s="34">
        <v>4546.325911575543</v>
      </c>
      <c r="R333" s="13">
        <v>4931.540019551689</v>
      </c>
      <c r="S333" s="56">
        <v>-0.03389025299304527</v>
      </c>
      <c r="T333" s="50">
        <v>271952.9654792385</v>
      </c>
      <c r="U333" s="50">
        <v>406605.838103713</v>
      </c>
      <c r="V333" s="50">
        <v>134652.87262447452</v>
      </c>
    </row>
    <row r="334">
      <c r="A334" s="54">
        <v>45322.95998472223</v>
      </c>
      <c r="B334" s="47">
        <v>8.29599946971617</v>
      </c>
      <c r="C334" s="7">
        <v>0.1115812202879447</v>
      </c>
      <c r="D334" s="48">
        <v>0.4947746792281389</v>
      </c>
      <c r="E334" s="49">
        <v>87.83740197027083</v>
      </c>
      <c r="F334" s="7">
        <v>-0.1336664736547417</v>
      </c>
      <c r="G334" s="48">
        <v>0.5589967138084397</v>
      </c>
      <c r="H334" s="50">
        <v>8810.554622377842</v>
      </c>
      <c r="I334" s="7">
        <v>0.0024183815632841626</v>
      </c>
      <c r="J334" s="7">
        <v>0.021673732883036465</v>
      </c>
      <c r="K334" s="50">
        <v>397697.852116992</v>
      </c>
      <c r="L334" s="7">
        <v>0.10916283872466054</v>
      </c>
      <c r="M334" s="7">
        <v>0.9783262671169635</v>
      </c>
      <c r="N334" s="51">
        <v>0.24524769394268642</v>
      </c>
      <c r="O334" s="7">
        <v>-0.06422203458030085</v>
      </c>
      <c r="P334" s="52">
        <v>56.34226242574606</v>
      </c>
      <c r="Q334" s="53">
        <v>4627.96482615635</v>
      </c>
      <c r="R334" s="13">
        <v>4931.540019551689</v>
      </c>
      <c r="S334" s="7">
        <v>-0.01654170547453872</v>
      </c>
      <c r="T334" s="52">
        <v>271952.9654792385</v>
      </c>
      <c r="U334" s="52">
        <v>406508.40673936985</v>
      </c>
      <c r="V334" s="52">
        <v>134555.44126013137</v>
      </c>
    </row>
    <row r="335">
      <c r="A335" s="54">
        <v>45321.95997894676</v>
      </c>
      <c r="B335" s="47">
        <v>7.676723697118078</v>
      </c>
      <c r="C335" s="7">
        <v>0.04877102226824537</v>
      </c>
      <c r="D335" s="48">
        <v>0.3831934589401942</v>
      </c>
      <c r="E335" s="49">
        <v>95.36847350645036</v>
      </c>
      <c r="F335" s="7">
        <v>0.04495061874603157</v>
      </c>
      <c r="G335" s="48">
        <v>0.6926631874631815</v>
      </c>
      <c r="H335" s="50">
        <v>9014.756170816427</v>
      </c>
      <c r="I335" s="56">
        <v>0.0011687970797986658</v>
      </c>
      <c r="J335" s="56">
        <v>0.023964990386507956</v>
      </c>
      <c r="K335" s="50">
        <v>367148.80681945465</v>
      </c>
      <c r="L335" s="56">
        <v>0.0476022251884467</v>
      </c>
      <c r="M335" s="56">
        <v>0.976035009613492</v>
      </c>
      <c r="N335" s="51">
        <v>0.0038204035222138</v>
      </c>
      <c r="O335" s="7">
        <v>-0.30946972852298726</v>
      </c>
      <c r="P335" s="52">
        <v>56.34226242574606</v>
      </c>
      <c r="Q335" s="34">
        <v>3944.317751555799</v>
      </c>
      <c r="R335" s="13">
        <v>4931.540019551689</v>
      </c>
      <c r="S335" s="56">
        <v>-0.16181903823300173</v>
      </c>
      <c r="T335" s="50">
        <v>271952.9654792385</v>
      </c>
      <c r="U335" s="50">
        <v>376163.5629902711</v>
      </c>
      <c r="V335" s="50">
        <v>104210.5975110326</v>
      </c>
    </row>
    <row r="336">
      <c r="A336" s="54">
        <v>45320.95997030093</v>
      </c>
      <c r="B336" s="47">
        <v>7.4060445235293155</v>
      </c>
      <c r="C336" s="7">
        <v>0.09496447375994976</v>
      </c>
      <c r="D336" s="48">
        <v>0.3344224366719488</v>
      </c>
      <c r="E336" s="49">
        <v>92.8358539488618</v>
      </c>
      <c r="F336" s="7">
        <v>0.09766010979315687</v>
      </c>
      <c r="G336" s="48">
        <v>0.6477125687171499</v>
      </c>
      <c r="H336" s="50">
        <v>8957.405722759395</v>
      </c>
      <c r="I336" s="56">
        <v>0.002343992822378508</v>
      </c>
      <c r="J336" s="56">
        <v>0.024682839061517147</v>
      </c>
      <c r="K336" s="50">
        <v>353942.7331322084</v>
      </c>
      <c r="L336" s="56">
        <v>0.09262048093757126</v>
      </c>
      <c r="M336" s="56">
        <v>0.9753171609384829</v>
      </c>
      <c r="N336" s="51">
        <v>-0.002695636033207105</v>
      </c>
      <c r="O336" s="7">
        <v>-0.31329013204520106</v>
      </c>
      <c r="P336" s="52">
        <v>56.34226242574606</v>
      </c>
      <c r="Q336" s="34">
        <v>3909.0515508681556</v>
      </c>
      <c r="R336" s="13">
        <v>4931.540019551689</v>
      </c>
      <c r="S336" s="56">
        <v>-0.16931322604243404</v>
      </c>
      <c r="T336" s="50">
        <v>271952.9654792385</v>
      </c>
      <c r="U336" s="50">
        <v>362900.1388549678</v>
      </c>
      <c r="V336" s="50">
        <v>90947.1733757293</v>
      </c>
    </row>
    <row r="337">
      <c r="A337" s="54">
        <v>45319.95997635416</v>
      </c>
      <c r="B337" s="47">
        <v>6.878991694161595</v>
      </c>
      <c r="C337" s="7">
        <v>0.013058286980032419</v>
      </c>
      <c r="D337" s="48">
        <v>0.23945796291199906</v>
      </c>
      <c r="E337" s="49">
        <v>87.33346241436857</v>
      </c>
      <c r="F337" s="7">
        <v>0.019031207824721452</v>
      </c>
      <c r="G337" s="48">
        <v>0.550052458923993</v>
      </c>
      <c r="H337" s="50">
        <v>8677.766039964512</v>
      </c>
      <c r="I337" s="56">
        <v>3.36177423942279E-4</v>
      </c>
      <c r="J337" s="56">
        <v>0.025744374009878317</v>
      </c>
      <c r="K337" s="50">
        <v>328396.5025608096</v>
      </c>
      <c r="L337" s="56">
        <v>0.01272210955609014</v>
      </c>
      <c r="M337" s="56">
        <v>0.9742556259901217</v>
      </c>
      <c r="N337" s="51">
        <v>-0.005972920844689034</v>
      </c>
      <c r="O337" s="7">
        <v>-0.31059449601199396</v>
      </c>
      <c r="P337" s="52">
        <v>56.34226242574606</v>
      </c>
      <c r="Q337" s="34">
        <v>3859.6233251519047</v>
      </c>
      <c r="R337" s="13">
        <v>4931.540019551689</v>
      </c>
      <c r="S337" s="56">
        <v>-0.17981689242502755</v>
      </c>
      <c r="T337" s="50">
        <v>271952.9654792385</v>
      </c>
      <c r="U337" s="50">
        <v>337074.2686007741</v>
      </c>
      <c r="V337" s="50">
        <v>65121.30312153563</v>
      </c>
    </row>
    <row r="338">
      <c r="A338" s="54">
        <v>45318.95996543982</v>
      </c>
      <c r="B338" s="47">
        <v>6.806518201422414</v>
      </c>
      <c r="C338" s="7">
        <v>0.043204636256486406</v>
      </c>
      <c r="D338" s="48">
        <v>0.22639967593196664</v>
      </c>
      <c r="E338" s="49">
        <v>86.26120110882921</v>
      </c>
      <c r="F338" s="7">
        <v>0.03832809937135817</v>
      </c>
      <c r="G338" s="48">
        <v>0.5310212510992716</v>
      </c>
      <c r="H338" s="50">
        <v>8729.665164347376</v>
      </c>
      <c r="I338" s="56">
        <v>0.0011308424773543216</v>
      </c>
      <c r="J338" s="56">
        <v>0.026174100173903113</v>
      </c>
      <c r="K338" s="50">
        <v>324793.36356812797</v>
      </c>
      <c r="L338" s="56">
        <v>0.04207379377913208</v>
      </c>
      <c r="M338" s="56">
        <v>0.9738258998260968</v>
      </c>
      <c r="N338" s="51">
        <v>0.004876536885128235</v>
      </c>
      <c r="O338" s="7">
        <v>-0.3046215751673049</v>
      </c>
      <c r="P338" s="52">
        <v>56.34226242574606</v>
      </c>
      <c r="Q338" s="34">
        <v>3866.43154100874</v>
      </c>
      <c r="R338" s="13">
        <v>4931.540019551689</v>
      </c>
      <c r="S338" s="56">
        <v>-0.17837012335766506</v>
      </c>
      <c r="T338" s="50">
        <v>271952.9654792385</v>
      </c>
      <c r="U338" s="50">
        <v>333523.02873247536</v>
      </c>
      <c r="V338" s="50">
        <v>61570.063253236876</v>
      </c>
    </row>
    <row r="339">
      <c r="A339" s="54">
        <v>45317.959961597226</v>
      </c>
      <c r="B339" s="47">
        <v>6.566732470198915</v>
      </c>
      <c r="C339" s="7">
        <v>0.06153588672851318</v>
      </c>
      <c r="D339" s="48">
        <v>0.18319503967548023</v>
      </c>
      <c r="E339" s="49">
        <v>84.10170927576807</v>
      </c>
      <c r="F339" s="7">
        <v>0.06420430140995226</v>
      </c>
      <c r="G339" s="48">
        <v>0.4926931517279134</v>
      </c>
      <c r="H339" s="50">
        <v>8618.647958596763</v>
      </c>
      <c r="I339" s="56">
        <v>0.001648228675507774</v>
      </c>
      <c r="J339" s="56">
        <v>0.026784836672290174</v>
      </c>
      <c r="K339" s="50">
        <v>313154.75182147534</v>
      </c>
      <c r="L339" s="56">
        <v>0.05988765805300541</v>
      </c>
      <c r="M339" s="56">
        <v>0.9732151633277099</v>
      </c>
      <c r="N339" s="51">
        <v>-0.0026684146814390797</v>
      </c>
      <c r="O339" s="7">
        <v>-0.30949811205243316</v>
      </c>
      <c r="P339" s="52">
        <v>56.34226242574606</v>
      </c>
      <c r="Q339" s="34">
        <v>3826.003092576663</v>
      </c>
      <c r="R339" s="13">
        <v>4931.540019551689</v>
      </c>
      <c r="S339" s="56">
        <v>-0.18696130640223077</v>
      </c>
      <c r="T339" s="50">
        <v>271952.9654792385</v>
      </c>
      <c r="U339" s="50">
        <v>321773.3997800721</v>
      </c>
      <c r="V339" s="50">
        <v>49820.434300833615</v>
      </c>
    </row>
    <row r="340">
      <c r="A340" s="54">
        <v>45316.959966678245</v>
      </c>
      <c r="B340" s="47">
        <v>6.225208298855667</v>
      </c>
      <c r="C340" s="7">
        <v>0.00421424922898761</v>
      </c>
      <c r="D340" s="48">
        <v>0.12165915294696705</v>
      </c>
      <c r="E340" s="49">
        <v>80.48429367686684</v>
      </c>
      <c r="F340" s="7">
        <v>0.0027204790314974137</v>
      </c>
      <c r="G340" s="48">
        <v>0.42848885031796113</v>
      </c>
      <c r="H340" s="50">
        <v>8296.490297829407</v>
      </c>
      <c r="I340" s="56">
        <v>1.14619872802412E-4</v>
      </c>
      <c r="J340" s="56">
        <v>0.027198171388156642</v>
      </c>
      <c r="K340" s="50">
        <v>296742.04260302905</v>
      </c>
      <c r="L340" s="56">
        <v>0.004099629356185198</v>
      </c>
      <c r="M340" s="56">
        <v>0.9728018286118434</v>
      </c>
      <c r="N340" s="51">
        <v>0.0014937701974901962</v>
      </c>
      <c r="O340" s="7">
        <v>-0.3068296973709941</v>
      </c>
      <c r="P340" s="52">
        <v>56.34226242574606</v>
      </c>
      <c r="Q340" s="34">
        <v>3790.038018169674</v>
      </c>
      <c r="R340" s="13">
        <v>4931.540019551689</v>
      </c>
      <c r="S340" s="56">
        <v>-0.19460400725831198</v>
      </c>
      <c r="T340" s="50">
        <v>271952.9654792385</v>
      </c>
      <c r="U340" s="50">
        <v>305038.53290085844</v>
      </c>
      <c r="V340" s="50">
        <v>33085.567421619955</v>
      </c>
    </row>
    <row r="341">
      <c r="A341" s="54">
        <v>45315.959976388884</v>
      </c>
      <c r="B341" s="47">
        <v>6.201819215634786</v>
      </c>
      <c r="C341" s="7">
        <v>0.06918447880636447</v>
      </c>
      <c r="D341" s="48">
        <v>0.11744490371797944</v>
      </c>
      <c r="E341" s="49">
        <v>80.33101573335048</v>
      </c>
      <c r="F341" s="7">
        <v>0.07558077279174791</v>
      </c>
      <c r="G341" s="48">
        <v>0.4257683712864637</v>
      </c>
      <c r="H341" s="50">
        <v>8261.954037003417</v>
      </c>
      <c r="I341" s="56">
        <v>0.0018809252219160152</v>
      </c>
      <c r="J341" s="56">
        <v>0.02718709823890418</v>
      </c>
      <c r="K341" s="50">
        <v>295630.50128876325</v>
      </c>
      <c r="L341" s="56">
        <v>0.06730355358444846</v>
      </c>
      <c r="M341" s="56">
        <v>0.9728129017610959</v>
      </c>
      <c r="N341" s="51">
        <v>-0.006396293985383439</v>
      </c>
      <c r="O341" s="7">
        <v>-0.3083234675684843</v>
      </c>
      <c r="P341" s="52">
        <v>56.34226242574606</v>
      </c>
      <c r="Q341" s="34">
        <v>3783.002773604936</v>
      </c>
      <c r="R341" s="13">
        <v>4931.540019551689</v>
      </c>
      <c r="S341" s="56">
        <v>-0.19609902069966373</v>
      </c>
      <c r="T341" s="50">
        <v>271952.9654792385</v>
      </c>
      <c r="U341" s="50">
        <v>303892.45532576664</v>
      </c>
      <c r="V341" s="50">
        <v>31939.48984652816</v>
      </c>
    </row>
    <row r="342">
      <c r="A342" s="54">
        <v>45314.95996881944</v>
      </c>
      <c r="B342" s="47">
        <v>5.817845358259463</v>
      </c>
      <c r="C342" s="7">
        <v>-0.011834997369033706</v>
      </c>
      <c r="D342" s="48">
        <v>0.048260424911614974</v>
      </c>
      <c r="E342" s="49">
        <v>76.07262399837713</v>
      </c>
      <c r="F342" s="7">
        <v>-0.01839425975509723</v>
      </c>
      <c r="G342" s="48">
        <v>0.3501875984947158</v>
      </c>
      <c r="H342" s="50">
        <v>8200.746969488911</v>
      </c>
      <c r="I342" s="56">
        <v>-3.404541158215761E-4</v>
      </c>
      <c r="J342" s="56">
        <v>0.02876672509555219</v>
      </c>
      <c r="K342" s="50">
        <v>276876.78417975135</v>
      </c>
      <c r="L342" s="56">
        <v>-0.01149454325321213</v>
      </c>
      <c r="M342" s="56">
        <v>0.9712332749044478</v>
      </c>
      <c r="N342" s="51">
        <v>0.006559262386063525</v>
      </c>
      <c r="O342" s="7">
        <v>-0.30192717358310084</v>
      </c>
      <c r="P342" s="52">
        <v>56.34226242574606</v>
      </c>
      <c r="Q342" s="34">
        <v>3747.4391728004794</v>
      </c>
      <c r="R342" s="13">
        <v>4931.540019551689</v>
      </c>
      <c r="S342" s="56">
        <v>-0.20365640704725688</v>
      </c>
      <c r="T342" s="50">
        <v>271952.9654792385</v>
      </c>
      <c r="U342" s="50">
        <v>285077.53114924027</v>
      </c>
      <c r="V342" s="50">
        <v>13124.565670001786</v>
      </c>
    </row>
    <row r="343">
      <c r="A343" s="54">
        <v>45313.9599990625</v>
      </c>
      <c r="B343" s="47">
        <v>5.8835295936576</v>
      </c>
      <c r="C343" s="7">
        <v>-0.11239887388709224</v>
      </c>
      <c r="D343" s="48">
        <v>0.06009542228064868</v>
      </c>
      <c r="E343" s="49">
        <v>77.10899820862616</v>
      </c>
      <c r="F343" s="7">
        <v>-0.12126527066135884</v>
      </c>
      <c r="G343" s="48">
        <v>0.36858185824981304</v>
      </c>
      <c r="H343" s="50">
        <v>8245.562843072537</v>
      </c>
      <c r="I343" s="56">
        <v>-0.003214722634546823</v>
      </c>
      <c r="J343" s="56">
        <v>0.028601021730663423</v>
      </c>
      <c r="K343" s="50">
        <v>280050.5309371155</v>
      </c>
      <c r="L343" s="56">
        <v>-0.10918415125254542</v>
      </c>
      <c r="M343" s="56">
        <v>0.9713989782693366</v>
      </c>
      <c r="N343" s="51">
        <v>0.008866396774266594</v>
      </c>
      <c r="O343" s="7">
        <v>-0.30848643596916436</v>
      </c>
      <c r="P343" s="52">
        <v>56.34226242574606</v>
      </c>
      <c r="Q343" s="34">
        <v>3738.8125961664537</v>
      </c>
      <c r="R343" s="13">
        <v>4931.540019551689</v>
      </c>
      <c r="S343" s="56">
        <v>-0.2054895839755133</v>
      </c>
      <c r="T343" s="50">
        <v>271952.9654792385</v>
      </c>
      <c r="U343" s="50">
        <v>288296.093780188</v>
      </c>
      <c r="V343" s="50">
        <v>16343.128300949524</v>
      </c>
    </row>
    <row r="344">
      <c r="A344" s="54">
        <v>45312.95995819445</v>
      </c>
      <c r="B344" s="47">
        <v>6.507343343730962</v>
      </c>
      <c r="C344" s="7">
        <v>-0.12264783151837788</v>
      </c>
      <c r="D344" s="48">
        <v>0.17249429616774092</v>
      </c>
      <c r="E344" s="49">
        <v>83.94135791135756</v>
      </c>
      <c r="F344" s="7">
        <v>-0.02388140868644406</v>
      </c>
      <c r="G344" s="48">
        <v>0.4898471289111719</v>
      </c>
      <c r="H344" s="50">
        <v>8592.579334331895</v>
      </c>
      <c r="I344" s="56">
        <v>-0.003305056491904563</v>
      </c>
      <c r="J344" s="56">
        <v>0.026947533038195824</v>
      </c>
      <c r="K344" s="50">
        <v>310270.72151597776</v>
      </c>
      <c r="L344" s="56">
        <v>-0.11934277502647331</v>
      </c>
      <c r="M344" s="56">
        <v>0.9730524669618041</v>
      </c>
      <c r="N344" s="51">
        <v>-0.09876642283193382</v>
      </c>
      <c r="O344" s="7">
        <v>-0.31735283274343096</v>
      </c>
      <c r="P344" s="52">
        <v>56.34226242574606</v>
      </c>
      <c r="Q344" s="34">
        <v>3798.643586240655</v>
      </c>
      <c r="R344" s="13">
        <v>4931.540019551689</v>
      </c>
      <c r="S344" s="56">
        <v>-0.1927752947212855</v>
      </c>
      <c r="T344" s="50">
        <v>271952.9654792385</v>
      </c>
      <c r="U344" s="50">
        <v>318863.30085030966</v>
      </c>
      <c r="V344" s="50">
        <v>46910.33537107118</v>
      </c>
    </row>
    <row r="345">
      <c r="A345" s="54">
        <v>45311.95995650463</v>
      </c>
      <c r="B345" s="47">
        <v>7.188038808657959</v>
      </c>
      <c r="C345" s="7">
        <v>0.09477789402929182</v>
      </c>
      <c r="D345" s="48">
        <v>0.2951421276861188</v>
      </c>
      <c r="E345" s="49">
        <v>85.28689050666569</v>
      </c>
      <c r="F345" s="7">
        <v>-0.008475197019036873</v>
      </c>
      <c r="G345" s="48">
        <v>0.5137285375976159</v>
      </c>
      <c r="H345" s="50">
        <v>8613.764146448506</v>
      </c>
      <c r="I345" s="56">
        <v>0.0023178685435847534</v>
      </c>
      <c r="J345" s="56">
        <v>0.02445579285469667</v>
      </c>
      <c r="K345" s="50">
        <v>343603.97819488205</v>
      </c>
      <c r="L345" s="56">
        <v>0.09246002548570707</v>
      </c>
      <c r="M345" s="56">
        <v>0.9755442071453033</v>
      </c>
      <c r="N345" s="51">
        <v>0.1032530910483287</v>
      </c>
      <c r="O345" s="7">
        <v>-0.21858640991149714</v>
      </c>
      <c r="P345" s="52">
        <v>56.34226242574606</v>
      </c>
      <c r="Q345" s="34">
        <v>4129.799319085301</v>
      </c>
      <c r="R345" s="13">
        <v>4931.540019551689</v>
      </c>
      <c r="S345" s="56">
        <v>-0.12240357313752202</v>
      </c>
      <c r="T345" s="50">
        <v>271952.9654792385</v>
      </c>
      <c r="U345" s="50">
        <v>352217.74234133057</v>
      </c>
      <c r="V345" s="50">
        <v>80264.77686209208</v>
      </c>
    </row>
    <row r="346">
      <c r="A346" s="54">
        <v>45310.959958680556</v>
      </c>
      <c r="B346" s="47">
        <v>6.66202149679539</v>
      </c>
      <c r="C346" s="7">
        <v>-0.01981205695528998</v>
      </c>
      <c r="D346" s="48">
        <v>0.20036423365682698</v>
      </c>
      <c r="E346" s="49">
        <v>85.76440228122216</v>
      </c>
      <c r="F346" s="7">
        <v>-0.021997823375673686</v>
      </c>
      <c r="G346" s="48">
        <v>0.5222037346166528</v>
      </c>
      <c r="H346" s="50">
        <v>8608.217117636188</v>
      </c>
      <c r="I346" s="56">
        <v>-5.224394151601071E-4</v>
      </c>
      <c r="J346" s="56">
        <v>0.02636977151535048</v>
      </c>
      <c r="K346" s="50">
        <v>317834.3958805514</v>
      </c>
      <c r="L346" s="56">
        <v>-0.019289617540129873</v>
      </c>
      <c r="M346" s="56">
        <v>0.9736302284846495</v>
      </c>
      <c r="N346" s="51">
        <v>0.0021857664203837057</v>
      </c>
      <c r="O346" s="7">
        <v>-0.32183950095982583</v>
      </c>
      <c r="P346" s="52">
        <v>56.34226242574606</v>
      </c>
      <c r="Q346" s="34">
        <v>3806.271650186282</v>
      </c>
      <c r="R346" s="13">
        <v>4931.540019551689</v>
      </c>
      <c r="S346" s="56">
        <v>-0.19115430514156825</v>
      </c>
      <c r="T346" s="50">
        <v>271952.9654792385</v>
      </c>
      <c r="U346" s="50">
        <v>326442.6129981876</v>
      </c>
      <c r="V346" s="50">
        <v>54489.64751894912</v>
      </c>
    </row>
    <row r="347">
      <c r="A347" s="54">
        <v>45309.95996952546</v>
      </c>
      <c r="B347" s="47">
        <v>6.771978412897249</v>
      </c>
      <c r="C347" s="7">
        <v>-0.09559516280529445</v>
      </c>
      <c r="D347" s="48">
        <v>0.22017629061211696</v>
      </c>
      <c r="E347" s="49">
        <v>87.00380941864958</v>
      </c>
      <c r="F347" s="7">
        <v>-0.1034142791020427</v>
      </c>
      <c r="G347" s="48">
        <v>0.5442015579923265</v>
      </c>
      <c r="H347" s="50">
        <v>8557.883664460827</v>
      </c>
      <c r="I347" s="56">
        <v>-0.002465391616120216</v>
      </c>
      <c r="J347" s="56">
        <v>0.025789920156751616</v>
      </c>
      <c r="K347" s="50">
        <v>323272.6769749615</v>
      </c>
      <c r="L347" s="56">
        <v>-0.09312977118917423</v>
      </c>
      <c r="M347" s="56">
        <v>0.9742100798432483</v>
      </c>
      <c r="N347" s="51">
        <v>0.007819116296748252</v>
      </c>
      <c r="O347" s="7">
        <v>-0.32402526738020954</v>
      </c>
      <c r="P347" s="52">
        <v>56.34226242574606</v>
      </c>
      <c r="Q347" s="34">
        <v>3813.977374745769</v>
      </c>
      <c r="R347" s="13">
        <v>4931.540019551689</v>
      </c>
      <c r="S347" s="56">
        <v>-0.18951681241679103</v>
      </c>
      <c r="T347" s="50">
        <v>271952.9654792385</v>
      </c>
      <c r="U347" s="50">
        <v>331830.5606394223</v>
      </c>
      <c r="V347" s="50">
        <v>59877.595160183846</v>
      </c>
    </row>
    <row r="348">
      <c r="A348" s="54">
        <v>45308.95997082176</v>
      </c>
      <c r="B348" s="47">
        <v>7.302531566466633</v>
      </c>
      <c r="C348" s="7">
        <v>0.040894665892300175</v>
      </c>
      <c r="D348" s="48">
        <v>0.3157714534174114</v>
      </c>
      <c r="E348" s="49">
        <v>92.83040387038622</v>
      </c>
      <c r="F348" s="7">
        <v>0.04599734716801196</v>
      </c>
      <c r="G348" s="48">
        <v>0.6476158370943692</v>
      </c>
      <c r="H348" s="50">
        <v>8813.268296630253</v>
      </c>
      <c r="I348" s="56">
        <v>0.0010072317262244809</v>
      </c>
      <c r="J348" s="56">
        <v>0.024629904762570192</v>
      </c>
      <c r="K348" s="50">
        <v>349014.6803531625</v>
      </c>
      <c r="L348" s="56">
        <v>0.0398874341660757</v>
      </c>
      <c r="M348" s="56">
        <v>0.9753700952374299</v>
      </c>
      <c r="N348" s="51">
        <v>-0.0051026812757117845</v>
      </c>
      <c r="O348" s="7">
        <v>-0.3318443836769578</v>
      </c>
      <c r="P348" s="52">
        <v>56.34226242574606</v>
      </c>
      <c r="Q348" s="34">
        <v>3854.641730842919</v>
      </c>
      <c r="R348" s="13">
        <v>4931.540019551689</v>
      </c>
      <c r="S348" s="56">
        <v>-0.18087549818958382</v>
      </c>
      <c r="T348" s="50">
        <v>271952.9654792385</v>
      </c>
      <c r="U348" s="50">
        <v>357827.94864979276</v>
      </c>
      <c r="V348" s="50">
        <v>85874.98317055427</v>
      </c>
    </row>
    <row r="349">
      <c r="A349" s="54">
        <v>45307.95998818287</v>
      </c>
      <c r="B349" s="47">
        <v>7.075566170764367</v>
      </c>
      <c r="C349" s="7">
        <v>0.07378635258355093</v>
      </c>
      <c r="D349" s="48">
        <v>0.27487678752511124</v>
      </c>
      <c r="E349" s="49">
        <v>90.23880926535794</v>
      </c>
      <c r="F349" s="7">
        <v>0.077579431301114</v>
      </c>
      <c r="G349" s="48">
        <v>0.6016184899263572</v>
      </c>
      <c r="H349" s="50">
        <v>8968.885507529998</v>
      </c>
      <c r="I349" s="56">
        <v>0.0019087652076359254</v>
      </c>
      <c r="J349" s="56">
        <v>0.025868810976590315</v>
      </c>
      <c r="K349" s="50">
        <v>337737.637480569</v>
      </c>
      <c r="L349" s="56">
        <v>0.071877587375915</v>
      </c>
      <c r="M349" s="56">
        <v>0.9741311890234097</v>
      </c>
      <c r="N349" s="51">
        <v>-0.00379307871756307</v>
      </c>
      <c r="O349" s="7">
        <v>-0.326741702401246</v>
      </c>
      <c r="P349" s="52">
        <v>56.34226242574606</v>
      </c>
      <c r="Q349" s="34">
        <v>3842.09993250872</v>
      </c>
      <c r="R349" s="13">
        <v>4931.540019551689</v>
      </c>
      <c r="S349" s="56">
        <v>-0.18354067306954885</v>
      </c>
      <c r="T349" s="50">
        <v>271952.9654792385</v>
      </c>
      <c r="U349" s="50">
        <v>346706.522988099</v>
      </c>
      <c r="V349" s="50">
        <v>74753.55750886054</v>
      </c>
    </row>
    <row r="350">
      <c r="A350" s="54">
        <v>45306.95997539352</v>
      </c>
      <c r="B350" s="47">
        <v>6.666051913925659</v>
      </c>
      <c r="C350" s="7">
        <v>-0.035233809703312025</v>
      </c>
      <c r="D350" s="48">
        <v>0.20109043494156031</v>
      </c>
      <c r="E350" s="49">
        <v>85.86780858815044</v>
      </c>
      <c r="F350" s="7">
        <v>-0.04089011730820413</v>
      </c>
      <c r="G350" s="48">
        <v>0.5240390586252432</v>
      </c>
      <c r="H350" s="50">
        <v>8776.882630951563</v>
      </c>
      <c r="I350" s="56">
        <v>-9.46739261694852E-4</v>
      </c>
      <c r="J350" s="56">
        <v>0.026870192853594748</v>
      </c>
      <c r="K350" s="50">
        <v>317863.2229601541</v>
      </c>
      <c r="L350" s="56">
        <v>-0.03428707044161717</v>
      </c>
      <c r="M350" s="56">
        <v>0.9731298071464052</v>
      </c>
      <c r="N350" s="51">
        <v>0.005656307604892108</v>
      </c>
      <c r="O350" s="7">
        <v>-0.32294862368368293</v>
      </c>
      <c r="P350" s="52">
        <v>56.34226242574606</v>
      </c>
      <c r="Q350" s="34">
        <v>3803.9879084113636</v>
      </c>
      <c r="R350" s="13">
        <v>4931.540019551689</v>
      </c>
      <c r="S350" s="56">
        <v>-0.19163960805018243</v>
      </c>
      <c r="T350" s="50">
        <v>271952.9654792385</v>
      </c>
      <c r="U350" s="50">
        <v>326640.1055911057</v>
      </c>
      <c r="V350" s="50">
        <v>54687.14011186722</v>
      </c>
    </row>
    <row r="351">
      <c r="A351" s="54">
        <v>45305.959976805556</v>
      </c>
      <c r="B351" s="47">
        <v>6.861599557779042</v>
      </c>
      <c r="C351" s="7">
        <v>0.003272448116985016</v>
      </c>
      <c r="D351" s="48">
        <v>0.23632424464487234</v>
      </c>
      <c r="E351" s="49">
        <v>88.17165030814881</v>
      </c>
      <c r="F351" s="7">
        <v>0.007478466003516315</v>
      </c>
      <c r="G351" s="48">
        <v>0.5649291759334474</v>
      </c>
      <c r="H351" s="50">
        <v>8686.009760876464</v>
      </c>
      <c r="I351" s="56">
        <v>8.454090604853722E-5</v>
      </c>
      <c r="J351" s="56">
        <v>0.025834147105264653</v>
      </c>
      <c r="K351" s="50">
        <v>327536.03486417606</v>
      </c>
      <c r="L351" s="56">
        <v>0.003187907210936479</v>
      </c>
      <c r="M351" s="56">
        <v>0.9741658528947353</v>
      </c>
      <c r="N351" s="51">
        <v>-0.004206017886531299</v>
      </c>
      <c r="O351" s="7">
        <v>-0.32860493128857504</v>
      </c>
      <c r="P351" s="52">
        <v>56.34226242574606</v>
      </c>
      <c r="Q351" s="34">
        <v>3813.2670019218062</v>
      </c>
      <c r="R351" s="13">
        <v>4931.540019551689</v>
      </c>
      <c r="S351" s="56">
        <v>-0.18966776906235217</v>
      </c>
      <c r="T351" s="50">
        <v>271952.9654792385</v>
      </c>
      <c r="U351" s="50">
        <v>336222.04462505254</v>
      </c>
      <c r="V351" s="50">
        <v>64269.07914581406</v>
      </c>
    </row>
    <row r="352">
      <c r="A352" s="54">
        <v>45304.959967835646</v>
      </c>
      <c r="B352" s="47">
        <v>6.843437470729774</v>
      </c>
      <c r="C352" s="7">
        <v>0.09516687278073688</v>
      </c>
      <c r="D352" s="48">
        <v>0.23305179652788732</v>
      </c>
      <c r="E352" s="49">
        <v>87.75029661403667</v>
      </c>
      <c r="F352" s="7">
        <v>0.10202737901981496</v>
      </c>
      <c r="G352" s="48">
        <v>0.5574507099299311</v>
      </c>
      <c r="H352" s="50">
        <v>8829.34877407795</v>
      </c>
      <c r="I352" s="56">
        <v>0.0025057593052486716</v>
      </c>
      <c r="J352" s="56">
        <v>0.02633016334393908</v>
      </c>
      <c r="K352" s="50">
        <v>326502.74388118356</v>
      </c>
      <c r="L352" s="56">
        <v>0.09266111347548821</v>
      </c>
      <c r="M352" s="56">
        <v>0.9736698366560609</v>
      </c>
      <c r="N352" s="51">
        <v>-0.006860506239078079</v>
      </c>
      <c r="O352" s="7">
        <v>-0.32439891340204374</v>
      </c>
      <c r="P352" s="52">
        <v>56.34226242574606</v>
      </c>
      <c r="Q352" s="34">
        <v>3821.435432066919</v>
      </c>
      <c r="R352" s="13">
        <v>4931.540019551689</v>
      </c>
      <c r="S352" s="56">
        <v>-0.18793194982404243</v>
      </c>
      <c r="T352" s="50">
        <v>271952.9654792385</v>
      </c>
      <c r="U352" s="50">
        <v>335332.0926552615</v>
      </c>
      <c r="V352" s="50">
        <v>63379.12717602303</v>
      </c>
    </row>
    <row r="353">
      <c r="A353" s="54">
        <v>45303.959954895836</v>
      </c>
      <c r="B353" s="47">
        <v>6.315261326796684</v>
      </c>
      <c r="C353" s="7">
        <v>-0.15723598492403257</v>
      </c>
      <c r="D353" s="48">
        <v>0.13788492374715045</v>
      </c>
      <c r="E353" s="49">
        <v>82.00184325069121</v>
      </c>
      <c r="F353" s="7">
        <v>-0.16869891502108247</v>
      </c>
      <c r="G353" s="48">
        <v>0.4554233309101161</v>
      </c>
      <c r="H353" s="50">
        <v>8746.41668325299</v>
      </c>
      <c r="I353" s="56">
        <v>-0.0044441628707664275</v>
      </c>
      <c r="J353" s="56">
        <v>0.02826428614870567</v>
      </c>
      <c r="K353" s="50">
        <v>300704.7627039017</v>
      </c>
      <c r="L353" s="56">
        <v>-0.1527918220532661</v>
      </c>
      <c r="M353" s="56">
        <v>0.9717357138512942</v>
      </c>
      <c r="N353" s="51">
        <v>0.011462930097049906</v>
      </c>
      <c r="O353" s="7">
        <v>-0.31753840716296566</v>
      </c>
      <c r="P353" s="52">
        <v>56.34226242574606</v>
      </c>
      <c r="Q353" s="34">
        <v>3773.7100426037837</v>
      </c>
      <c r="R353" s="13">
        <v>4931.540019551689</v>
      </c>
      <c r="S353" s="56">
        <v>-0.19807375770073712</v>
      </c>
      <c r="T353" s="50">
        <v>271952.9654792385</v>
      </c>
      <c r="U353" s="50">
        <v>309451.1793871547</v>
      </c>
      <c r="V353" s="50">
        <v>37498.213907916215</v>
      </c>
    </row>
    <row r="354">
      <c r="A354" s="54">
        <v>45302.95996951389</v>
      </c>
      <c r="B354" s="47">
        <v>7.1879210431250655</v>
      </c>
      <c r="C354" s="7">
        <v>-0.04306468924231388</v>
      </c>
      <c r="D354" s="48">
        <v>0.295120908671183</v>
      </c>
      <c r="E354" s="49">
        <v>91.50672179174767</v>
      </c>
      <c r="F354" s="7">
        <v>-0.046846886073415694</v>
      </c>
      <c r="G354" s="48">
        <v>0.6241222459311986</v>
      </c>
      <c r="H354" s="50">
        <v>9539.349708698026</v>
      </c>
      <c r="I354" s="56">
        <v>-0.0011663690155604895</v>
      </c>
      <c r="J354" s="56">
        <v>0.0270841154570426</v>
      </c>
      <c r="K354" s="50">
        <v>342672.6220585962</v>
      </c>
      <c r="L354" s="56">
        <v>-0.04189832022675339</v>
      </c>
      <c r="M354" s="56">
        <v>0.9729158845429573</v>
      </c>
      <c r="N354" s="51">
        <v>0.003782196831101814</v>
      </c>
      <c r="O354" s="7">
        <v>-0.32900133726001557</v>
      </c>
      <c r="P354" s="52">
        <v>56.34226242574606</v>
      </c>
      <c r="Q354" s="34">
        <v>3849.0284087420746</v>
      </c>
      <c r="R354" s="13">
        <v>4931.540019551689</v>
      </c>
      <c r="S354" s="56">
        <v>-0.18206834826241022</v>
      </c>
      <c r="T354" s="50">
        <v>271952.9654792385</v>
      </c>
      <c r="U354" s="50">
        <v>352211.9717672942</v>
      </c>
      <c r="V354" s="50">
        <v>80259.00628805574</v>
      </c>
    </row>
    <row r="355">
      <c r="A355" s="54">
        <v>45301.95996719907</v>
      </c>
      <c r="B355" s="47">
        <v>7.4269300684199075</v>
      </c>
      <c r="C355" s="7">
        <v>0.0547109499221321</v>
      </c>
      <c r="D355" s="48">
        <v>0.3381855979134969</v>
      </c>
      <c r="E355" s="49">
        <v>94.14618134072508</v>
      </c>
      <c r="F355" s="7">
        <v>0.057891187923448495</v>
      </c>
      <c r="G355" s="48">
        <v>0.6709691320046143</v>
      </c>
      <c r="H355" s="50">
        <v>9617.852994761106</v>
      </c>
      <c r="I355" s="56">
        <v>0.0014459132571535292</v>
      </c>
      <c r="J355" s="56">
        <v>0.026428224317279075</v>
      </c>
      <c r="K355" s="50">
        <v>354305.68871942227</v>
      </c>
      <c r="L355" s="56">
        <v>0.05326503666497858</v>
      </c>
      <c r="M355" s="56">
        <v>0.973571775682721</v>
      </c>
      <c r="N355" s="51">
        <v>-0.0031802380013163933</v>
      </c>
      <c r="O355" s="7">
        <v>-0.3327835340911174</v>
      </c>
      <c r="P355" s="52">
        <v>56.34226242574606</v>
      </c>
      <c r="Q355" s="34">
        <v>3865.5156962458755</v>
      </c>
      <c r="R355" s="13">
        <v>4931.540019551689</v>
      </c>
      <c r="S355" s="56">
        <v>-0.178564743490352</v>
      </c>
      <c r="T355" s="50">
        <v>271952.9654792385</v>
      </c>
      <c r="U355" s="50">
        <v>363923.54171418335</v>
      </c>
      <c r="V355" s="50">
        <v>91970.57623494486</v>
      </c>
    </row>
    <row r="356">
      <c r="A356" s="54">
        <v>45300.959966180555</v>
      </c>
      <c r="B356" s="47">
        <v>7.123284296352074</v>
      </c>
      <c r="C356" s="7">
        <v>0.02180554224554876</v>
      </c>
      <c r="D356" s="48">
        <v>0.2834746479913648</v>
      </c>
      <c r="E356" s="49">
        <v>90.88446083860397</v>
      </c>
      <c r="F356" s="7">
        <v>0.024128446260575975</v>
      </c>
      <c r="G356" s="48">
        <v>0.6130779440811658</v>
      </c>
      <c r="H356" s="50">
        <v>9509.920273112124</v>
      </c>
      <c r="I356" s="56">
        <v>5.941042694530377E-4</v>
      </c>
      <c r="J356" s="56">
        <v>0.02724556274560493</v>
      </c>
      <c r="K356" s="50">
        <v>339534.8163655613</v>
      </c>
      <c r="L356" s="56">
        <v>0.02121143797609572</v>
      </c>
      <c r="M356" s="56">
        <v>0.972754437254395</v>
      </c>
      <c r="N356" s="51">
        <v>-0.0023229040150272162</v>
      </c>
      <c r="O356" s="7">
        <v>-0.329603296089801</v>
      </c>
      <c r="P356" s="52">
        <v>56.34226242574606</v>
      </c>
      <c r="Q356" s="34">
        <v>3840.5326215063333</v>
      </c>
      <c r="R356" s="13">
        <v>4931.540019551689</v>
      </c>
      <c r="S356" s="56">
        <v>-0.1838737319978896</v>
      </c>
      <c r="T356" s="50">
        <v>271952.9654792385</v>
      </c>
      <c r="U356" s="50">
        <v>349044.7366386734</v>
      </c>
      <c r="V356" s="50">
        <v>77091.77115943492</v>
      </c>
    </row>
    <row r="357">
      <c r="A357" s="54">
        <v>45299.95997851852</v>
      </c>
      <c r="B357" s="47">
        <v>7.002263536889279</v>
      </c>
      <c r="C357" s="7">
        <v>0.1374731329561485</v>
      </c>
      <c r="D357" s="48">
        <v>0.26166910574581603</v>
      </c>
      <c r="E357" s="49">
        <v>89.52500958746508</v>
      </c>
      <c r="F357" s="7">
        <v>0.14729092488571127</v>
      </c>
      <c r="G357" s="48">
        <v>0.5889494978205898</v>
      </c>
      <c r="H357" s="50">
        <v>9689.828128913658</v>
      </c>
      <c r="I357" s="56">
        <v>0.003882349565091632</v>
      </c>
      <c r="J357" s="56">
        <v>0.02824078772053615</v>
      </c>
      <c r="K357" s="50">
        <v>333424.8266321999</v>
      </c>
      <c r="L357" s="56">
        <v>0.13359078339105684</v>
      </c>
      <c r="M357" s="56">
        <v>0.9717592122794638</v>
      </c>
      <c r="N357" s="51">
        <v>-0.00981779192956278</v>
      </c>
      <c r="O357" s="7">
        <v>-0.3272803920747738</v>
      </c>
      <c r="P357" s="52">
        <v>56.34226242574606</v>
      </c>
      <c r="Q357" s="34">
        <v>3832.6123207604223</v>
      </c>
      <c r="R357" s="13">
        <v>4931.540019551689</v>
      </c>
      <c r="S357" s="56">
        <v>-0.18555682289341213</v>
      </c>
      <c r="T357" s="50">
        <v>271952.9654792385</v>
      </c>
      <c r="U357" s="50">
        <v>343114.6547611136</v>
      </c>
      <c r="V357" s="50">
        <v>71161.6892818751</v>
      </c>
    </row>
    <row r="358">
      <c r="A358" s="54">
        <v>45298.959965057875</v>
      </c>
      <c r="B358" s="47">
        <v>6.239287648982654</v>
      </c>
      <c r="C358" s="7">
        <v>-0.06693581289465156</v>
      </c>
      <c r="D358" s="48">
        <v>0.12419597278966754</v>
      </c>
      <c r="E358" s="49">
        <v>81.2263056446235</v>
      </c>
      <c r="F358" s="7">
        <v>-0.07322547013807568</v>
      </c>
      <c r="G358" s="48">
        <v>0.44165857293487853</v>
      </c>
      <c r="H358" s="50">
        <v>9018.551001242182</v>
      </c>
      <c r="I358" s="56">
        <v>-0.0019745106636104757</v>
      </c>
      <c r="J358" s="56">
        <v>0.029498568527405556</v>
      </c>
      <c r="K358" s="50">
        <v>296709.87757872517</v>
      </c>
      <c r="L358" s="56">
        <v>-0.06496130223104107</v>
      </c>
      <c r="M358" s="56">
        <v>0.9705014314725944</v>
      </c>
      <c r="N358" s="51">
        <v>0.006289657243424118</v>
      </c>
      <c r="O358" s="7">
        <v>-0.317462600145211</v>
      </c>
      <c r="P358" s="52">
        <v>56.34226242574606</v>
      </c>
      <c r="Q358" s="34">
        <v>3763.909070511864</v>
      </c>
      <c r="R358" s="13">
        <v>4931.540019551689</v>
      </c>
      <c r="S358" s="56">
        <v>-0.20015649766533977</v>
      </c>
      <c r="T358" s="50">
        <v>271952.9654792385</v>
      </c>
      <c r="U358" s="50">
        <v>305728.42857996735</v>
      </c>
      <c r="V358" s="50">
        <v>33775.46310072887</v>
      </c>
    </row>
    <row r="359">
      <c r="A359" s="54">
        <v>45297.95996277778</v>
      </c>
      <c r="B359" s="47">
        <v>6.610781410547971</v>
      </c>
      <c r="C359" s="7">
        <v>-0.08703801517542642</v>
      </c>
      <c r="D359" s="48">
        <v>0.1911317856843191</v>
      </c>
      <c r="E359" s="49">
        <v>85.35199429939158</v>
      </c>
      <c r="F359" s="7">
        <v>-0.09598048044406604</v>
      </c>
      <c r="G359" s="48">
        <v>0.5148840430729542</v>
      </c>
      <c r="H359" s="50">
        <v>9058.062667517459</v>
      </c>
      <c r="I359" s="56">
        <v>-0.002433832503778016</v>
      </c>
      <c r="J359" s="56">
        <v>0.027962867706399212</v>
      </c>
      <c r="K359" s="50">
        <v>314873.7587259139</v>
      </c>
      <c r="L359" s="56">
        <v>-0.0846041826716484</v>
      </c>
      <c r="M359" s="56">
        <v>0.9720371322936008</v>
      </c>
      <c r="N359" s="51">
        <v>0.008942465268639621</v>
      </c>
      <c r="O359" s="7">
        <v>-0.3237522573886351</v>
      </c>
      <c r="P359" s="52">
        <v>56.34226242574606</v>
      </c>
      <c r="Q359" s="34">
        <v>3795.2460754129147</v>
      </c>
      <c r="R359" s="13">
        <v>4931.540019551689</v>
      </c>
      <c r="S359" s="56">
        <v>-0.19349727734859434</v>
      </c>
      <c r="T359" s="50">
        <v>271952.9654792385</v>
      </c>
      <c r="U359" s="50">
        <v>323931.82139343134</v>
      </c>
      <c r="V359" s="50">
        <v>51978.855914192856</v>
      </c>
    </row>
    <row r="360">
      <c r="A360" s="54">
        <v>45296.95996847222</v>
      </c>
      <c r="B360" s="47">
        <v>7.093842394771587</v>
      </c>
      <c r="C360" s="7">
        <v>-0.07847108235915567</v>
      </c>
      <c r="D360" s="48">
        <v>0.2781698008597455</v>
      </c>
      <c r="E360" s="49">
        <v>90.75975171632034</v>
      </c>
      <c r="F360" s="7">
        <v>-0.09076792337175354</v>
      </c>
      <c r="G360" s="48">
        <v>0.6108645235170203</v>
      </c>
      <c r="H360" s="50">
        <v>9063.702110095262</v>
      </c>
      <c r="I360" s="56">
        <v>-0.002046128549824884</v>
      </c>
      <c r="J360" s="56">
        <v>0.026074937267462708</v>
      </c>
      <c r="K360" s="50">
        <v>338538.36561972025</v>
      </c>
      <c r="L360" s="56">
        <v>-0.07642495380933079</v>
      </c>
      <c r="M360" s="56">
        <v>0.9739250627325373</v>
      </c>
      <c r="N360" s="51">
        <v>0.01229684101259787</v>
      </c>
      <c r="O360" s="7">
        <v>-0.33269472265727473</v>
      </c>
      <c r="P360" s="52">
        <v>56.34226242574606</v>
      </c>
      <c r="Q360" s="34">
        <v>3829.9142643788214</v>
      </c>
      <c r="R360" s="13">
        <v>4931.540019551689</v>
      </c>
      <c r="S360" s="56">
        <v>-0.1861301690676497</v>
      </c>
      <c r="T360" s="50">
        <v>271952.9654792385</v>
      </c>
      <c r="U360" s="50">
        <v>347602.0677298155</v>
      </c>
      <c r="V360" s="50">
        <v>75649.10225057701</v>
      </c>
    </row>
    <row r="361">
      <c r="A361" s="54">
        <v>45295.95998180556</v>
      </c>
      <c r="B361" s="47">
        <v>7.529356901864902</v>
      </c>
      <c r="C361" s="7">
        <v>0.09830274923785787</v>
      </c>
      <c r="D361" s="48">
        <v>0.3566408832189012</v>
      </c>
      <c r="E361" s="49">
        <v>95.87382187477168</v>
      </c>
      <c r="F361" s="7">
        <v>0.0965707368001798</v>
      </c>
      <c r="G361" s="48">
        <v>0.7016324468887738</v>
      </c>
      <c r="H361" s="50">
        <v>9139.771982124572</v>
      </c>
      <c r="I361" s="56">
        <v>0.0024352431226442564</v>
      </c>
      <c r="J361" s="56">
        <v>0.02477288927852699</v>
      </c>
      <c r="K361" s="50">
        <v>359802.7392996288</v>
      </c>
      <c r="L361" s="56">
        <v>0.09586750611521361</v>
      </c>
      <c r="M361" s="56">
        <v>0.975227110721473</v>
      </c>
      <c r="N361" s="51">
        <v>0.0017320124376780655</v>
      </c>
      <c r="O361" s="7">
        <v>-0.3449915636698726</v>
      </c>
      <c r="P361" s="52">
        <v>56.34226242574606</v>
      </c>
      <c r="Q361" s="34">
        <v>3848.2090738351726</v>
      </c>
      <c r="R361" s="13">
        <v>4931.540019551689</v>
      </c>
      <c r="S361" s="56">
        <v>-0.1822424597218649</v>
      </c>
      <c r="T361" s="50">
        <v>271952.9654792385</v>
      </c>
      <c r="U361" s="50">
        <v>368942.5112817534</v>
      </c>
      <c r="V361" s="50">
        <v>96989.54580251494</v>
      </c>
    </row>
    <row r="362">
      <c r="A362" s="54">
        <v>45294.95997739583</v>
      </c>
      <c r="B362" s="47">
        <v>6.983776643594791</v>
      </c>
      <c r="C362" s="7">
        <v>-0.13238961113032088</v>
      </c>
      <c r="D362" s="48">
        <v>0.2583381339810433</v>
      </c>
      <c r="E362" s="49">
        <v>90.4328080793283</v>
      </c>
      <c r="F362" s="7">
        <v>-0.14673762634172083</v>
      </c>
      <c r="G362" s="48">
        <v>0.605061710088594</v>
      </c>
      <c r="H362" s="50">
        <v>8858.762037273062</v>
      </c>
      <c r="I362" s="56">
        <v>-0.0034271710878879995</v>
      </c>
      <c r="J362" s="56">
        <v>0.025887009249648613</v>
      </c>
      <c r="K362" s="50">
        <v>333350.02507448295</v>
      </c>
      <c r="L362" s="56">
        <v>-0.12896244004243287</v>
      </c>
      <c r="M362" s="56">
        <v>0.9741129907503513</v>
      </c>
      <c r="N362" s="51">
        <v>0.014348015211399945</v>
      </c>
      <c r="O362" s="7">
        <v>-0.34672357610755067</v>
      </c>
      <c r="P362" s="52">
        <v>56.34226242574606</v>
      </c>
      <c r="Q362" s="34">
        <v>3784.122094401493</v>
      </c>
      <c r="R362" s="13">
        <v>4931.540019551689</v>
      </c>
      <c r="S362" s="56">
        <v>-0.19586116121650876</v>
      </c>
      <c r="T362" s="50">
        <v>271952.9654792385</v>
      </c>
      <c r="U362" s="50">
        <v>342208.78711175604</v>
      </c>
      <c r="V362" s="50">
        <v>70255.82163251756</v>
      </c>
    </row>
    <row r="363">
      <c r="A363" s="54">
        <v>45293.95996133102</v>
      </c>
      <c r="B363" s="47">
        <v>7.718538985368071</v>
      </c>
      <c r="C363" s="7">
        <v>0.016677204288559677</v>
      </c>
      <c r="D363" s="48">
        <v>0.3907277451113642</v>
      </c>
      <c r="E363" s="49">
        <v>98.7003379304046</v>
      </c>
      <c r="F363" s="7">
        <v>0.01550246467038141</v>
      </c>
      <c r="G363" s="48">
        <v>0.7517993364303148</v>
      </c>
      <c r="H363" s="50">
        <v>9274.141423105717</v>
      </c>
      <c r="I363" s="56">
        <v>4.0894136767853076E-4</v>
      </c>
      <c r="J363" s="56">
        <v>0.024520978492723666</v>
      </c>
      <c r="K363" s="50">
        <v>368938.3930341843</v>
      </c>
      <c r="L363" s="56">
        <v>0.016268262920881144</v>
      </c>
      <c r="M363" s="56">
        <v>0.9754790215072763</v>
      </c>
      <c r="N363" s="51">
        <v>0.0011747396181782666</v>
      </c>
      <c r="O363" s="7">
        <v>-0.3610715913189506</v>
      </c>
      <c r="P363" s="52">
        <v>56.34226242574606</v>
      </c>
      <c r="Q363" s="34">
        <v>3831.927452203604</v>
      </c>
      <c r="R363" s="13">
        <v>4931.540019551689</v>
      </c>
      <c r="S363" s="56">
        <v>-0.18570235979530386</v>
      </c>
      <c r="T363" s="50">
        <v>271952.9654792385</v>
      </c>
      <c r="U363" s="50">
        <v>378212.53445729</v>
      </c>
      <c r="V363" s="50">
        <v>106259.56897805154</v>
      </c>
    </row>
    <row r="364">
      <c r="A364" s="54">
        <v>45292.9599590162</v>
      </c>
      <c r="B364" s="47">
        <v>7.6259805015665645</v>
      </c>
      <c r="C364" s="7">
        <v>0.1090660367930898</v>
      </c>
      <c r="D364" s="48">
        <v>0.37405054082280453</v>
      </c>
      <c r="E364" s="49">
        <v>97.82689399770011</v>
      </c>
      <c r="F364" s="7">
        <v>0.11838754032480603</v>
      </c>
      <c r="G364" s="48">
        <v>0.7362968717599334</v>
      </c>
      <c r="H364" s="50">
        <v>8871.454819150795</v>
      </c>
      <c r="I364" s="56">
        <v>0.002589332789599002</v>
      </c>
      <c r="J364" s="56">
        <v>0.023740963417523363</v>
      </c>
      <c r="K364" s="50">
        <v>364805.66447596235</v>
      </c>
      <c r="L364" s="56">
        <v>0.10647670400349078</v>
      </c>
      <c r="M364" s="56">
        <v>0.9762590365824766</v>
      </c>
      <c r="N364" s="51">
        <v>-0.009321503531716235</v>
      </c>
      <c r="O364" s="7">
        <v>-0.3622463309371289</v>
      </c>
      <c r="P364" s="52">
        <v>56.34226242574606</v>
      </c>
      <c r="Q364" s="34">
        <v>3819.779040556048</v>
      </c>
      <c r="R364" s="13">
        <v>4931.540019551689</v>
      </c>
      <c r="S364" s="56">
        <v>-0.18828393866396204</v>
      </c>
      <c r="T364" s="50">
        <v>271952.9654792385</v>
      </c>
      <c r="U364" s="50">
        <v>373677.11929511314</v>
      </c>
      <c r="V364" s="50">
        <v>101724.15381587466</v>
      </c>
    </row>
    <row r="365">
      <c r="A365" s="54">
        <v>45291.959956481485</v>
      </c>
      <c r="B365" s="47">
        <v>7.020663997364917</v>
      </c>
      <c r="C365" s="7">
        <v>-0.015285333760548081</v>
      </c>
      <c r="D365" s="48">
        <v>0.26498450402971474</v>
      </c>
      <c r="E365" s="49">
        <v>91.1566721327813</v>
      </c>
      <c r="F365" s="7">
        <v>-0.017698780728337082</v>
      </c>
      <c r="G365" s="48">
        <v>0.6179093314351274</v>
      </c>
      <c r="H365" s="50">
        <v>8639.194564099631</v>
      </c>
      <c r="I365" s="56">
        <v>-3.838567453483116E-4</v>
      </c>
      <c r="J365" s="56">
        <v>0.025112748688488423</v>
      </c>
      <c r="K365" s="50">
        <v>335377.092592065</v>
      </c>
      <c r="L365" s="56">
        <v>-0.014901477015199768</v>
      </c>
      <c r="M365" s="56">
        <v>0.9748872513115115</v>
      </c>
      <c r="N365" s="51">
        <v>0.0024134469677890014</v>
      </c>
      <c r="O365" s="7">
        <v>-0.35292482740541264</v>
      </c>
      <c r="P365" s="52">
        <v>56.34226242574606</v>
      </c>
      <c r="Q365" s="34">
        <v>3773.901340486203</v>
      </c>
      <c r="R365" s="13">
        <v>4931.540019551689</v>
      </c>
      <c r="S365" s="56">
        <v>-0.1980331062489095</v>
      </c>
      <c r="T365" s="50">
        <v>271952.9654792385</v>
      </c>
      <c r="U365" s="50">
        <v>344016.28715616465</v>
      </c>
      <c r="V365" s="50">
        <v>72063.32167692616</v>
      </c>
    </row>
    <row r="366">
      <c r="A366" s="54">
        <v>45290.95996046296</v>
      </c>
      <c r="B366" s="47">
        <v>7.105497599735958</v>
      </c>
      <c r="C366" s="7">
        <v>-0.044714312737973216</v>
      </c>
      <c r="D366" s="48">
        <v>0.2802698377902628</v>
      </c>
      <c r="E366" s="49">
        <v>92.153861481193</v>
      </c>
      <c r="F366" s="7">
        <v>-0.05151993085688433</v>
      </c>
      <c r="G366" s="48">
        <v>0.6356081121634645</v>
      </c>
      <c r="H366" s="50">
        <v>8606.412468752615</v>
      </c>
      <c r="I366" s="56">
        <v>-0.0011052827784848952</v>
      </c>
      <c r="J366" s="56">
        <v>0.024718769244243446</v>
      </c>
      <c r="K366" s="50">
        <v>339566.766531933</v>
      </c>
      <c r="L366" s="56">
        <v>-0.04360902995948832</v>
      </c>
      <c r="M366" s="56">
        <v>0.9752812307557566</v>
      </c>
      <c r="N366" s="51">
        <v>0.0068056181189111165</v>
      </c>
      <c r="O366" s="7">
        <v>-0.35533827437320165</v>
      </c>
      <c r="P366" s="52">
        <v>56.34226242574606</v>
      </c>
      <c r="Q366" s="34">
        <v>3778.172432543607</v>
      </c>
      <c r="R366" s="13">
        <v>4931.540019551689</v>
      </c>
      <c r="S366" s="56">
        <v>-0.1971254846337244</v>
      </c>
      <c r="T366" s="50">
        <v>271952.9654792385</v>
      </c>
      <c r="U366" s="50">
        <v>348173.1790006856</v>
      </c>
      <c r="V366" s="50">
        <v>76220.21352144709</v>
      </c>
    </row>
    <row r="367">
      <c r="A367" s="54">
        <v>45289.95997783565</v>
      </c>
      <c r="B367" s="47">
        <v>7.35366203543171</v>
      </c>
      <c r="C367" s="7">
        <v>0.011434255538591565</v>
      </c>
      <c r="D367" s="48">
        <v>0.32498415052823604</v>
      </c>
      <c r="E367" s="49">
        <v>95.05661094568788</v>
      </c>
      <c r="F367" s="7">
        <v>0.025135460666353415</v>
      </c>
      <c r="G367" s="48">
        <v>0.6871280430203488</v>
      </c>
      <c r="H367" s="50">
        <v>8540.893704699612</v>
      </c>
      <c r="I367" s="56">
        <v>2.71023362150139E-4</v>
      </c>
      <c r="J367" s="56">
        <v>0.023702755394560893</v>
      </c>
      <c r="K367" s="50">
        <v>351792.4752444439</v>
      </c>
      <c r="L367" s="56">
        <v>0.011163232176441426</v>
      </c>
      <c r="M367" s="56">
        <v>0.9762972446054392</v>
      </c>
      <c r="N367" s="51">
        <v>-0.01370120512776185</v>
      </c>
      <c r="O367" s="7">
        <v>-0.36214389249211276</v>
      </c>
      <c r="P367" s="52">
        <v>56.34226242574606</v>
      </c>
      <c r="Q367" s="34">
        <v>3790.7239208751694</v>
      </c>
      <c r="R367" s="13">
        <v>4931.540019551689</v>
      </c>
      <c r="S367" s="56">
        <v>-0.19445825059630273</v>
      </c>
      <c r="T367" s="50">
        <v>271952.9654792385</v>
      </c>
      <c r="U367" s="50">
        <v>360333.3689491435</v>
      </c>
      <c r="V367" s="50">
        <v>88380.40346990502</v>
      </c>
    </row>
    <row r="368">
      <c r="A368" s="54">
        <v>45288.95997354167</v>
      </c>
      <c r="B368" s="47">
        <v>7.290201917192527</v>
      </c>
      <c r="C368" s="7">
        <v>-0.10275298513331288</v>
      </c>
      <c r="D368" s="48">
        <v>0.3135498949896445</v>
      </c>
      <c r="E368" s="49">
        <v>93.64042222463218</v>
      </c>
      <c r="F368" s="7">
        <v>-0.08110929203198891</v>
      </c>
      <c r="G368" s="48">
        <v>0.6619925823539954</v>
      </c>
      <c r="H368" s="50">
        <v>8742.124872480208</v>
      </c>
      <c r="I368" s="56">
        <v>-0.002514612559673254</v>
      </c>
      <c r="J368" s="56">
        <v>0.024472403954111578</v>
      </c>
      <c r="K368" s="50">
        <v>348481.66437489586</v>
      </c>
      <c r="L368" s="56">
        <v>-0.10023837257363961</v>
      </c>
      <c r="M368" s="56">
        <v>0.9755275960458883</v>
      </c>
      <c r="N368" s="51">
        <v>-0.02164369310132397</v>
      </c>
      <c r="O368" s="7">
        <v>-0.3484426873643509</v>
      </c>
      <c r="P368" s="52">
        <v>56.34226242574606</v>
      </c>
      <c r="Q368" s="34">
        <v>3814.8459902331383</v>
      </c>
      <c r="R368" s="13">
        <v>4931.540019551689</v>
      </c>
      <c r="S368" s="56">
        <v>-0.1893322286660722</v>
      </c>
      <c r="T368" s="50">
        <v>271952.9654792385</v>
      </c>
      <c r="U368" s="50">
        <v>357223.7892473761</v>
      </c>
      <c r="V368" s="50">
        <v>85270.8237681376</v>
      </c>
    </row>
    <row r="369">
      <c r="A369" s="54">
        <v>45287.959982175926</v>
      </c>
      <c r="B369" s="47">
        <v>7.860480984682413</v>
      </c>
      <c r="C369" s="7">
        <v>-0.07077863424445563</v>
      </c>
      <c r="D369" s="48">
        <v>0.41630288012295735</v>
      </c>
      <c r="E369" s="49">
        <v>96.6657660091867</v>
      </c>
      <c r="F369" s="7">
        <v>-0.07906263539347225</v>
      </c>
      <c r="G369" s="48">
        <v>0.7431018743859843</v>
      </c>
      <c r="H369" s="50">
        <v>8845.19129988403</v>
      </c>
      <c r="I369" s="56">
        <v>-0.0016874462594184774</v>
      </c>
      <c r="J369" s="56">
        <v>0.02384118141627834</v>
      </c>
      <c r="K369" s="50">
        <v>362159.5481651111</v>
      </c>
      <c r="L369" s="56">
        <v>-0.06909118798503715</v>
      </c>
      <c r="M369" s="56">
        <v>0.9761588185837216</v>
      </c>
      <c r="N369" s="51">
        <v>0.008284001149016618</v>
      </c>
      <c r="O369" s="7">
        <v>-0.32679899426302694</v>
      </c>
      <c r="P369" s="52">
        <v>55.456176962254524</v>
      </c>
      <c r="Q369" s="34">
        <v>3838.015822786078</v>
      </c>
      <c r="R369" s="13">
        <v>4830.01419529805</v>
      </c>
      <c r="S369" s="56">
        <v>-0.1663386610432164</v>
      </c>
      <c r="T369" s="50">
        <v>261952.96547923854</v>
      </c>
      <c r="U369" s="50">
        <v>371004.73946499516</v>
      </c>
      <c r="V369" s="50">
        <v>109051.77398575662</v>
      </c>
    </row>
    <row r="370">
      <c r="A370" s="54">
        <v>45286.95997287037</v>
      </c>
      <c r="B370" s="47">
        <v>8.253302404739141</v>
      </c>
      <c r="C370" s="7">
        <v>-0.12830537134661624</v>
      </c>
      <c r="D370" s="48">
        <v>0.487081514367413</v>
      </c>
      <c r="E370" s="49">
        <v>101.05027750866931</v>
      </c>
      <c r="F370" s="7">
        <v>-0.13901184247744203</v>
      </c>
      <c r="G370" s="48">
        <v>0.8221645097794565</v>
      </c>
      <c r="H370" s="50">
        <v>8725.145440503382</v>
      </c>
      <c r="I370" s="56">
        <v>-0.00287381904546411</v>
      </c>
      <c r="J370" s="56">
        <v>0.022398275421381262</v>
      </c>
      <c r="K370" s="50">
        <v>380820.26715739735</v>
      </c>
      <c r="L370" s="56">
        <v>-0.12543155230115213</v>
      </c>
      <c r="M370" s="56">
        <v>0.9776017245786187</v>
      </c>
      <c r="N370" s="51">
        <v>0.01070647113082579</v>
      </c>
      <c r="O370" s="7">
        <v>-0.33508299541204356</v>
      </c>
      <c r="P370" s="52">
        <v>55.456176962254524</v>
      </c>
      <c r="Q370" s="34">
        <v>3854.966282150792</v>
      </c>
      <c r="R370" s="13">
        <v>4830.01419529805</v>
      </c>
      <c r="S370" s="56">
        <v>-0.16265682560991115</v>
      </c>
      <c r="T370" s="50">
        <v>261952.96547923854</v>
      </c>
      <c r="U370" s="50">
        <v>389545.4125979007</v>
      </c>
      <c r="V370" s="50">
        <v>127592.44711866218</v>
      </c>
    </row>
    <row r="371">
      <c r="A371" s="54">
        <v>45285.95996679398</v>
      </c>
      <c r="B371" s="47">
        <v>8.965397215712862</v>
      </c>
      <c r="C371" s="7">
        <v>0.12355615894466765</v>
      </c>
      <c r="D371" s="48">
        <v>0.6153868857140292</v>
      </c>
      <c r="E371" s="49">
        <v>108.75934284494738</v>
      </c>
      <c r="F371" s="7">
        <v>0.13353589017456646</v>
      </c>
      <c r="G371" s="48">
        <v>0.9611763522568986</v>
      </c>
      <c r="H371" s="50">
        <v>8981.801404755983</v>
      </c>
      <c r="I371" s="56">
        <v>0.0026225753494533615</v>
      </c>
      <c r="J371" s="56">
        <v>0.021225775969839218</v>
      </c>
      <c r="K371" s="50">
        <v>414173.58370430575</v>
      </c>
      <c r="L371" s="56">
        <v>0.12093358359521429</v>
      </c>
      <c r="M371" s="56">
        <v>0.9787742240301608</v>
      </c>
      <c r="N371" s="51">
        <v>-0.009979731229898814</v>
      </c>
      <c r="O371" s="7">
        <v>-0.34578946654286935</v>
      </c>
      <c r="P371" s="52">
        <v>55.456176962254524</v>
      </c>
      <c r="Q371" s="34">
        <v>3890.749741953964</v>
      </c>
      <c r="R371" s="13">
        <v>4830.01419529805</v>
      </c>
      <c r="S371" s="56">
        <v>-0.15488424509189655</v>
      </c>
      <c r="T371" s="50">
        <v>261952.96547923854</v>
      </c>
      <c r="U371" s="50">
        <v>423155.3851090617</v>
      </c>
      <c r="V371" s="50">
        <v>161202.41962982318</v>
      </c>
    </row>
    <row r="372">
      <c r="A372" s="54">
        <v>45284.96001060185</v>
      </c>
      <c r="B372" s="47">
        <v>8.279660533569956</v>
      </c>
      <c r="C372" s="7">
        <v>0.05144158643293384</v>
      </c>
      <c r="D372" s="48">
        <v>0.49183072676936157</v>
      </c>
      <c r="E372" s="49">
        <v>101.35395288861444</v>
      </c>
      <c r="F372" s="7">
        <v>0.04924186894496452</v>
      </c>
      <c r="G372" s="48">
        <v>0.8276404620823321</v>
      </c>
      <c r="H372" s="50">
        <v>8859.854191951816</v>
      </c>
      <c r="I372" s="56">
        <v>0.0011662671980089251</v>
      </c>
      <c r="J372" s="56">
        <v>0.022671680227619492</v>
      </c>
      <c r="K372" s="50">
        <v>381929.62867833005</v>
      </c>
      <c r="L372" s="56">
        <v>0.05027531923492492</v>
      </c>
      <c r="M372" s="56">
        <v>0.9773283197723805</v>
      </c>
      <c r="N372" s="51">
        <v>0.0021997174879693215</v>
      </c>
      <c r="O372" s="7">
        <v>-0.33580973531297054</v>
      </c>
      <c r="P372" s="52">
        <v>55.456176962254524</v>
      </c>
      <c r="Q372" s="34">
        <v>3855.6905945222493</v>
      </c>
      <c r="R372" s="13">
        <v>4830.01419529805</v>
      </c>
      <c r="S372" s="56">
        <v>-0.16249949660208704</v>
      </c>
      <c r="T372" s="50">
        <v>261952.96547923854</v>
      </c>
      <c r="U372" s="50">
        <v>390789.48287028185</v>
      </c>
      <c r="V372" s="50">
        <v>128836.51739104331</v>
      </c>
    </row>
    <row r="373">
      <c r="A373" s="54">
        <v>45283.959965671296</v>
      </c>
      <c r="B373" s="47">
        <v>7.9941597288671735</v>
      </c>
      <c r="C373" s="7">
        <v>0.17545195381205403</v>
      </c>
      <c r="D373" s="48">
        <v>0.44038914033642773</v>
      </c>
      <c r="E373" s="49">
        <v>98.62318709045034</v>
      </c>
      <c r="F373" s="7">
        <v>0.18856710837175839</v>
      </c>
      <c r="G373" s="48">
        <v>0.7783985931373676</v>
      </c>
      <c r="H373" s="50">
        <v>8977.078809909975</v>
      </c>
      <c r="I373" s="56">
        <v>0.004174361814436797</v>
      </c>
      <c r="J373" s="56">
        <v>0.02379205089336547</v>
      </c>
      <c r="K373" s="50">
        <v>368337.12794530834</v>
      </c>
      <c r="L373" s="56">
        <v>0.17127759199761722</v>
      </c>
      <c r="M373" s="56">
        <v>0.9762079491066344</v>
      </c>
      <c r="N373" s="51">
        <v>-0.013115154559704356</v>
      </c>
      <c r="O373" s="7">
        <v>-0.33800945280093986</v>
      </c>
      <c r="P373" s="52">
        <v>55.456176962254524</v>
      </c>
      <c r="Q373" s="34">
        <v>3825.816401665989</v>
      </c>
      <c r="R373" s="13">
        <v>4830.01419529805</v>
      </c>
      <c r="S373" s="56">
        <v>-0.16898851612851626</v>
      </c>
      <c r="T373" s="50">
        <v>261952.96547923854</v>
      </c>
      <c r="U373" s="50">
        <v>377314.2067552183</v>
      </c>
      <c r="V373" s="50">
        <v>115361.24127597979</v>
      </c>
    </row>
    <row r="374">
      <c r="A374" s="54">
        <v>45282.95998450232</v>
      </c>
      <c r="B374" s="47">
        <v>7.020401385210274</v>
      </c>
      <c r="C374" s="7">
        <v>0.036346900962776596</v>
      </c>
      <c r="D374" s="48">
        <v>0.2649371865243737</v>
      </c>
      <c r="E374" s="49">
        <v>88.16597615932548</v>
      </c>
      <c r="F374" s="7">
        <v>0.038173701111148484</v>
      </c>
      <c r="G374" s="48">
        <v>0.5898314847656092</v>
      </c>
      <c r="H374" s="50">
        <v>8957.177370550044</v>
      </c>
      <c r="I374" s="56">
        <v>9.825310467419456E-4</v>
      </c>
      <c r="J374" s="56">
        <v>0.027032044568205977</v>
      </c>
      <c r="K374" s="50">
        <v>322396.8697844743</v>
      </c>
      <c r="L374" s="56">
        <v>0.03536436991603465</v>
      </c>
      <c r="M374" s="56">
        <v>0.972967955431794</v>
      </c>
      <c r="N374" s="51">
        <v>-0.0018268001483718876</v>
      </c>
      <c r="O374" s="7">
        <v>-0.3248942982412355</v>
      </c>
      <c r="P374" s="52">
        <v>55.456176962254524</v>
      </c>
      <c r="Q374" s="34">
        <v>3758.298400238111</v>
      </c>
      <c r="R374" s="13">
        <v>4830.01419529805</v>
      </c>
      <c r="S374" s="56">
        <v>-0.18365420539948732</v>
      </c>
      <c r="T374" s="50">
        <v>261952.96547923854</v>
      </c>
      <c r="U374" s="50">
        <v>331354.04715502437</v>
      </c>
      <c r="V374" s="50">
        <v>69401.08167578583</v>
      </c>
    </row>
    <row r="375">
      <c r="A375" s="54">
        <v>45281.95997913195</v>
      </c>
      <c r="B375" s="47">
        <v>6.818676084866864</v>
      </c>
      <c r="C375" s="7">
        <v>0.19424588007173127</v>
      </c>
      <c r="D375" s="48">
        <v>0.2285902855615971</v>
      </c>
      <c r="E375" s="49">
        <v>86.04900863520142</v>
      </c>
      <c r="F375" s="7">
        <v>0.21009397692302012</v>
      </c>
      <c r="G375" s="48">
        <v>0.5516577836544607</v>
      </c>
      <c r="H375" s="50">
        <v>9101.925560982749</v>
      </c>
      <c r="I375" s="56">
        <v>0.005493570461872741</v>
      </c>
      <c r="J375" s="56">
        <v>0.02828152885324554</v>
      </c>
      <c r="K375" s="50">
        <v>312730.94310086215</v>
      </c>
      <c r="L375" s="56">
        <v>0.18875230960985856</v>
      </c>
      <c r="M375" s="56">
        <v>0.9717184711467546</v>
      </c>
      <c r="N375" s="51">
        <v>-0.01584809685128885</v>
      </c>
      <c r="O375" s="7">
        <v>-0.3230674980928636</v>
      </c>
      <c r="P375" s="52">
        <v>55.456176962254524</v>
      </c>
      <c r="Q375" s="34">
        <v>3740.1112896748427</v>
      </c>
      <c r="R375" s="13">
        <v>4830.01419529805</v>
      </c>
      <c r="S375" s="56">
        <v>-0.18760465574779328</v>
      </c>
      <c r="T375" s="50">
        <v>261952.96547923854</v>
      </c>
      <c r="U375" s="50">
        <v>321832.86866184487</v>
      </c>
      <c r="V375" s="50">
        <v>59879.90318260633</v>
      </c>
    </row>
    <row r="376">
      <c r="A376" s="54">
        <v>45280.959978935185</v>
      </c>
      <c r="B376" s="47">
        <v>5.740611450468755</v>
      </c>
      <c r="C376" s="7">
        <v>0.13514398295171526</v>
      </c>
      <c r="D376" s="48">
        <v>0.03434440548986584</v>
      </c>
      <c r="E376" s="49">
        <v>74.3979998722546</v>
      </c>
      <c r="F376" s="7">
        <v>0.14539275922572004</v>
      </c>
      <c r="G376" s="48">
        <v>0.3415638067314406</v>
      </c>
      <c r="H376" s="50">
        <v>8979.9769103226</v>
      </c>
      <c r="I376" s="56">
        <v>0.004479024573554919</v>
      </c>
      <c r="J376" s="56">
        <v>0.03314261187015038</v>
      </c>
      <c r="K376" s="50">
        <v>261969.60743460775</v>
      </c>
      <c r="L376" s="56">
        <v>0.13066495837816033</v>
      </c>
      <c r="M376" s="56">
        <v>0.9668573881298496</v>
      </c>
      <c r="N376" s="51">
        <v>-0.010248776274004778</v>
      </c>
      <c r="O376" s="7">
        <v>-0.30721940124157476</v>
      </c>
      <c r="P376" s="52">
        <v>55.456176962254524</v>
      </c>
      <c r="Q376" s="34">
        <v>3641.8933951203726</v>
      </c>
      <c r="R376" s="13">
        <v>4830.01419529805</v>
      </c>
      <c r="S376" s="56">
        <v>-0.2089387161749745</v>
      </c>
      <c r="T376" s="50">
        <v>261952.96547923854</v>
      </c>
      <c r="U376" s="50">
        <v>270949.58434493036</v>
      </c>
      <c r="V376" s="50">
        <v>8996.618865691824</v>
      </c>
    </row>
    <row r="377">
      <c r="A377" s="54">
        <v>45279.95996170139</v>
      </c>
      <c r="B377" s="47">
        <v>4.990562345086736</v>
      </c>
      <c r="C377" s="7">
        <v>-0.03229243668713877</v>
      </c>
      <c r="D377" s="48">
        <v>-0.10079957746184942</v>
      </c>
      <c r="E377" s="49">
        <v>66.3350732876026</v>
      </c>
      <c r="F377" s="7">
        <v>-0.035188184083331464</v>
      </c>
      <c r="G377" s="48">
        <v>0.19617104750572056</v>
      </c>
      <c r="H377" s="50">
        <v>8697.232297107428</v>
      </c>
      <c r="I377" s="56">
        <v>-0.001192345357539619</v>
      </c>
      <c r="J377" s="56">
        <v>0.03692336286330783</v>
      </c>
      <c r="K377" s="50">
        <v>226850.98494694548</v>
      </c>
      <c r="L377" s="56">
        <v>-0.03110009132959915</v>
      </c>
      <c r="M377" s="56">
        <v>0.9630766371366921</v>
      </c>
      <c r="N377" s="51">
        <v>0.002895747396192694</v>
      </c>
      <c r="O377" s="7">
        <v>-0.29697062496757</v>
      </c>
      <c r="P377" s="52">
        <v>55.456176962254524</v>
      </c>
      <c r="Q377" s="34">
        <v>3550.885008038043</v>
      </c>
      <c r="R377" s="13">
        <v>4830.01419529805</v>
      </c>
      <c r="S377" s="56">
        <v>-0.22870678835980376</v>
      </c>
      <c r="T377" s="50">
        <v>261952.96547923854</v>
      </c>
      <c r="U377" s="50">
        <v>235548.2172440529</v>
      </c>
      <c r="V377" s="50">
        <v>-26404.74823518563</v>
      </c>
    </row>
    <row r="378">
      <c r="A378" s="54">
        <v>45278.95996368055</v>
      </c>
      <c r="B378" s="47">
        <v>5.169785368700356</v>
      </c>
      <c r="C378" s="7">
        <v>0.03398633572440002</v>
      </c>
      <c r="D378" s="48">
        <v>-0.06850714077471065</v>
      </c>
      <c r="E378" s="49">
        <v>68.28647545110822</v>
      </c>
      <c r="F378" s="7">
        <v>0.036432341086364506</v>
      </c>
      <c r="G378" s="48">
        <v>0.23135923158905203</v>
      </c>
      <c r="H378" s="50">
        <v>8780.842062642345</v>
      </c>
      <c r="I378" s="56">
        <v>0.0012230315475843564</v>
      </c>
      <c r="J378" s="56">
        <v>0.03598597852684359</v>
      </c>
      <c r="K378" s="50">
        <v>235226.4747341571</v>
      </c>
      <c r="L378" s="56">
        <v>0.032763304176815666</v>
      </c>
      <c r="M378" s="56">
        <v>0.9640140214731565</v>
      </c>
      <c r="N378" s="51">
        <v>-0.0024460053619644873</v>
      </c>
      <c r="O378" s="7">
        <v>-0.2998663723637627</v>
      </c>
      <c r="P378" s="52">
        <v>55.456176962254524</v>
      </c>
      <c r="Q378" s="34">
        <v>3573.2890764219324</v>
      </c>
      <c r="R378" s="13">
        <v>4830.01419529805</v>
      </c>
      <c r="S378" s="56">
        <v>-0.22384036609648067</v>
      </c>
      <c r="T378" s="50">
        <v>261952.96547923854</v>
      </c>
      <c r="U378" s="50">
        <v>244007.31679679942</v>
      </c>
      <c r="V378" s="50">
        <v>-17945.648682439118</v>
      </c>
    </row>
    <row r="379">
      <c r="A379" s="54">
        <v>45277.959961747685</v>
      </c>
      <c r="B379" s="47">
        <v>4.9811612054299355</v>
      </c>
      <c r="C379" s="7">
        <v>-0.02099266676906575</v>
      </c>
      <c r="D379" s="48">
        <v>-0.10249347649911067</v>
      </c>
      <c r="E379" s="49">
        <v>66.26607709667357</v>
      </c>
      <c r="F379" s="7">
        <v>-0.02425042679860656</v>
      </c>
      <c r="G379" s="48">
        <v>0.19492689050268752</v>
      </c>
      <c r="H379" s="50">
        <v>8629.528681978845</v>
      </c>
      <c r="I379" s="56">
        <v>-7.705374570201389E-4</v>
      </c>
      <c r="J379" s="56">
        <v>0.03670507732517257</v>
      </c>
      <c r="K379" s="50">
        <v>226474.966686041</v>
      </c>
      <c r="L379" s="56">
        <v>-0.02022212931204561</v>
      </c>
      <c r="M379" s="56">
        <v>0.9632949226748274</v>
      </c>
      <c r="N379" s="51">
        <v>0.0032577600295408127</v>
      </c>
      <c r="O379" s="7">
        <v>-0.2974203670017982</v>
      </c>
      <c r="P379" s="52">
        <v>55.456176962254524</v>
      </c>
      <c r="Q379" s="34">
        <v>3547.8861231672586</v>
      </c>
      <c r="R379" s="13">
        <v>4830.01419529805</v>
      </c>
      <c r="S379" s="56">
        <v>-0.22935818076989045</v>
      </c>
      <c r="T379" s="50">
        <v>261952.96547923854</v>
      </c>
      <c r="U379" s="50">
        <v>235104.49536801985</v>
      </c>
      <c r="V379" s="50">
        <v>-26848.47011121869</v>
      </c>
    </row>
    <row r="380">
      <c r="A380" s="54">
        <v>45276.95995415509</v>
      </c>
      <c r="B380" s="47">
        <v>5.09767050599825</v>
      </c>
      <c r="C380" s="7">
        <v>-0.01836816554738574</v>
      </c>
      <c r="D380" s="48">
        <v>-0.08150080973004492</v>
      </c>
      <c r="E380" s="49">
        <v>67.6109130566273</v>
      </c>
      <c r="F380" s="7">
        <v>-0.020116158632629944</v>
      </c>
      <c r="G380" s="48">
        <v>0.21917731730129408</v>
      </c>
      <c r="H380" s="50">
        <v>8732.478121262031</v>
      </c>
      <c r="I380" s="56">
        <v>-6.666550818404821E-4</v>
      </c>
      <c r="J380" s="56">
        <v>0.0362940479886607</v>
      </c>
      <c r="K380" s="50">
        <v>231871.10856023204</v>
      </c>
      <c r="L380" s="56">
        <v>-0.017701510465545255</v>
      </c>
      <c r="M380" s="56">
        <v>0.9637059520113392</v>
      </c>
      <c r="N380" s="51">
        <v>0.0017479930852442038</v>
      </c>
      <c r="O380" s="7">
        <v>-0.300678127031339</v>
      </c>
      <c r="P380" s="52">
        <v>55.456176962254524</v>
      </c>
      <c r="Q380" s="34">
        <v>3558.6501616976734</v>
      </c>
      <c r="R380" s="13">
        <v>4830.01419529805</v>
      </c>
      <c r="S380" s="56">
        <v>-0.22702010735170064</v>
      </c>
      <c r="T380" s="50">
        <v>261952.96547923854</v>
      </c>
      <c r="U380" s="50">
        <v>240603.58668149408</v>
      </c>
      <c r="V380" s="50">
        <v>-21349.37879774446</v>
      </c>
    </row>
    <row r="381">
      <c r="A381" s="54">
        <v>45275.96310516204</v>
      </c>
      <c r="B381" s="47">
        <v>5.199613824786241</v>
      </c>
      <c r="C381" s="7">
        <v>-0.008873706022881844</v>
      </c>
      <c r="D381" s="48">
        <v>-0.06313264418265918</v>
      </c>
      <c r="E381" s="49">
        <v>68.72647830955921</v>
      </c>
      <c r="F381" s="7">
        <v>-0.005292858370683717</v>
      </c>
      <c r="G381" s="48">
        <v>0.23929347593392403</v>
      </c>
      <c r="H381" s="50">
        <v>0.0</v>
      </c>
      <c r="I381" s="7">
        <v>0.0</v>
      </c>
      <c r="J381" s="7">
        <v>0.0</v>
      </c>
      <c r="K381" s="50">
        <v>245415.18211704536</v>
      </c>
      <c r="L381" s="7">
        <v>-0.008873706022881844</v>
      </c>
      <c r="M381" s="7">
        <v>1.0</v>
      </c>
      <c r="N381" s="51">
        <v>-0.003580847652198127</v>
      </c>
      <c r="O381" s="7">
        <v>-0.3024261201165832</v>
      </c>
      <c r="P381" s="52">
        <v>55.456176962254524</v>
      </c>
      <c r="Q381" s="34">
        <v>3570.897100410722</v>
      </c>
      <c r="R381" s="13">
        <v>4830.01419529805</v>
      </c>
      <c r="S381" s="56">
        <v>-0.22435993089671397</v>
      </c>
      <c r="T381" s="50">
        <v>261952.96547923854</v>
      </c>
      <c r="U381" s="50">
        <v>245415.18211704536</v>
      </c>
      <c r="V381" s="50">
        <v>-16537.78336219318</v>
      </c>
    </row>
    <row r="382">
      <c r="A382" s="80" t="s">
        <v>50</v>
      </c>
      <c r="B382" s="47">
        <v>5.248862893213236</v>
      </c>
      <c r="C382" s="7">
        <v>0.047531127438638965</v>
      </c>
      <c r="D382" s="48">
        <v>-0.05425893815977734</v>
      </c>
      <c r="E382" s="49">
        <v>69.02</v>
      </c>
      <c r="F382" s="7">
        <v>0.05030999525803881</v>
      </c>
      <c r="G382" s="48">
        <v>0.24458633430460774</v>
      </c>
      <c r="H382" s="50">
        <v>0.0</v>
      </c>
      <c r="I382" s="7">
        <v>0.0</v>
      </c>
      <c r="J382" s="7">
        <v>0.0</v>
      </c>
      <c r="K382" s="50">
        <v>247736.2468</v>
      </c>
      <c r="L382" s="7">
        <v>0.047531127438638965</v>
      </c>
      <c r="M382" s="7">
        <v>1.0</v>
      </c>
      <c r="N382" s="51">
        <v>-0.002778867819399844</v>
      </c>
      <c r="O382" s="7">
        <v>-0.2988452724643851</v>
      </c>
      <c r="P382" s="52">
        <v>55.456176962254524</v>
      </c>
      <c r="Q382" s="34">
        <v>3589.34</v>
      </c>
      <c r="R382" s="13">
        <v>4830.01419529805</v>
      </c>
      <c r="S382" s="56">
        <v>-0.2204</v>
      </c>
      <c r="T382" s="50">
        <v>261952.97</v>
      </c>
      <c r="U382" s="50">
        <v>247739.68</v>
      </c>
      <c r="V382" s="50">
        <v>-14213.28</v>
      </c>
    </row>
    <row r="383">
      <c r="A383" s="80" t="s">
        <v>51</v>
      </c>
      <c r="B383" s="47">
        <v>4.98506513592879</v>
      </c>
      <c r="C383" s="7">
        <v>0.05561843959109669</v>
      </c>
      <c r="D383" s="48">
        <v>-0.1017900655984163</v>
      </c>
      <c r="E383" s="49">
        <v>66.23</v>
      </c>
      <c r="F383" s="7">
        <v>0.06090152915668834</v>
      </c>
      <c r="G383" s="48">
        <v>0.19427633904656894</v>
      </c>
      <c r="H383" s="50">
        <v>0.0</v>
      </c>
      <c r="I383" s="7">
        <v>0.0</v>
      </c>
      <c r="J383" s="7">
        <v>0.0</v>
      </c>
      <c r="K383" s="50">
        <v>235274.12740000003</v>
      </c>
      <c r="L383" s="7">
        <v>0.05561843959109669</v>
      </c>
      <c r="M383" s="7">
        <v>1.0</v>
      </c>
      <c r="N383" s="51">
        <v>-0.005283089565591648</v>
      </c>
      <c r="O383" s="7">
        <v>-0.29606640464498524</v>
      </c>
      <c r="P383" s="52">
        <v>55.456176962254524</v>
      </c>
      <c r="Q383" s="34">
        <v>3552.38</v>
      </c>
      <c r="R383" s="13">
        <v>4830.01419529805</v>
      </c>
      <c r="S383" s="56">
        <v>-0.2284</v>
      </c>
      <c r="T383" s="50">
        <v>261952.97</v>
      </c>
      <c r="U383" s="50">
        <v>235288.76</v>
      </c>
      <c r="V383" s="50">
        <v>-26664.2</v>
      </c>
    </row>
    <row r="384">
      <c r="A384" s="54">
        <v>45272.95997974537</v>
      </c>
      <c r="B384" s="47">
        <v>4.676382796198203</v>
      </c>
      <c r="C384" s="7">
        <v>-0.11031453140989289</v>
      </c>
      <c r="D384" s="48">
        <v>-0.157408505189513</v>
      </c>
      <c r="E384" s="49">
        <v>62.8526340218148</v>
      </c>
      <c r="F384" s="7">
        <v>-0.12203087823366054</v>
      </c>
      <c r="G384" s="48">
        <v>0.1333748098898806</v>
      </c>
      <c r="H384" s="50">
        <v>-51076.69</v>
      </c>
      <c r="I384" s="56">
        <v>0.02389598457333974</v>
      </c>
      <c r="J384" s="56">
        <v>-0.2314101239415806</v>
      </c>
      <c r="K384" s="50">
        <v>271796.0307531915</v>
      </c>
      <c r="L384" s="56">
        <v>-0.12715847009610914</v>
      </c>
      <c r="M384" s="56">
        <v>1.2314101239415807</v>
      </c>
      <c r="N384" s="51">
        <v>0.011716346823767654</v>
      </c>
      <c r="O384" s="7">
        <v>-0.2907833150793936</v>
      </c>
      <c r="P384" s="52">
        <v>55.456176962254524</v>
      </c>
      <c r="Q384" s="34">
        <v>3511.695956554256</v>
      </c>
      <c r="R384" s="13">
        <v>4830.01419529805</v>
      </c>
      <c r="S384" s="56">
        <v>-0.24377333764541484</v>
      </c>
      <c r="T384" s="52">
        <v>261952.96547923854</v>
      </c>
      <c r="U384" s="50">
        <v>220719.3407531915</v>
      </c>
      <c r="V384" s="50">
        <v>-59123.028835154546</v>
      </c>
    </row>
    <row r="385">
      <c r="A385" s="54">
        <v>45271.95999565972</v>
      </c>
      <c r="B385" s="47">
        <v>5.288628445523108</v>
      </c>
      <c r="C385" s="7">
        <v>-0.07181047518294692</v>
      </c>
      <c r="D385" s="48">
        <v>-0.0470939737796201</v>
      </c>
      <c r="E385" s="49">
        <v>69.62</v>
      </c>
      <c r="F385" s="7">
        <v>-0.07970257313280737</v>
      </c>
      <c r="G385" s="48">
        <v>0.25540568812354114</v>
      </c>
      <c r="H385" s="50">
        <v>-51076.689999999995</v>
      </c>
      <c r="I385" s="56">
        <v>0.013754569521661262</v>
      </c>
      <c r="J385" s="56">
        <v>-0.20462059938859295</v>
      </c>
      <c r="K385" s="50">
        <v>300693.24939146556</v>
      </c>
      <c r="L385" s="56">
        <v>-0.08097443674304544</v>
      </c>
      <c r="M385" s="56">
        <v>1.204620599388593</v>
      </c>
      <c r="N385" s="51">
        <v>0.007892097949860455</v>
      </c>
      <c r="O385" s="7">
        <v>-0.30249966190316124</v>
      </c>
      <c r="P385" s="52">
        <v>55.456176962254524</v>
      </c>
      <c r="Q385" s="34">
        <v>3585.414527312059</v>
      </c>
      <c r="R385" s="13">
        <v>4830.01419529805</v>
      </c>
      <c r="S385" s="56">
        <v>-0.22789840160100125</v>
      </c>
      <c r="T385" s="52">
        <v>261952.96547923854</v>
      </c>
      <c r="U385" s="50">
        <v>249616.55939146556</v>
      </c>
      <c r="V385" s="50">
        <v>-30225.810196880484</v>
      </c>
    </row>
    <row r="386">
      <c r="A386" s="54">
        <v>45270.959965208334</v>
      </c>
      <c r="B386" s="47">
        <v>5.687176582788464</v>
      </c>
      <c r="C386" s="7">
        <v>0.002821865735685325</v>
      </c>
      <c r="D386" s="48">
        <v>0.024716501403326818</v>
      </c>
      <c r="E386" s="49">
        <v>74.04</v>
      </c>
      <c r="F386" s="7">
        <v>0.0028851610183824317</v>
      </c>
      <c r="G386" s="48">
        <v>0.3351082612563485</v>
      </c>
      <c r="H386" s="50">
        <v>-51076.69</v>
      </c>
      <c r="I386" s="56">
        <v>-5.026224606811071E-4</v>
      </c>
      <c r="J386" s="56">
        <v>-0.19028111870862804</v>
      </c>
      <c r="K386" s="50">
        <v>319504.21631811175</v>
      </c>
      <c r="L386" s="56">
        <v>0.003144095582618961</v>
      </c>
      <c r="M386" s="56">
        <v>1.190281118708628</v>
      </c>
      <c r="N386" s="51">
        <v>-6.329528269710671E-5</v>
      </c>
      <c r="O386" s="7">
        <v>-0.3103917598530217</v>
      </c>
      <c r="P386" s="52">
        <v>55.456176962254524</v>
      </c>
      <c r="Q386" s="34">
        <v>3625.439307375901</v>
      </c>
      <c r="R386" s="13">
        <v>4830.01419529805</v>
      </c>
      <c r="S386" s="56">
        <v>-0.2192792596782321</v>
      </c>
      <c r="T386" s="52">
        <v>261952.96547923854</v>
      </c>
      <c r="U386" s="50">
        <v>268427.52631811175</v>
      </c>
      <c r="V386" s="50">
        <v>-11414.843270234298</v>
      </c>
    </row>
    <row r="387">
      <c r="A387" s="54">
        <v>45269.959965208334</v>
      </c>
      <c r="B387" s="47">
        <v>5.67151522795541</v>
      </c>
      <c r="C387" s="7">
        <v>0.010386227141429227</v>
      </c>
      <c r="D387" s="48">
        <v>0.021894635667641493</v>
      </c>
      <c r="E387" s="49">
        <v>73.88</v>
      </c>
      <c r="F387" s="7">
        <v>0.004688386654870813</v>
      </c>
      <c r="G387" s="48">
        <v>0.3322231002379661</v>
      </c>
      <c r="H387" s="50">
        <v>-51043.08</v>
      </c>
      <c r="I387" s="56">
        <v>-0.001853852169612565</v>
      </c>
      <c r="J387" s="56">
        <v>-0.19068100562307502</v>
      </c>
      <c r="K387" s="50">
        <v>318731.41022046475</v>
      </c>
      <c r="L387" s="56">
        <v>0.011576121902535682</v>
      </c>
      <c r="M387" s="56">
        <v>1.190681005623075</v>
      </c>
      <c r="N387" s="51">
        <v>0.005697840486558414</v>
      </c>
      <c r="O387" s="7">
        <v>-0.3103284645703246</v>
      </c>
      <c r="P387" s="52">
        <v>55.456176962254524</v>
      </c>
      <c r="Q387" s="34">
        <v>3623.285465896924</v>
      </c>
      <c r="R387" s="13">
        <v>4830.01419529805</v>
      </c>
      <c r="S387" s="56">
        <v>-0.21974307897609804</v>
      </c>
      <c r="T387" s="52">
        <v>261952.96547923854</v>
      </c>
      <c r="U387" s="50">
        <v>267688.33022046473</v>
      </c>
      <c r="V387" s="50">
        <v>-12154.039367881313</v>
      </c>
    </row>
    <row r="388">
      <c r="A388" s="54">
        <v>45268.95998564815</v>
      </c>
      <c r="B388" s="47">
        <v>5.613871667320478</v>
      </c>
      <c r="C388" s="7">
        <v>0.09476335264690428</v>
      </c>
      <c r="D388" s="48">
        <v>0.011508408526212266</v>
      </c>
      <c r="E388" s="49">
        <v>73.62</v>
      </c>
      <c r="F388" s="7">
        <v>0.1035051515344605</v>
      </c>
      <c r="G388" s="48">
        <v>0.32753471358309527</v>
      </c>
      <c r="H388" s="50">
        <v>-51043.08</v>
      </c>
      <c r="I388" s="56">
        <v>-0.017088121477745768</v>
      </c>
      <c r="J388" s="56">
        <v>-0.19263892927379678</v>
      </c>
      <c r="K388" s="50">
        <v>316010.7072206264</v>
      </c>
      <c r="L388" s="56">
        <v>0.10579356404931708</v>
      </c>
      <c r="M388" s="56">
        <v>1.1926389292737969</v>
      </c>
      <c r="N388" s="51">
        <v>-0.008741798887556218</v>
      </c>
      <c r="O388" s="7">
        <v>-0.316026305056883</v>
      </c>
      <c r="P388" s="52">
        <v>55.456176962254524</v>
      </c>
      <c r="Q388" s="34">
        <v>3599.125607452138</v>
      </c>
      <c r="R388" s="13">
        <v>4830.01419529805</v>
      </c>
      <c r="S388" s="56">
        <v>-0.2249457871093463</v>
      </c>
      <c r="T388" s="52">
        <v>261952.96547923854</v>
      </c>
      <c r="U388" s="50">
        <v>264967.6272206264</v>
      </c>
      <c r="V388" s="50">
        <v>-14874.74236771965</v>
      </c>
    </row>
    <row r="389">
      <c r="A389" s="54">
        <v>45267.95995863426</v>
      </c>
      <c r="B389" s="47">
        <v>5.087935060130159</v>
      </c>
      <c r="C389" s="7">
        <v>0.08957574190849793</v>
      </c>
      <c r="D389" s="48">
        <v>-0.08325494412069201</v>
      </c>
      <c r="E389" s="49">
        <v>67.88</v>
      </c>
      <c r="F389" s="7">
        <v>0.096111926424856</v>
      </c>
      <c r="G389" s="48">
        <v>0.22402956204863478</v>
      </c>
      <c r="H389" s="50">
        <v>-51121.05000000001</v>
      </c>
      <c r="I389" s="56">
        <v>-0.01784958541157212</v>
      </c>
      <c r="J389" s="56">
        <v>-0.2128765727968244</v>
      </c>
      <c r="K389" s="50">
        <v>291265.135976015</v>
      </c>
      <c r="L389" s="56">
        <v>0.10169904417098331</v>
      </c>
      <c r="M389" s="56">
        <v>1.2128765727968245</v>
      </c>
      <c r="N389" s="51">
        <v>-0.006536184516358068</v>
      </c>
      <c r="O389" s="7">
        <v>-0.3072845061693268</v>
      </c>
      <c r="P389" s="52">
        <v>55.456176962254524</v>
      </c>
      <c r="Q389" s="34">
        <v>3537.7738063643933</v>
      </c>
      <c r="R389" s="13">
        <v>4830.01419529805</v>
      </c>
      <c r="S389" s="56">
        <v>-0.2381575993903708</v>
      </c>
      <c r="T389" s="52">
        <v>261952.96547923854</v>
      </c>
      <c r="U389" s="50">
        <v>240144.085976015</v>
      </c>
      <c r="V389" s="50">
        <v>-39698.283612331055</v>
      </c>
    </row>
    <row r="390">
      <c r="A390" s="54">
        <v>45266.96019899305</v>
      </c>
      <c r="B390" s="47">
        <v>4.590789692537996</v>
      </c>
      <c r="C390" s="7">
        <v>0.03573286165122014</v>
      </c>
      <c r="D390" s="48">
        <v>-0.17283068602918994</v>
      </c>
      <c r="E390" s="49">
        <v>62.55</v>
      </c>
      <c r="F390" s="7">
        <v>0.03822838349356372</v>
      </c>
      <c r="G390" s="48">
        <v>0.12791763562377878</v>
      </c>
      <c r="H390" s="50">
        <v>-51121.05</v>
      </c>
      <c r="I390" s="56">
        <v>-0.00789150214665326</v>
      </c>
      <c r="J390" s="56">
        <v>-0.23592938268852065</v>
      </c>
      <c r="K390" s="50">
        <v>267800.50474808103</v>
      </c>
      <c r="L390" s="56">
        <v>0.04134007924513107</v>
      </c>
      <c r="M390" s="56">
        <v>1.2359293826885205</v>
      </c>
      <c r="N390" s="51">
        <v>-0.0024955218423435843</v>
      </c>
      <c r="O390" s="7">
        <v>-0.3007483216529687</v>
      </c>
      <c r="P390" s="52">
        <v>55.456176962254524</v>
      </c>
      <c r="Q390" s="34">
        <v>3464.0999959725186</v>
      </c>
      <c r="R390" s="13">
        <v>4830.01419529805</v>
      </c>
      <c r="S390" s="56">
        <v>-0.2540228965074537</v>
      </c>
      <c r="T390" s="52">
        <v>261952.96547923854</v>
      </c>
      <c r="U390" s="50">
        <v>216679.45474808104</v>
      </c>
      <c r="V390" s="50">
        <v>-63162.914840265</v>
      </c>
    </row>
    <row r="391">
      <c r="A391" s="54">
        <v>45265.95996810185</v>
      </c>
      <c r="B391" s="47">
        <v>4.392472310373724</v>
      </c>
      <c r="C391" s="7">
        <v>-0.0031016628645201827</v>
      </c>
      <c r="D391" s="48">
        <v>-0.20856354768041008</v>
      </c>
      <c r="E391" s="49">
        <v>60.43</v>
      </c>
      <c r="F391" s="7">
        <v>-0.0088358056187956</v>
      </c>
      <c r="G391" s="48">
        <v>0.08968925213021506</v>
      </c>
      <c r="H391" s="50">
        <v>-51217.99999999999</v>
      </c>
      <c r="I391" s="56">
        <v>7.172782918534995E-4</v>
      </c>
      <c r="J391" s="56">
        <v>-0.2470490835498956</v>
      </c>
      <c r="K391" s="50">
        <v>258537.12567348455</v>
      </c>
      <c r="L391" s="56">
        <v>-0.0036206620306101487</v>
      </c>
      <c r="M391" s="56">
        <v>1.2470490835498957</v>
      </c>
      <c r="N391" s="51">
        <v>0.0057341427542754175</v>
      </c>
      <c r="O391" s="7">
        <v>-0.29825279981062514</v>
      </c>
      <c r="P391" s="52">
        <v>55.456176962254524</v>
      </c>
      <c r="Q391" s="34">
        <v>3430.731849635687</v>
      </c>
      <c r="R391" s="13">
        <v>4830.01419529805</v>
      </c>
      <c r="S391" s="56">
        <v>-0.26120856469896236</v>
      </c>
      <c r="T391" s="52">
        <v>261952.96547923854</v>
      </c>
      <c r="U391" s="50">
        <v>207319.12567348455</v>
      </c>
      <c r="V391" s="50">
        <v>-72523.2439148615</v>
      </c>
    </row>
    <row r="392">
      <c r="A392" s="54">
        <v>45264.95997163195</v>
      </c>
      <c r="B392" s="47">
        <v>4.409686539271811</v>
      </c>
      <c r="C392" s="7">
        <v>-0.04191183064791715</v>
      </c>
      <c r="D392" s="48">
        <v>-0.2054618848158899</v>
      </c>
      <c r="E392" s="49">
        <v>60.92</v>
      </c>
      <c r="F392" s="7">
        <v>-0.049047737312496675</v>
      </c>
      <c r="G392" s="48">
        <v>0.09852505774901066</v>
      </c>
      <c r="H392" s="50">
        <v>-51655.0</v>
      </c>
      <c r="I392" s="56">
        <v>0.009736901824382223</v>
      </c>
      <c r="J392" s="56">
        <v>-0.2481843034088904</v>
      </c>
      <c r="K392" s="50">
        <v>259786.61545876245</v>
      </c>
      <c r="L392" s="56">
        <v>-0.04896944671397749</v>
      </c>
      <c r="M392" s="56">
        <v>1.2481843034088904</v>
      </c>
      <c r="N392" s="51">
        <v>0.007135906664579528</v>
      </c>
      <c r="O392" s="7">
        <v>-0.30398694256490055</v>
      </c>
      <c r="P392" s="52">
        <v>55.456176962254524</v>
      </c>
      <c r="Q392" s="34">
        <v>3416.474318101813</v>
      </c>
      <c r="R392" s="13">
        <v>4830.01419529805</v>
      </c>
      <c r="S392" s="56">
        <v>-0.26427885484328806</v>
      </c>
      <c r="T392" s="52">
        <v>261952.96547923854</v>
      </c>
      <c r="U392" s="50">
        <v>208131.61545876245</v>
      </c>
      <c r="V392" s="50">
        <v>-71710.7541295836</v>
      </c>
    </row>
    <row r="393">
      <c r="A393" s="54">
        <v>45263.95997664351</v>
      </c>
      <c r="B393" s="47">
        <v>4.642297199367751</v>
      </c>
      <c r="C393" s="7">
        <v>0.015247672560745662</v>
      </c>
      <c r="D393" s="48">
        <v>-0.16355005416797275</v>
      </c>
      <c r="E393" s="49">
        <v>63.64</v>
      </c>
      <c r="F393" s="7">
        <v>0.012983224582719721</v>
      </c>
      <c r="G393" s="48">
        <v>0.14757279506150733</v>
      </c>
      <c r="H393" s="50">
        <v>-52255.0</v>
      </c>
      <c r="I393" s="56">
        <v>-0.0034039093215391092</v>
      </c>
      <c r="J393" s="56">
        <v>-0.2384869258100156</v>
      </c>
      <c r="K393" s="50">
        <v>271365.54378564795</v>
      </c>
      <c r="L393" s="56">
        <v>0.01767684822574866</v>
      </c>
      <c r="M393" s="56">
        <v>1.2384869258100155</v>
      </c>
      <c r="N393" s="51">
        <v>0.0022644479780259408</v>
      </c>
      <c r="O393" s="7">
        <v>-0.3111228492294801</v>
      </c>
      <c r="P393" s="52">
        <v>55.456176962254524</v>
      </c>
      <c r="Q393" s="34">
        <v>3442.9689469774976</v>
      </c>
      <c r="R393" s="13">
        <v>4830.01419529805</v>
      </c>
      <c r="S393" s="56">
        <v>-0.2585733652414371</v>
      </c>
      <c r="T393" s="52">
        <v>261952.96547923854</v>
      </c>
      <c r="U393" s="50">
        <v>219110.54378564795</v>
      </c>
      <c r="V393" s="50">
        <v>-60731.82580269809</v>
      </c>
    </row>
    <row r="394">
      <c r="A394" s="54">
        <v>45262.95997822916</v>
      </c>
      <c r="B394" s="47">
        <v>4.557672616655613</v>
      </c>
      <c r="C394" s="7">
        <v>0.046358919253938535</v>
      </c>
      <c r="D394" s="48">
        <v>-0.1787977267287184</v>
      </c>
      <c r="E394" s="49">
        <v>62.92</v>
      </c>
      <c r="F394" s="7">
        <v>0.051391930639932415</v>
      </c>
      <c r="G394" s="48">
        <v>0.1345895704787876</v>
      </c>
      <c r="H394" s="50">
        <v>-52985.89</v>
      </c>
      <c r="I394" s="56">
        <v>-0.010688823945972162</v>
      </c>
      <c r="J394" s="56">
        <v>-0.24631268097964296</v>
      </c>
      <c r="K394" s="50">
        <v>268102.26074170426</v>
      </c>
      <c r="L394" s="56">
        <v>0.054084169664512585</v>
      </c>
      <c r="M394" s="56">
        <v>1.246312680979643</v>
      </c>
      <c r="N394" s="51">
        <v>-0.00503301138599388</v>
      </c>
      <c r="O394" s="7">
        <v>-0.313387297207506</v>
      </c>
      <c r="P394" s="52">
        <v>55.456176962254524</v>
      </c>
      <c r="Q394" s="34">
        <v>3418.8870111523242</v>
      </c>
      <c r="R394" s="13">
        <v>4830.01419529805</v>
      </c>
      <c r="S394" s="56">
        <v>-0.26375929311714574</v>
      </c>
      <c r="T394" s="52">
        <v>261952.96547923854</v>
      </c>
      <c r="U394" s="50">
        <v>215116.37074170425</v>
      </c>
      <c r="V394" s="50">
        <v>-64725.9988466418</v>
      </c>
    </row>
    <row r="395">
      <c r="A395" s="54">
        <v>45261.95997069444</v>
      </c>
      <c r="B395" s="47">
        <v>4.3003806147962536</v>
      </c>
      <c r="C395" s="7">
        <v>0.009366686006321956</v>
      </c>
      <c r="D395" s="48">
        <v>-0.22515664598265694</v>
      </c>
      <c r="E395" s="49">
        <v>60.07</v>
      </c>
      <c r="F395" s="7">
        <v>0.00991774100068854</v>
      </c>
      <c r="G395" s="48">
        <v>0.0831976398388552</v>
      </c>
      <c r="H395" s="50">
        <v>-52985.89</v>
      </c>
      <c r="I395" s="56">
        <v>-0.0022888578074835306</v>
      </c>
      <c r="J395" s="56">
        <v>-0.26104958183780125</v>
      </c>
      <c r="K395" s="50">
        <v>255958.40436672245</v>
      </c>
      <c r="L395" s="56">
        <v>0.011056762323437415</v>
      </c>
      <c r="M395" s="56">
        <v>1.2610495818378014</v>
      </c>
      <c r="N395" s="51">
        <v>-5.510549943665843E-4</v>
      </c>
      <c r="O395" s="7">
        <v>-0.30835428582151214</v>
      </c>
      <c r="P395" s="52">
        <v>55.456176962254524</v>
      </c>
      <c r="Q395" s="34">
        <v>3378.933150769476</v>
      </c>
      <c r="R395" s="13">
        <v>4830.01419529805</v>
      </c>
      <c r="S395" s="56">
        <v>-0.2723631628311825</v>
      </c>
      <c r="T395" s="52">
        <v>261952.96547923854</v>
      </c>
      <c r="U395" s="50">
        <v>202972.51436672243</v>
      </c>
      <c r="V395" s="50">
        <v>-76869.85522162361</v>
      </c>
    </row>
    <row r="396">
      <c r="A396" s="54">
        <v>45260.95996435185</v>
      </c>
      <c r="B396" s="47">
        <v>4.248395507461167</v>
      </c>
      <c r="C396" s="7">
        <v>0.003303692177009876</v>
      </c>
      <c r="D396" s="48">
        <v>-0.2345233319889789</v>
      </c>
      <c r="E396" s="49">
        <v>59.52</v>
      </c>
      <c r="F396" s="7">
        <v>0.0037867738366266224</v>
      </c>
      <c r="G396" s="48">
        <v>0.07327989883816666</v>
      </c>
      <c r="H396" s="50">
        <v>-52985.88999999999</v>
      </c>
      <c r="I396" s="56">
        <v>-8.171737006031682E-4</v>
      </c>
      <c r="J396" s="56">
        <v>-0.2642438914325139</v>
      </c>
      <c r="K396" s="50">
        <v>253504.7731906535</v>
      </c>
      <c r="L396" s="56">
        <v>0.003909671681060244</v>
      </c>
      <c r="M396" s="56">
        <v>1.2642438914325138</v>
      </c>
      <c r="N396" s="51">
        <v>-4.8308165961674643E-4</v>
      </c>
      <c r="O396" s="7">
        <v>-0.30780323082714556</v>
      </c>
      <c r="P396" s="52">
        <v>55.456176962254524</v>
      </c>
      <c r="Q396" s="34">
        <v>3368.9328493053345</v>
      </c>
      <c r="R396" s="13">
        <v>4830.01419529805</v>
      </c>
      <c r="S396" s="56">
        <v>-0.2745166791641249</v>
      </c>
      <c r="T396" s="52">
        <v>261952.96547923854</v>
      </c>
      <c r="U396" s="50">
        <v>200518.88319065352</v>
      </c>
      <c r="V396" s="50">
        <v>-79323.48639769253</v>
      </c>
    </row>
    <row r="397">
      <c r="A397" s="54">
        <v>45259.959971759265</v>
      </c>
      <c r="B397" s="47">
        <v>4.230060015878762</v>
      </c>
      <c r="C397" s="7">
        <v>0.0211129319282084</v>
      </c>
      <c r="D397" s="48">
        <v>-0.23782702416598878</v>
      </c>
      <c r="E397" s="49">
        <v>59.31</v>
      </c>
      <c r="F397" s="7">
        <v>0.022720643019759734</v>
      </c>
      <c r="G397" s="48">
        <v>0.06949312500154003</v>
      </c>
      <c r="H397" s="50">
        <v>-52985.89</v>
      </c>
      <c r="I397" s="56">
        <v>-0.00524495498729549</v>
      </c>
      <c r="J397" s="56">
        <v>-0.2653892750982008</v>
      </c>
      <c r="K397" s="50">
        <v>252639.36122785526</v>
      </c>
      <c r="L397" s="56">
        <v>0.02500820648023816</v>
      </c>
      <c r="M397" s="56">
        <v>1.265389275098201</v>
      </c>
      <c r="N397" s="51">
        <v>-0.0016077110915513337</v>
      </c>
      <c r="O397" s="7">
        <v>-0.3073201491675288</v>
      </c>
      <c r="P397" s="52">
        <v>55.456176962254524</v>
      </c>
      <c r="Q397" s="34">
        <v>3366.269958318247</v>
      </c>
      <c r="R397" s="13">
        <v>4830.01419529805</v>
      </c>
      <c r="S397" s="56">
        <v>-0.2750901198002998</v>
      </c>
      <c r="T397" s="52">
        <v>261952.96547923854</v>
      </c>
      <c r="U397" s="50">
        <v>199653.47122785525</v>
      </c>
      <c r="V397" s="50">
        <v>-80188.8983604908</v>
      </c>
    </row>
    <row r="398">
      <c r="A398" s="54">
        <v>45258.96003662037</v>
      </c>
      <c r="B398" s="47">
        <v>4.112883243677206</v>
      </c>
      <c r="C398" s="7">
        <v>0.056739940925088383</v>
      </c>
      <c r="D398" s="48">
        <v>-0.2589399560941972</v>
      </c>
      <c r="E398" s="49">
        <v>58.05</v>
      </c>
      <c r="F398" s="7">
        <v>0.06293257471346092</v>
      </c>
      <c r="G398" s="48">
        <v>0.0467724819817803</v>
      </c>
      <c r="H398" s="50">
        <v>-52985.89</v>
      </c>
      <c r="I398" s="56">
        <v>-0.01449713707878657</v>
      </c>
      <c r="J398" s="56">
        <v>-0.2729502625589377</v>
      </c>
      <c r="K398" s="50">
        <v>247108.76609929977</v>
      </c>
      <c r="L398" s="56">
        <v>0.06760987982859883</v>
      </c>
      <c r="M398" s="56">
        <v>1.2729502625589377</v>
      </c>
      <c r="N398" s="51">
        <v>-0.006192633788372537</v>
      </c>
      <c r="O398" s="7">
        <v>-0.3057124380759775</v>
      </c>
      <c r="P398" s="52">
        <v>55.456176962254524</v>
      </c>
      <c r="Q398" s="34">
        <v>3344.0633264306593</v>
      </c>
      <c r="R398" s="13">
        <v>4830.01419529805</v>
      </c>
      <c r="S398" s="56">
        <v>-0.27987221008438157</v>
      </c>
      <c r="T398" s="52">
        <v>261952.96547923854</v>
      </c>
      <c r="U398" s="50">
        <v>194122.87609929976</v>
      </c>
      <c r="V398" s="50">
        <v>-85719.49348904629</v>
      </c>
    </row>
    <row r="399">
      <c r="A399" s="54">
        <v>45257.95996856481</v>
      </c>
      <c r="B399" s="47">
        <v>3.797976571542965</v>
      </c>
      <c r="C399" s="7">
        <v>-0.05252492575914969</v>
      </c>
      <c r="D399" s="48">
        <v>-0.31567989701928556</v>
      </c>
      <c r="E399" s="49">
        <v>54.56</v>
      </c>
      <c r="F399" s="7">
        <v>-0.06167031676791879</v>
      </c>
      <c r="G399" s="48">
        <v>-0.01616009273168062</v>
      </c>
      <c r="H399" s="50">
        <v>-53012.61</v>
      </c>
      <c r="I399" s="56">
        <v>0.014540249742579558</v>
      </c>
      <c r="J399" s="56">
        <v>-0.29573080743800745</v>
      </c>
      <c r="K399" s="50">
        <v>232272.29031285603</v>
      </c>
      <c r="L399" s="56">
        <v>-0.06370742941028312</v>
      </c>
      <c r="M399" s="56">
        <v>1.2957308074380074</v>
      </c>
      <c r="N399" s="51">
        <v>0.0091453910087691</v>
      </c>
      <c r="O399" s="7">
        <v>-0.29951980428760494</v>
      </c>
      <c r="P399" s="52">
        <v>55.456176962254524</v>
      </c>
      <c r="Q399" s="34">
        <v>3285.5513253822587</v>
      </c>
      <c r="R399" s="13">
        <v>4830.01419529805</v>
      </c>
      <c r="S399" s="56">
        <v>-0.2924724852243562</v>
      </c>
      <c r="T399" s="52">
        <v>261952.96547923854</v>
      </c>
      <c r="U399" s="50">
        <v>179259.68031285604</v>
      </c>
      <c r="V399" s="50">
        <v>-100582.68927549</v>
      </c>
    </row>
    <row r="400">
      <c r="A400" s="54">
        <v>45256.959982581015</v>
      </c>
      <c r="B400" s="47">
        <v>4.089489909506246</v>
      </c>
      <c r="C400" s="7">
        <v>-0.013161166332359309</v>
      </c>
      <c r="D400" s="48">
        <v>-0.2631549712601359</v>
      </c>
      <c r="E400" s="49">
        <v>57.98</v>
      </c>
      <c r="F400" s="7">
        <v>-0.014065159964613105</v>
      </c>
      <c r="G400" s="48">
        <v>0.04551022403623817</v>
      </c>
      <c r="H400" s="50">
        <v>-53012.61</v>
      </c>
      <c r="I400" s="56">
        <v>0.003383638338019326</v>
      </c>
      <c r="J400" s="56">
        <v>-0.27465006712014256</v>
      </c>
      <c r="K400" s="50">
        <v>246031.35037704214</v>
      </c>
      <c r="L400" s="56">
        <v>-0.015703454508095818</v>
      </c>
      <c r="M400" s="56">
        <v>1.2746500671201424</v>
      </c>
      <c r="N400" s="51">
        <v>9.039936322537967E-4</v>
      </c>
      <c r="O400" s="7">
        <v>-0.30866519529637404</v>
      </c>
      <c r="P400" s="52">
        <v>55.456176962254524</v>
      </c>
      <c r="Q400" s="34">
        <v>3329.057267627495</v>
      </c>
      <c r="R400" s="13">
        <v>4830.01419529805</v>
      </c>
      <c r="S400" s="56">
        <v>-0.2831036919393621</v>
      </c>
      <c r="T400" s="52">
        <v>261952.96547923854</v>
      </c>
      <c r="U400" s="50">
        <v>193018.74037704215</v>
      </c>
      <c r="V400" s="50">
        <v>-86823.6292113039</v>
      </c>
    </row>
    <row r="401">
      <c r="A401" s="54">
        <v>45255.959975624995</v>
      </c>
      <c r="B401" s="47">
        <v>4.16253438265084</v>
      </c>
      <c r="C401" s="7">
        <v>0.03131793080812251</v>
      </c>
      <c r="D401" s="48">
        <v>-0.24999380492777656</v>
      </c>
      <c r="E401" s="49">
        <v>58.76</v>
      </c>
      <c r="F401" s="7">
        <v>0.030294190693012757</v>
      </c>
      <c r="G401" s="48">
        <v>0.05957538400085127</v>
      </c>
      <c r="H401" s="50">
        <v>-53012.61</v>
      </c>
      <c r="I401" s="56">
        <v>-0.007910317705918183</v>
      </c>
      <c r="J401" s="56">
        <v>-0.2698304866415923</v>
      </c>
      <c r="K401" s="50">
        <v>249478.95692696917</v>
      </c>
      <c r="L401" s="56">
        <v>0.037226195998148436</v>
      </c>
      <c r="M401" s="56">
        <v>1.2698304866415921</v>
      </c>
      <c r="N401" s="51">
        <v>0.0010237401151097503</v>
      </c>
      <c r="O401" s="7">
        <v>-0.30956918892862784</v>
      </c>
      <c r="P401" s="52">
        <v>55.456176962254524</v>
      </c>
      <c r="Q401" s="34">
        <v>3343.5389197918516</v>
      </c>
      <c r="R401" s="13">
        <v>4830.01419529805</v>
      </c>
      <c r="S401" s="56">
        <v>-0.2799851385061722</v>
      </c>
      <c r="T401" s="52">
        <v>261952.96547923854</v>
      </c>
      <c r="U401" s="50">
        <v>196466.34692696919</v>
      </c>
      <c r="V401" s="50">
        <v>-83376.02266137686</v>
      </c>
    </row>
    <row r="402">
      <c r="A402" s="54">
        <v>45254.95996273148</v>
      </c>
      <c r="B402" s="47">
        <v>3.98871986666576</v>
      </c>
      <c r="C402" s="7">
        <v>-0.004195588730597555</v>
      </c>
      <c r="D402" s="48">
        <v>-0.28131173573589907</v>
      </c>
      <c r="E402" s="49">
        <v>57.08</v>
      </c>
      <c r="F402" s="7">
        <v>0.003606451272977651</v>
      </c>
      <c r="G402" s="48">
        <v>0.029281193307838516</v>
      </c>
      <c r="H402" s="50">
        <v>-53079.0</v>
      </c>
      <c r="I402" s="56">
        <v>0.0011072906168266533</v>
      </c>
      <c r="J402" s="56">
        <v>-0.28194140508590554</v>
      </c>
      <c r="K402" s="50">
        <v>241341.5220791079</v>
      </c>
      <c r="L402" s="56">
        <v>-0.005034669131838556</v>
      </c>
      <c r="M402" s="56">
        <v>1.2819414050859055</v>
      </c>
      <c r="N402" s="51">
        <v>-0.007802040003575206</v>
      </c>
      <c r="O402" s="7">
        <v>-0.3105929290437376</v>
      </c>
      <c r="P402" s="52">
        <v>55.456176962254524</v>
      </c>
      <c r="Q402" s="34">
        <v>3298.22218078325</v>
      </c>
      <c r="R402" s="13">
        <v>4830.01419529805</v>
      </c>
      <c r="S402" s="56">
        <v>-0.28974387807623864</v>
      </c>
      <c r="T402" s="52">
        <v>261952.96547923854</v>
      </c>
      <c r="U402" s="50">
        <v>188262.5220791079</v>
      </c>
      <c r="V402" s="50">
        <v>-91579.84750923814</v>
      </c>
    </row>
    <row r="403">
      <c r="A403" s="54">
        <v>45253.95996177083</v>
      </c>
      <c r="B403" s="47">
        <v>4.0120053841205765</v>
      </c>
      <c r="C403" s="7">
        <v>-0.015125950759454776</v>
      </c>
      <c r="D403" s="48">
        <v>-0.2771161470053015</v>
      </c>
      <c r="E403" s="49">
        <v>56.88</v>
      </c>
      <c r="F403" s="7">
        <v>-0.016589675855697372</v>
      </c>
      <c r="G403" s="48">
        <v>0.025674742034860865</v>
      </c>
      <c r="H403" s="50">
        <v>-53129.0</v>
      </c>
      <c r="I403" s="56">
        <v>0.003972577059049583</v>
      </c>
      <c r="J403" s="56">
        <v>-0.28056907367028033</v>
      </c>
      <c r="K403" s="50">
        <v>242490.5689890192</v>
      </c>
      <c r="L403" s="56">
        <v>-0.01813157543717476</v>
      </c>
      <c r="M403" s="56">
        <v>1.2805690736702804</v>
      </c>
      <c r="N403" s="51">
        <v>0.0014637250962425963</v>
      </c>
      <c r="O403" s="7">
        <v>-0.3027908890401624</v>
      </c>
      <c r="P403" s="52">
        <v>55.456176962254524</v>
      </c>
      <c r="Q403" s="34">
        <v>3329.1415082457665</v>
      </c>
      <c r="R403" s="13">
        <v>4830.01419529805</v>
      </c>
      <c r="S403" s="56">
        <v>-0.2830855511315079</v>
      </c>
      <c r="T403" s="52">
        <v>261952.96547923854</v>
      </c>
      <c r="U403" s="50">
        <v>189361.5689890192</v>
      </c>
      <c r="V403" s="50">
        <v>-90480.80059932685</v>
      </c>
    </row>
    <row r="404">
      <c r="A404" s="54">
        <v>45252.95997091435</v>
      </c>
      <c r="B404" s="47">
        <v>4.09595441083555</v>
      </c>
      <c r="C404" s="7">
        <v>0.08988816249532872</v>
      </c>
      <c r="D404" s="48">
        <v>-0.26199019624584674</v>
      </c>
      <c r="E404" s="49">
        <v>57.8</v>
      </c>
      <c r="F404" s="7">
        <v>0.09887446699102875</v>
      </c>
      <c r="G404" s="48">
        <v>0.04226441789055824</v>
      </c>
      <c r="H404" s="50">
        <v>-53129.0</v>
      </c>
      <c r="I404" s="56">
        <v>-0.023123764814914162</v>
      </c>
      <c r="J404" s="56">
        <v>-0.2748186432947291</v>
      </c>
      <c r="K404" s="50">
        <v>246452.8566461513</v>
      </c>
      <c r="L404" s="56">
        <v>0.10726567213855628</v>
      </c>
      <c r="M404" s="56">
        <v>1.274818643294729</v>
      </c>
      <c r="N404" s="51">
        <v>-0.008986304495700037</v>
      </c>
      <c r="O404" s="7">
        <v>-0.304254614136405</v>
      </c>
      <c r="P404" s="52">
        <v>55.456176962254524</v>
      </c>
      <c r="Q404" s="34">
        <v>3344.703402182549</v>
      </c>
      <c r="R404" s="13">
        <v>4830.01419529805</v>
      </c>
      <c r="S404" s="56">
        <v>-0.2797343728810775</v>
      </c>
      <c r="T404" s="52">
        <v>261952.96547923854</v>
      </c>
      <c r="U404" s="50">
        <v>193323.8566461513</v>
      </c>
      <c r="V404" s="50">
        <v>-86518.51294219473</v>
      </c>
    </row>
    <row r="405">
      <c r="A405" s="54">
        <v>45251.9599690162</v>
      </c>
      <c r="B405" s="47">
        <v>3.597075108986476</v>
      </c>
      <c r="C405" s="7">
        <v>-0.06663046049730237</v>
      </c>
      <c r="D405" s="48">
        <v>-0.35187835874117546</v>
      </c>
      <c r="E405" s="49">
        <v>52.31</v>
      </c>
      <c r="F405" s="7">
        <v>-0.07448289996587742</v>
      </c>
      <c r="G405" s="48">
        <v>-0.056610049100470516</v>
      </c>
      <c r="H405" s="50">
        <v>-53155.00000000001</v>
      </c>
      <c r="I405" s="56">
        <v>0.019527513403985036</v>
      </c>
      <c r="J405" s="56">
        <v>-0.3130864556093098</v>
      </c>
      <c r="K405" s="50">
        <v>222932.38591902028</v>
      </c>
      <c r="L405" s="56">
        <v>-0.08189850727525225</v>
      </c>
      <c r="M405" s="56">
        <v>1.3130864556093098</v>
      </c>
      <c r="N405" s="51">
        <v>0.007852439468575056</v>
      </c>
      <c r="O405" s="7">
        <v>-0.29526830964070494</v>
      </c>
      <c r="P405" s="52">
        <v>55.4489688491191</v>
      </c>
      <c r="Q405" s="34">
        <v>3245.60095429211</v>
      </c>
      <c r="R405" s="13">
        <v>4815.301122572489</v>
      </c>
      <c r="S405" s="56">
        <v>-0.3010756035361631</v>
      </c>
      <c r="T405" s="52">
        <v>261952.96547923854</v>
      </c>
      <c r="U405" s="50">
        <v>169777.38591902028</v>
      </c>
      <c r="V405" s="50">
        <v>-110064.98366932577</v>
      </c>
    </row>
    <row r="406">
      <c r="A406" s="54">
        <v>45250.95996842593</v>
      </c>
      <c r="B406" s="47">
        <v>3.9668741647465042</v>
      </c>
      <c r="C406" s="7">
        <v>-0.06799870701291555</v>
      </c>
      <c r="D406" s="48">
        <v>-0.2852478982438731</v>
      </c>
      <c r="E406" s="49">
        <v>56.44</v>
      </c>
      <c r="F406" s="7">
        <v>-0.0759256680039575</v>
      </c>
      <c r="G406" s="48">
        <v>0.01787285086540691</v>
      </c>
      <c r="H406" s="50">
        <v>-53302.0</v>
      </c>
      <c r="I406" s="56">
        <v>0.018120711625018153</v>
      </c>
      <c r="J406" s="56">
        <v>-0.2846851046810507</v>
      </c>
      <c r="K406" s="50">
        <v>240533.4326375359</v>
      </c>
      <c r="L406" s="56">
        <v>-0.08177248450340546</v>
      </c>
      <c r="M406" s="56">
        <v>1.2846851046810508</v>
      </c>
      <c r="N406" s="51">
        <v>0.007926960991041954</v>
      </c>
      <c r="O406" s="7">
        <v>-0.30312074910928</v>
      </c>
      <c r="P406" s="52">
        <v>55.4489688491191</v>
      </c>
      <c r="Q406" s="34">
        <v>3317.353519446065</v>
      </c>
      <c r="R406" s="13">
        <v>4815.301122572489</v>
      </c>
      <c r="S406" s="56">
        <v>-0.2856240372465241</v>
      </c>
      <c r="T406" s="52">
        <v>261952.96547923854</v>
      </c>
      <c r="U406" s="50">
        <v>187231.4326375359</v>
      </c>
      <c r="V406" s="50">
        <v>-92610.93695081014</v>
      </c>
    </row>
    <row r="407">
      <c r="A407" s="54">
        <v>45249.959956493054</v>
      </c>
      <c r="B407" s="47">
        <v>4.344266988668186</v>
      </c>
      <c r="C407" s="7">
        <v>0.03585599191498601</v>
      </c>
      <c r="D407" s="48">
        <v>-0.21724919123095754</v>
      </c>
      <c r="E407" s="49">
        <v>60.65</v>
      </c>
      <c r="F407" s="7">
        <v>0.03895473702815866</v>
      </c>
      <c r="G407" s="48">
        <v>0.09379851886936441</v>
      </c>
      <c r="H407" s="50">
        <v>-53302.0</v>
      </c>
      <c r="I407" s="56">
        <v>-0.008725056573531313</v>
      </c>
      <c r="J407" s="56">
        <v>-0.25995409347380477</v>
      </c>
      <c r="K407" s="50">
        <v>258345.89558832307</v>
      </c>
      <c r="L407" s="56">
        <v>0.04228889262218552</v>
      </c>
      <c r="M407" s="56">
        <v>1.2599540934738047</v>
      </c>
      <c r="N407" s="51">
        <v>-0.0030987451131726518</v>
      </c>
      <c r="O407" s="7">
        <v>-0.31104771010032195</v>
      </c>
      <c r="P407" s="52">
        <v>55.4489688491191</v>
      </c>
      <c r="Q407" s="34">
        <v>3380.773216625277</v>
      </c>
      <c r="R407" s="13">
        <v>4815.301122572489</v>
      </c>
      <c r="S407" s="56">
        <v>-0.2719669135892605</v>
      </c>
      <c r="T407" s="52">
        <v>261952.96547923854</v>
      </c>
      <c r="U407" s="50">
        <v>205043.89558832307</v>
      </c>
      <c r="V407" s="50">
        <v>-74798.47400002298</v>
      </c>
    </row>
    <row r="408">
      <c r="A408" s="54">
        <v>45248.95995420139</v>
      </c>
      <c r="B408" s="47">
        <v>4.1452662335400134</v>
      </c>
      <c r="C408" s="7">
        <v>-9.690877027085376E-4</v>
      </c>
      <c r="D408" s="48">
        <v>-0.25310518314594355</v>
      </c>
      <c r="E408" s="49">
        <v>58.49</v>
      </c>
      <c r="F408" s="7">
        <v>-1.803460047600236E-4</v>
      </c>
      <c r="G408" s="48">
        <v>0.05484378184120575</v>
      </c>
      <c r="H408" s="50">
        <v>-53302.0</v>
      </c>
      <c r="I408" s="56">
        <v>2.4713466796487935E-4</v>
      </c>
      <c r="J408" s="56">
        <v>-0.2724336443603998</v>
      </c>
      <c r="K408" s="50">
        <v>248953.31217599288</v>
      </c>
      <c r="L408" s="56">
        <v>-0.0011542717748559332</v>
      </c>
      <c r="M408" s="56">
        <v>1.2724336443603999</v>
      </c>
      <c r="N408" s="51">
        <v>-7.88741697948514E-4</v>
      </c>
      <c r="O408" s="7">
        <v>-0.3079489649871493</v>
      </c>
      <c r="P408" s="52">
        <v>55.4489688491191</v>
      </c>
      <c r="Q408" s="34">
        <v>3345.0386762864227</v>
      </c>
      <c r="R408" s="13">
        <v>4815.301122572489</v>
      </c>
      <c r="S408" s="56">
        <v>-0.27966217323176756</v>
      </c>
      <c r="T408" s="52">
        <v>261952.96547923854</v>
      </c>
      <c r="U408" s="50">
        <v>195651.31217599288</v>
      </c>
      <c r="V408" s="50">
        <v>-84191.05741235317</v>
      </c>
    </row>
    <row r="409">
      <c r="A409" s="54">
        <v>45247.95998543981</v>
      </c>
      <c r="B409" s="47">
        <v>4.1506446702900455</v>
      </c>
      <c r="C409" s="7">
        <v>-0.010392514233199868</v>
      </c>
      <c r="D409" s="48">
        <v>-0.252136095443235</v>
      </c>
      <c r="E409" s="49">
        <v>58.5</v>
      </c>
      <c r="F409" s="7">
        <v>-0.011542144304639734</v>
      </c>
      <c r="G409" s="48">
        <v>0.055024127845965776</v>
      </c>
      <c r="H409" s="50">
        <v>-52934.63</v>
      </c>
      <c r="I409" s="56">
        <v>0.0026285997822520423</v>
      </c>
      <c r="J409" s="56">
        <v>-0.2702053787332213</v>
      </c>
      <c r="K409" s="50">
        <v>248839.7975735268</v>
      </c>
      <c r="L409" s="56">
        <v>-0.012356754693806584</v>
      </c>
      <c r="M409" s="56">
        <v>1.2702053787332213</v>
      </c>
      <c r="N409" s="51">
        <v>0.0011496300714398666</v>
      </c>
      <c r="O409" s="7">
        <v>-0.3071602232892008</v>
      </c>
      <c r="P409" s="52">
        <v>55.4489688491191</v>
      </c>
      <c r="Q409" s="34">
        <v>3348.8062833081503</v>
      </c>
      <c r="R409" s="13">
        <v>4815.301122572489</v>
      </c>
      <c r="S409" s="56">
        <v>-0.27885083736489474</v>
      </c>
      <c r="T409" s="52">
        <v>261952.96547923854</v>
      </c>
      <c r="U409" s="50">
        <v>195905.1675735268</v>
      </c>
      <c r="V409" s="50">
        <v>-83937.20201481925</v>
      </c>
    </row>
    <row r="410">
      <c r="A410" s="54">
        <v>45246.95998024306</v>
      </c>
      <c r="B410" s="47">
        <v>4.208323124284305</v>
      </c>
      <c r="C410" s="7">
        <v>-0.09740852994109939</v>
      </c>
      <c r="D410" s="48">
        <v>-0.24174358121003514</v>
      </c>
      <c r="E410" s="49">
        <v>59.14</v>
      </c>
      <c r="F410" s="7">
        <v>-0.11289659897975635</v>
      </c>
      <c r="G410" s="48">
        <v>0.06656627215060551</v>
      </c>
      <c r="H410" s="50">
        <v>-52934.63</v>
      </c>
      <c r="I410" s="56">
        <v>0.024300057766594135</v>
      </c>
      <c r="J410" s="56">
        <v>-0.26650199663874014</v>
      </c>
      <c r="K410" s="50">
        <v>251562.1474956987</v>
      </c>
      <c r="L410" s="56">
        <v>-0.11548158013069997</v>
      </c>
      <c r="M410" s="56">
        <v>1.2665019966387403</v>
      </c>
      <c r="N410" s="51">
        <v>0.01548806903865696</v>
      </c>
      <c r="O410" s="7">
        <v>-0.30830985336064065</v>
      </c>
      <c r="P410" s="52">
        <v>55.4489688491191</v>
      </c>
      <c r="Q410" s="34">
        <v>3358.598537296224</v>
      </c>
      <c r="R410" s="13">
        <v>4815.301122572489</v>
      </c>
      <c r="S410" s="56">
        <v>-0.2767421230451062</v>
      </c>
      <c r="T410" s="52">
        <v>261952.96547923854</v>
      </c>
      <c r="U410" s="50">
        <v>198627.5174956987</v>
      </c>
      <c r="V410" s="50">
        <v>-81214.85209264734</v>
      </c>
    </row>
    <row r="411">
      <c r="A411" s="54">
        <v>45245.959967835646</v>
      </c>
      <c r="B411" s="47">
        <v>4.748940465457406</v>
      </c>
      <c r="C411" s="7">
        <v>0.13923541596236677</v>
      </c>
      <c r="D411" s="48">
        <v>-0.14433505126893575</v>
      </c>
      <c r="E411" s="49">
        <v>65.4</v>
      </c>
      <c r="F411" s="7">
        <v>0.15473687208407516</v>
      </c>
      <c r="G411" s="48">
        <v>0.17946287113036186</v>
      </c>
      <c r="H411" s="50">
        <v>-53867.99999999999</v>
      </c>
      <c r="I411" s="56">
        <v>-0.031323000431534256</v>
      </c>
      <c r="J411" s="56">
        <v>-0.24032767784619496</v>
      </c>
      <c r="K411" s="50">
        <v>278011.97077674285</v>
      </c>
      <c r="L411" s="56">
        <v>0.16165755328973797</v>
      </c>
      <c r="M411" s="56">
        <v>1.240327677846195</v>
      </c>
      <c r="N411" s="51">
        <v>-0.01550145612170839</v>
      </c>
      <c r="O411" s="7">
        <v>-0.3237979223992976</v>
      </c>
      <c r="P411" s="52">
        <v>55.4489688491191</v>
      </c>
      <c r="Q411" s="34">
        <v>3427.277840622979</v>
      </c>
      <c r="R411" s="13">
        <v>4815.301122572489</v>
      </c>
      <c r="S411" s="56">
        <v>-0.26195236875823685</v>
      </c>
      <c r="T411" s="52">
        <v>261952.96547923854</v>
      </c>
      <c r="U411" s="50">
        <v>224143.97077674285</v>
      </c>
      <c r="V411" s="50">
        <v>-55698.3988116032</v>
      </c>
    </row>
    <row r="412">
      <c r="A412" s="54">
        <v>45244.959969062504</v>
      </c>
      <c r="B412" s="47">
        <v>3.9761839068662708</v>
      </c>
      <c r="C412" s="7">
        <v>0.07620918812453925</v>
      </c>
      <c r="D412" s="48">
        <v>-0.2835704672313025</v>
      </c>
      <c r="E412" s="49">
        <v>56.82</v>
      </c>
      <c r="F412" s="7">
        <v>0.08422158422291726</v>
      </c>
      <c r="G412" s="48">
        <v>0.024725999046286695</v>
      </c>
      <c r="H412" s="50">
        <v>-53868.0</v>
      </c>
      <c r="I412" s="56">
        <v>-0.020476288352868827</v>
      </c>
      <c r="J412" s="56">
        <v>-0.2870344684817899</v>
      </c>
      <c r="K412" s="50">
        <v>241538.8406656656</v>
      </c>
      <c r="L412" s="56">
        <v>0.09181367323620346</v>
      </c>
      <c r="M412" s="56">
        <v>1.2870344684817898</v>
      </c>
      <c r="N412" s="51">
        <v>-0.008012396098378005</v>
      </c>
      <c r="O412" s="7">
        <v>-0.3082964662775892</v>
      </c>
      <c r="P412" s="52">
        <v>55.4489688491191</v>
      </c>
      <c r="Q412" s="34">
        <v>3302.9011028804225</v>
      </c>
      <c r="R412" s="13">
        <v>4815.301122572489</v>
      </c>
      <c r="S412" s="56">
        <v>-0.28873629493557473</v>
      </c>
      <c r="T412" s="52">
        <v>261952.96547923854</v>
      </c>
      <c r="U412" s="50">
        <v>187670.8406656656</v>
      </c>
      <c r="V412" s="50">
        <v>-92171.52892268045</v>
      </c>
    </row>
    <row r="413">
      <c r="A413" s="54">
        <v>45243.95996425926</v>
      </c>
      <c r="B413" s="47">
        <v>3.553222912775078</v>
      </c>
      <c r="C413" s="7">
        <v>-0.07915241296569409</v>
      </c>
      <c r="D413" s="48">
        <v>-0.3597796553558418</v>
      </c>
      <c r="E413" s="49">
        <v>52.15</v>
      </c>
      <c r="F413" s="7">
        <v>-0.08800885032287731</v>
      </c>
      <c r="G413" s="48">
        <v>-0.05949558517663056</v>
      </c>
      <c r="H413" s="50">
        <v>-53868.0</v>
      </c>
      <c r="I413" s="56">
        <v>0.023798636185894836</v>
      </c>
      <c r="J413" s="56">
        <v>-0.3212018672371575</v>
      </c>
      <c r="K413" s="50">
        <v>221575.61783967738</v>
      </c>
      <c r="L413" s="56">
        <v>-0.09789109520738382</v>
      </c>
      <c r="M413" s="56">
        <v>1.3212018672371575</v>
      </c>
      <c r="N413" s="51">
        <v>0.008856437357183222</v>
      </c>
      <c r="O413" s="7">
        <v>-0.3002840701792112</v>
      </c>
      <c r="P413" s="52">
        <v>55.4489688491191</v>
      </c>
      <c r="Q413" s="34">
        <v>3215.8699489871024</v>
      </c>
      <c r="R413" s="13">
        <v>4815.301122572489</v>
      </c>
      <c r="S413" s="56">
        <v>-0.307478031077844</v>
      </c>
      <c r="T413" s="52">
        <v>261952.96547923854</v>
      </c>
      <c r="U413" s="50">
        <v>167707.61783967738</v>
      </c>
      <c r="V413" s="50">
        <v>-112134.75174866867</v>
      </c>
    </row>
    <row r="414">
      <c r="A414" s="54">
        <v>45242.959989641204</v>
      </c>
      <c r="B414" s="47">
        <v>3.9925188047346802</v>
      </c>
      <c r="C414" s="7">
        <v>-0.022058869187160712</v>
      </c>
      <c r="D414" s="48">
        <v>-0.2806272423901477</v>
      </c>
      <c r="E414" s="49">
        <v>57.03</v>
      </c>
      <c r="F414" s="7">
        <v>-0.02452705664735899</v>
      </c>
      <c r="G414" s="48">
        <v>0.028513265146246747</v>
      </c>
      <c r="H414" s="50">
        <v>-53868.0</v>
      </c>
      <c r="I414" s="56">
        <v>0.005902644666730272</v>
      </c>
      <c r="J414" s="56">
        <v>-0.2858601023844272</v>
      </c>
      <c r="K414" s="50">
        <v>242309.82714087827</v>
      </c>
      <c r="L414" s="56">
        <v>-0.026551362754686256</v>
      </c>
      <c r="M414" s="56">
        <v>1.2858601023844272</v>
      </c>
      <c r="N414" s="51">
        <v>0.002468187460198279</v>
      </c>
      <c r="O414" s="7">
        <v>-0.30914050753639444</v>
      </c>
      <c r="P414" s="52">
        <v>55.4489688491191</v>
      </c>
      <c r="Q414" s="34">
        <v>3304.257884286836</v>
      </c>
      <c r="R414" s="13">
        <v>4815.301122572489</v>
      </c>
      <c r="S414" s="56">
        <v>-0.28844411865174757</v>
      </c>
      <c r="T414" s="52">
        <v>261952.96547923854</v>
      </c>
      <c r="U414" s="50">
        <v>188441.82714087827</v>
      </c>
      <c r="V414" s="50">
        <v>-91400.54244746777</v>
      </c>
    </row>
    <row r="415">
      <c r="A415" s="54">
        <v>45241.9599753125</v>
      </c>
      <c r="B415" s="47">
        <v>4.114945528723422</v>
      </c>
      <c r="C415" s="7">
        <v>0.012067101304144123</v>
      </c>
      <c r="D415" s="48">
        <v>-0.258568373202987</v>
      </c>
      <c r="E415" s="49">
        <v>58.39</v>
      </c>
      <c r="F415" s="7">
        <v>0.030185912316950114</v>
      </c>
      <c r="G415" s="48">
        <v>0.05304032179360574</v>
      </c>
      <c r="H415" s="50">
        <v>-53868.0</v>
      </c>
      <c r="I415" s="56">
        <v>-0.013114249587124748</v>
      </c>
      <c r="J415" s="56">
        <v>-0.2773552714918373</v>
      </c>
      <c r="K415" s="50">
        <v>248088.21333957362</v>
      </c>
      <c r="L415" s="56">
        <v>0.06039746694436436</v>
      </c>
      <c r="M415" s="56">
        <v>1.2773552714918373</v>
      </c>
      <c r="N415" s="51">
        <v>-0.01811881101280599</v>
      </c>
      <c r="O415" s="7">
        <v>-0.3116086949965927</v>
      </c>
      <c r="P415" s="52">
        <v>55.4489688491191</v>
      </c>
      <c r="Q415" s="34">
        <v>3326.258149333338</v>
      </c>
      <c r="R415" s="13">
        <v>4815.301122572489</v>
      </c>
      <c r="S415" s="56">
        <v>-0.2837064684642418</v>
      </c>
      <c r="T415" s="52">
        <v>261952.96547923854</v>
      </c>
      <c r="U415" s="50">
        <v>194220.21333957362</v>
      </c>
      <c r="V415" s="50">
        <v>-85622.15624877243</v>
      </c>
    </row>
    <row r="416">
      <c r="A416" s="54">
        <v>45240.95996519676</v>
      </c>
      <c r="B416" s="47">
        <v>4.047973116485422</v>
      </c>
      <c r="C416" s="7">
        <v>0.14452477110033413</v>
      </c>
      <c r="D416" s="48">
        <v>-0.2706354745071311</v>
      </c>
      <c r="E416" s="49">
        <v>56.64</v>
      </c>
      <c r="F416" s="7">
        <v>0.20189816910220704</v>
      </c>
      <c r="G416" s="48">
        <v>0.022854409476655624</v>
      </c>
      <c r="H416" s="50">
        <v>-49105.0</v>
      </c>
      <c r="I416" s="56">
        <v>-0.03293764939019992</v>
      </c>
      <c r="J416" s="56">
        <v>-0.2570145792789013</v>
      </c>
      <c r="K416" s="50">
        <v>240164.2003682147</v>
      </c>
      <c r="L416" s="56">
        <v>0.161092439218124</v>
      </c>
      <c r="M416" s="56">
        <v>1.2570145792789014</v>
      </c>
      <c r="N416" s="51">
        <v>-0.05737339800187291</v>
      </c>
      <c r="O416" s="7">
        <v>-0.2934898839837867</v>
      </c>
      <c r="P416" s="52">
        <v>55.374449653083964</v>
      </c>
      <c r="Q416" s="34">
        <v>3373.2203454840164</v>
      </c>
      <c r="R416" s="13">
        <v>4697.085432585442</v>
      </c>
      <c r="S416" s="56">
        <v>-0.32459877406322846</v>
      </c>
      <c r="T416" s="52">
        <v>261952.96547923854</v>
      </c>
      <c r="U416" s="50">
        <v>191059.2003682147</v>
      </c>
      <c r="V416" s="50">
        <v>-104354.5912331313</v>
      </c>
    </row>
    <row r="417">
      <c r="A417" s="54">
        <v>45239.95996814815</v>
      </c>
      <c r="B417" s="47">
        <v>3.245860636878568</v>
      </c>
      <c r="C417" s="7">
        <v>0.037896584185784565</v>
      </c>
      <c r="D417" s="48">
        <v>-0.41516024560746523</v>
      </c>
      <c r="E417" s="49">
        <v>45.46</v>
      </c>
      <c r="F417" s="7">
        <v>0.03991010319462229</v>
      </c>
      <c r="G417" s="48">
        <v>-0.1790437596255514</v>
      </c>
      <c r="H417" s="50">
        <v>-49105.0</v>
      </c>
      <c r="I417" s="56">
        <v>-0.010771052161284107</v>
      </c>
      <c r="J417" s="56">
        <v>-0.32052765779442366</v>
      </c>
      <c r="K417" s="50">
        <v>202305.50799327402</v>
      </c>
      <c r="L417" s="56">
        <v>0.04437517929153107</v>
      </c>
      <c r="M417" s="56">
        <v>1.3205276577944236</v>
      </c>
      <c r="N417" s="51">
        <v>-0.0020135190088377275</v>
      </c>
      <c r="O417" s="7">
        <v>-0.23611648598191382</v>
      </c>
      <c r="P417" s="52">
        <v>55.374449653083964</v>
      </c>
      <c r="Q417" s="34">
        <v>3370.0067750390235</v>
      </c>
      <c r="R417" s="13">
        <v>4697.085432585442</v>
      </c>
      <c r="S417" s="56">
        <v>-0.32524220947387045</v>
      </c>
      <c r="T417" s="52">
        <v>261952.96547923854</v>
      </c>
      <c r="U417" s="50">
        <v>153200.50799327402</v>
      </c>
      <c r="V417" s="50">
        <v>-142213.28360807197</v>
      </c>
    </row>
    <row r="418">
      <c r="A418" s="54">
        <v>45238.959976342594</v>
      </c>
      <c r="B418" s="47">
        <v>3.0355345946474634</v>
      </c>
      <c r="C418" s="7">
        <v>0.002377250130899844</v>
      </c>
      <c r="D418" s="48">
        <v>-0.4530568297932498</v>
      </c>
      <c r="E418" s="49">
        <v>43.25</v>
      </c>
      <c r="F418" s="7">
        <v>0.0025282418313335997</v>
      </c>
      <c r="G418" s="48">
        <v>-0.2189538628201737</v>
      </c>
      <c r="H418" s="50">
        <v>-49105.0</v>
      </c>
      <c r="I418" s="56">
        <v>-7.224829873194185E-4</v>
      </c>
      <c r="J418" s="56">
        <v>-0.34273636983097233</v>
      </c>
      <c r="K418" s="50">
        <v>192378.38538427412</v>
      </c>
      <c r="L418" s="56">
        <v>0.002830467581063368</v>
      </c>
      <c r="M418" s="56">
        <v>1.3427363698309722</v>
      </c>
      <c r="N418" s="51">
        <v>-1.5099170043375576E-4</v>
      </c>
      <c r="O418" s="7">
        <v>-0.2341029669730761</v>
      </c>
      <c r="P418" s="52">
        <v>55.374449653083964</v>
      </c>
      <c r="Q418" s="34">
        <v>3312.6794308502685</v>
      </c>
      <c r="R418" s="13">
        <v>4697.085432585442</v>
      </c>
      <c r="S418" s="56">
        <v>-0.3367205460718992</v>
      </c>
      <c r="T418" s="52">
        <v>261952.96547923854</v>
      </c>
      <c r="U418" s="50">
        <v>143273.38538427412</v>
      </c>
      <c r="V418" s="50">
        <v>-152140.40621707187</v>
      </c>
    </row>
    <row r="419">
      <c r="A419" s="54">
        <v>45237.95996736111</v>
      </c>
      <c r="B419" s="47">
        <v>3.0223408564209695</v>
      </c>
      <c r="C419" s="7">
        <v>0.0359258765915309</v>
      </c>
      <c r="D419" s="48">
        <v>-0.45543407992414964</v>
      </c>
      <c r="E419" s="49">
        <v>43.11</v>
      </c>
      <c r="F419" s="7">
        <v>0.03774303876776497</v>
      </c>
      <c r="G419" s="48">
        <v>-0.2214821046515073</v>
      </c>
      <c r="H419" s="50">
        <v>-49105.0</v>
      </c>
      <c r="I419" s="56">
        <v>-0.010966091452456663</v>
      </c>
      <c r="J419" s="56">
        <v>-0.344232552478486</v>
      </c>
      <c r="K419" s="50">
        <v>191755.657662799</v>
      </c>
      <c r="L419" s="56">
        <v>0.042822728407620934</v>
      </c>
      <c r="M419" s="56">
        <v>1.344232552478486</v>
      </c>
      <c r="N419" s="51">
        <v>-0.0018171621762340662</v>
      </c>
      <c r="O419" s="7">
        <v>-0.23395197527264233</v>
      </c>
      <c r="P419" s="52">
        <v>55.374449653083964</v>
      </c>
      <c r="Q419" s="34">
        <v>3308.9922909487127</v>
      </c>
      <c r="R419" s="13">
        <v>4697.085432585442</v>
      </c>
      <c r="S419" s="56">
        <v>-0.33745880167178766</v>
      </c>
      <c r="T419" s="52">
        <v>261952.96547923854</v>
      </c>
      <c r="U419" s="50">
        <v>142650.657662799</v>
      </c>
      <c r="V419" s="50">
        <v>-152763.133938547</v>
      </c>
    </row>
    <row r="420">
      <c r="A420" s="54">
        <v>45236.959965891205</v>
      </c>
      <c r="B420" s="47">
        <v>2.822952241337973</v>
      </c>
      <c r="C420" s="7">
        <v>0.013143129418575539</v>
      </c>
      <c r="D420" s="48">
        <v>-0.49135995651568054</v>
      </c>
      <c r="E420" s="49">
        <v>41.02</v>
      </c>
      <c r="F420" s="7">
        <v>0.0019864757246192966</v>
      </c>
      <c r="G420" s="48">
        <v>-0.2592251434192723</v>
      </c>
      <c r="H420" s="50">
        <v>-49132.00000000001</v>
      </c>
      <c r="I420" s="56">
        <v>-0.004297559646479385</v>
      </c>
      <c r="J420" s="56">
        <v>-0.36874876644466703</v>
      </c>
      <c r="K420" s="50">
        <v>182371.76775220633</v>
      </c>
      <c r="L420" s="56">
        <v>0.01595199767461109</v>
      </c>
      <c r="M420" s="56">
        <v>1.368748766444667</v>
      </c>
      <c r="N420" s="51">
        <v>0.011156653693956242</v>
      </c>
      <c r="O420" s="7">
        <v>-0.23213481309640827</v>
      </c>
      <c r="P420" s="52">
        <v>55.374449653083964</v>
      </c>
      <c r="Q420" s="34">
        <v>3248.1659617797736</v>
      </c>
      <c r="R420" s="13">
        <v>4697.085432585442</v>
      </c>
      <c r="S420" s="56">
        <v>-0.3496377206519648</v>
      </c>
      <c r="T420" s="52">
        <v>261952.96547923854</v>
      </c>
      <c r="U420" s="50">
        <v>133239.76775220633</v>
      </c>
      <c r="V420" s="50">
        <v>-162174.02384913966</v>
      </c>
    </row>
    <row r="421">
      <c r="A421" s="54">
        <v>45235.959966423616</v>
      </c>
      <c r="B421" s="47">
        <v>2.7500078730648787</v>
      </c>
      <c r="C421" s="7">
        <v>-0.024083215497398003</v>
      </c>
      <c r="D421" s="48">
        <v>-0.5045030859342561</v>
      </c>
      <c r="E421" s="49">
        <v>40.91</v>
      </c>
      <c r="F421" s="7">
        <v>-0.025643595717811607</v>
      </c>
      <c r="G421" s="48">
        <v>-0.26121161914389157</v>
      </c>
      <c r="H421" s="50">
        <v>-51955.0</v>
      </c>
      <c r="I421" s="56">
        <v>0.008548109958563522</v>
      </c>
      <c r="J421" s="56">
        <v>-0.4002792485318924</v>
      </c>
      <c r="K421" s="50">
        <v>181751.88602533305</v>
      </c>
      <c r="L421" s="56">
        <v>-0.0299034762182822</v>
      </c>
      <c r="M421" s="56">
        <v>1.4002792485318925</v>
      </c>
      <c r="N421" s="51">
        <v>0.0015603802204136041</v>
      </c>
      <c r="O421" s="7">
        <v>-0.2432914667903645</v>
      </c>
      <c r="P421" s="52">
        <v>55.374449653083964</v>
      </c>
      <c r="Q421" s="34">
        <v>3172.7422641244943</v>
      </c>
      <c r="R421" s="13">
        <v>4697.085432585442</v>
      </c>
      <c r="S421" s="56">
        <v>-0.36473938987119</v>
      </c>
      <c r="T421" s="52">
        <v>261952.96547923854</v>
      </c>
      <c r="U421" s="50">
        <v>129796.88602533305</v>
      </c>
      <c r="V421" s="50">
        <v>-165616.90557601294</v>
      </c>
    </row>
    <row r="422">
      <c r="A422" s="54">
        <v>45234.959966828705</v>
      </c>
      <c r="B422" s="47">
        <v>2.8836697190754377</v>
      </c>
      <c r="C422" s="7">
        <v>0.044096028375517404</v>
      </c>
      <c r="D422" s="48">
        <v>-0.4804198704368581</v>
      </c>
      <c r="E422" s="49">
        <v>42.33</v>
      </c>
      <c r="F422" s="7">
        <v>0.04695306258190857</v>
      </c>
      <c r="G422" s="48">
        <v>-0.23556802342607996</v>
      </c>
      <c r="H422" s="50">
        <v>-51955.0</v>
      </c>
      <c r="I422" s="56">
        <v>-0.014926002974751674</v>
      </c>
      <c r="J422" s="56">
        <v>-0.38172578419976844</v>
      </c>
      <c r="K422" s="50">
        <v>188060.555743152</v>
      </c>
      <c r="L422" s="56">
        <v>0.054027377816490044</v>
      </c>
      <c r="M422" s="56">
        <v>1.3817257841997685</v>
      </c>
      <c r="N422" s="51">
        <v>-0.0028570342063911625</v>
      </c>
      <c r="O422" s="7">
        <v>-0.2448518470107781</v>
      </c>
      <c r="P422" s="52">
        <v>55.374449653083964</v>
      </c>
      <c r="Q422" s="34">
        <v>3215.345044723648</v>
      </c>
      <c r="R422" s="13">
        <v>4697.085432585442</v>
      </c>
      <c r="S422" s="56">
        <v>-0.3562092710832177</v>
      </c>
      <c r="T422" s="52">
        <v>261952.96547923854</v>
      </c>
      <c r="U422" s="50">
        <v>136105.555743152</v>
      </c>
      <c r="V422" s="50">
        <v>-159308.23585819398</v>
      </c>
    </row>
    <row r="423">
      <c r="A423" s="54">
        <v>45233.96000111111</v>
      </c>
      <c r="B423" s="47">
        <v>2.6389367615913164</v>
      </c>
      <c r="C423" s="7">
        <v>-0.005257603383234777</v>
      </c>
      <c r="D423" s="48">
        <v>-0.5245158988123755</v>
      </c>
      <c r="E423" s="49">
        <v>39.73</v>
      </c>
      <c r="F423" s="7">
        <v>-0.0055982497693813915</v>
      </c>
      <c r="G423" s="48">
        <v>-0.28252108600798853</v>
      </c>
      <c r="H423" s="50">
        <v>-51955.0</v>
      </c>
      <c r="I423" s="56">
        <v>0.0019446811458003128</v>
      </c>
      <c r="J423" s="56">
        <v>-0.417126738657965</v>
      </c>
      <c r="K423" s="50">
        <v>176509.47034432858</v>
      </c>
      <c r="L423" s="56">
        <v>-0.006606768146161394</v>
      </c>
      <c r="M423" s="56">
        <v>1.417126738657965</v>
      </c>
      <c r="N423" s="51">
        <v>3.406463861466147E-4</v>
      </c>
      <c r="O423" s="7">
        <v>-0.24199481280438695</v>
      </c>
      <c r="P423" s="52">
        <v>55.374449653083964</v>
      </c>
      <c r="Q423" s="34">
        <v>3135.0231649717743</v>
      </c>
      <c r="R423" s="13">
        <v>4697.085432585442</v>
      </c>
      <c r="S423" s="56">
        <v>-0.3722916761732348</v>
      </c>
      <c r="T423" s="52">
        <v>261952.96547923854</v>
      </c>
      <c r="U423" s="50">
        <v>124554.47034432858</v>
      </c>
      <c r="V423" s="50">
        <v>-170859.3212570174</v>
      </c>
    </row>
    <row r="424">
      <c r="A424" s="54">
        <v>45232.95996953704</v>
      </c>
      <c r="B424" s="47">
        <v>2.6681164603682688</v>
      </c>
      <c r="C424" s="7">
        <v>-0.0463008297942934</v>
      </c>
      <c r="D424" s="48">
        <v>-0.5192582954291407</v>
      </c>
      <c r="E424" s="49">
        <v>40.04</v>
      </c>
      <c r="F424" s="7">
        <v>-0.04930071571100414</v>
      </c>
      <c r="G424" s="48">
        <v>-0.27692283623860714</v>
      </c>
      <c r="H424" s="50">
        <v>-51955.0</v>
      </c>
      <c r="I424" s="56">
        <v>0.016938445760024897</v>
      </c>
      <c r="J424" s="56">
        <v>-0.4125648566087189</v>
      </c>
      <c r="K424" s="50">
        <v>177886.7151418806</v>
      </c>
      <c r="L424" s="56">
        <v>-0.05799488934385033</v>
      </c>
      <c r="M424" s="56">
        <v>1.412564856608719</v>
      </c>
      <c r="N424" s="51">
        <v>0.002999885916710743</v>
      </c>
      <c r="O424" s="7">
        <v>-0.24233545919053356</v>
      </c>
      <c r="P424" s="52">
        <v>55.374449653083964</v>
      </c>
      <c r="Q424" s="34">
        <v>3145.1477308161984</v>
      </c>
      <c r="R424" s="13">
        <v>4697.085432585442</v>
      </c>
      <c r="S424" s="56">
        <v>-0.3702644904328913</v>
      </c>
      <c r="T424" s="52">
        <v>261952.96547923854</v>
      </c>
      <c r="U424" s="50">
        <v>125931.71514188059</v>
      </c>
      <c r="V424" s="50">
        <v>-169482.0764594654</v>
      </c>
    </row>
    <row r="425">
      <c r="A425" s="54">
        <v>45231.95996018518</v>
      </c>
      <c r="B425" s="47">
        <v>2.9250860657265974</v>
      </c>
      <c r="C425" s="7">
        <v>0.06034394244550123</v>
      </c>
      <c r="D425" s="48">
        <v>-0.4729574656348473</v>
      </c>
      <c r="E425" s="49">
        <v>42.77</v>
      </c>
      <c r="F425" s="7">
        <v>0.0921002381414362</v>
      </c>
      <c r="G425" s="48">
        <v>-0.227622120527603</v>
      </c>
      <c r="H425" s="50">
        <v>-51954.99999999999</v>
      </c>
      <c r="I425" s="56">
        <v>-0.020136528308792843</v>
      </c>
      <c r="J425" s="56">
        <v>-0.37632092189867367</v>
      </c>
      <c r="K425" s="50">
        <v>190015.35481064522</v>
      </c>
      <c r="L425" s="56">
        <v>0.07364545416706522</v>
      </c>
      <c r="M425" s="56">
        <v>1.3763209218986736</v>
      </c>
      <c r="N425" s="51">
        <v>-0.031756295695934966</v>
      </c>
      <c r="O425" s="7">
        <v>-0.2453353451072443</v>
      </c>
      <c r="P425" s="52">
        <v>55.374449653083964</v>
      </c>
      <c r="Q425" s="34">
        <v>3227.9718216190136</v>
      </c>
      <c r="R425" s="13">
        <v>4697.085432585442</v>
      </c>
      <c r="S425" s="56">
        <v>-0.3536810814835737</v>
      </c>
      <c r="T425" s="52">
        <v>261952.96547923854</v>
      </c>
      <c r="U425" s="50">
        <v>138060.35481064522</v>
      </c>
      <c r="V425" s="50">
        <v>-157353.43679070077</v>
      </c>
    </row>
    <row r="426">
      <c r="A426" s="54">
        <v>45230.95996487269</v>
      </c>
      <c r="B426" s="47">
        <v>2.5901771851540656</v>
      </c>
      <c r="C426" s="7">
        <v>0.07199544118166001</v>
      </c>
      <c r="D426" s="48">
        <v>-0.5333014080803485</v>
      </c>
      <c r="E426" s="49">
        <v>37.67</v>
      </c>
      <c r="F426" s="7">
        <v>0.03664686467631029</v>
      </c>
      <c r="G426" s="48">
        <v>-0.3197223586690392</v>
      </c>
      <c r="H426" s="50">
        <v>-52042.55</v>
      </c>
      <c r="I426" s="56">
        <v>-0.0180687521601846</v>
      </c>
      <c r="J426" s="56">
        <v>-0.42569520490698726</v>
      </c>
      <c r="K426" s="50">
        <v>174295.6301383377</v>
      </c>
      <c r="L426" s="56">
        <v>0.06051403214432854</v>
      </c>
      <c r="M426" s="56">
        <v>1.4256952049069873</v>
      </c>
      <c r="N426" s="51">
        <v>0.03534857650534973</v>
      </c>
      <c r="O426" s="7">
        <v>-0.21357904941130934</v>
      </c>
      <c r="P426" s="52">
        <v>55.374449653083964</v>
      </c>
      <c r="Q426" s="34">
        <v>3245.3697939564026</v>
      </c>
      <c r="R426" s="13">
        <v>4697.085432585442</v>
      </c>
      <c r="S426" s="56">
        <v>-0.35019758184761957</v>
      </c>
      <c r="T426" s="52">
        <v>261952.96547923854</v>
      </c>
      <c r="U426" s="50">
        <v>122253.0801383377</v>
      </c>
      <c r="V426" s="50">
        <v>-173160.7114630083</v>
      </c>
    </row>
    <row r="427">
      <c r="A427" s="54">
        <v>45229.95996291666</v>
      </c>
      <c r="B427" s="47">
        <v>2.190602486595852</v>
      </c>
      <c r="C427" s="7">
        <v>0.0329582378397284</v>
      </c>
      <c r="D427" s="48">
        <v>-0.6052968492620086</v>
      </c>
      <c r="E427" s="49">
        <v>34.96</v>
      </c>
      <c r="F427" s="7">
        <v>0.027823448745284196</v>
      </c>
      <c r="G427" s="48">
        <v>-0.3563692233453495</v>
      </c>
      <c r="H427" s="50">
        <v>-52042.55</v>
      </c>
      <c r="I427" s="56">
        <v>-0.014710288546076082</v>
      </c>
      <c r="J427" s="56">
        <v>-0.47434670651555005</v>
      </c>
      <c r="K427" s="50">
        <v>161756.70904264098</v>
      </c>
      <c r="L427" s="56">
        <v>0.04572196912489728</v>
      </c>
      <c r="M427" s="56">
        <v>1.47434670651555</v>
      </c>
      <c r="N427" s="51">
        <v>0.005134789094444203</v>
      </c>
      <c r="O427" s="7">
        <v>-0.24892762591665907</v>
      </c>
      <c r="P427" s="52">
        <v>54.3168556695018</v>
      </c>
      <c r="Q427" s="34">
        <v>3138.2768604874423</v>
      </c>
      <c r="R427" s="13">
        <v>5083.354199888731</v>
      </c>
      <c r="S427" s="56">
        <v>-0.3716402067419392</v>
      </c>
      <c r="T427" s="52">
        <v>277966.2610686139</v>
      </c>
      <c r="U427" s="50">
        <v>109714.15904264098</v>
      </c>
      <c r="V427" s="50">
        <v>-185699.632558705</v>
      </c>
    </row>
    <row r="428">
      <c r="A428" s="54">
        <v>45228.95996179398</v>
      </c>
      <c r="B428" s="47">
        <v>2.00768426658536</v>
      </c>
      <c r="C428" s="7">
        <v>0.017400869862165047</v>
      </c>
      <c r="D428" s="48">
        <v>-0.638255087101737</v>
      </c>
      <c r="E428" s="49">
        <v>32.98</v>
      </c>
      <c r="F428" s="7">
        <v>0.018858866015417197</v>
      </c>
      <c r="G428" s="48">
        <v>-0.3841926720906337</v>
      </c>
      <c r="H428" s="50">
        <v>-52042.55</v>
      </c>
      <c r="I428" s="56">
        <v>-0.008474153526653105</v>
      </c>
      <c r="J428" s="56">
        <v>-0.5175639875730119</v>
      </c>
      <c r="K428" s="50">
        <v>152595.4308989216</v>
      </c>
      <c r="L428" s="56">
        <v>0.024847304924590488</v>
      </c>
      <c r="M428" s="56">
        <v>1.517563987573012</v>
      </c>
      <c r="N428" s="51">
        <v>-0.0014579961532521502</v>
      </c>
      <c r="O428" s="7">
        <v>-0.25406241501110327</v>
      </c>
      <c r="P428" s="52">
        <v>53.555712160758745</v>
      </c>
      <c r="Q428" s="34">
        <v>3048.90481803886</v>
      </c>
      <c r="R428" s="13">
        <v>5290.617544993127</v>
      </c>
      <c r="S428" s="56">
        <v>-0.3895346757810154</v>
      </c>
      <c r="T428" s="52">
        <v>277966.2610686139</v>
      </c>
      <c r="U428" s="50">
        <v>100552.88089892159</v>
      </c>
      <c r="V428" s="50">
        <v>-194860.91070242441</v>
      </c>
    </row>
    <row r="429">
      <c r="A429" s="54">
        <v>45227.95997092593</v>
      </c>
      <c r="B429" s="47">
        <v>1.9111094388503438</v>
      </c>
      <c r="C429" s="7">
        <v>-7.952462641647173E-5</v>
      </c>
      <c r="D429" s="48">
        <v>-0.655655956963902</v>
      </c>
      <c r="E429" s="49">
        <v>31.97</v>
      </c>
      <c r="F429" s="7">
        <v>-3.7344289139440434E-4</v>
      </c>
      <c r="G429" s="48">
        <v>-0.4030515381060509</v>
      </c>
      <c r="H429" s="50">
        <v>-52118.310000000005</v>
      </c>
      <c r="I429" s="56">
        <v>4.0744465149053845E-5</v>
      </c>
      <c r="J429" s="56">
        <v>-0.5445097554583351</v>
      </c>
      <c r="K429" s="50">
        <v>147834.33616399404</v>
      </c>
      <c r="L429" s="56">
        <v>-1.1557226160378888E-4</v>
      </c>
      <c r="M429" s="56">
        <v>1.5445097554583351</v>
      </c>
      <c r="N429" s="51">
        <v>2.939182649779326E-4</v>
      </c>
      <c r="O429" s="7">
        <v>-0.2526044188578511</v>
      </c>
      <c r="P429" s="52">
        <v>53.555712160758745</v>
      </c>
      <c r="Q429" s="34">
        <v>2993.9326294649372</v>
      </c>
      <c r="R429" s="13">
        <v>5290.617544993127</v>
      </c>
      <c r="S429" s="56">
        <v>-0.4005414526151944</v>
      </c>
      <c r="T429" s="52">
        <v>277966.2610686139</v>
      </c>
      <c r="U429" s="50">
        <v>95716.02616399404</v>
      </c>
      <c r="V429" s="50">
        <v>-199697.76543735195</v>
      </c>
    </row>
    <row r="430">
      <c r="A430" s="54">
        <v>45226.95998056713</v>
      </c>
      <c r="B430" s="47">
        <v>1.9115508005269555</v>
      </c>
      <c r="C430" s="7">
        <v>-0.004489497022475808</v>
      </c>
      <c r="D430" s="48">
        <v>-0.6555764323374855</v>
      </c>
      <c r="E430" s="49">
        <v>31.99</v>
      </c>
      <c r="F430" s="7">
        <v>-0.005041479033824348</v>
      </c>
      <c r="G430" s="48">
        <v>-0.4026780952146565</v>
      </c>
      <c r="H430" s="50">
        <v>-52118.30999999999</v>
      </c>
      <c r="I430" s="56">
        <v>0.0022996639903680016</v>
      </c>
      <c r="J430" s="56">
        <v>-0.5443840325434461</v>
      </c>
      <c r="K430" s="50">
        <v>147856.4413270619</v>
      </c>
      <c r="L430" s="56">
        <v>-0.006524005361336611</v>
      </c>
      <c r="M430" s="56">
        <v>1.5443840325434461</v>
      </c>
      <c r="N430" s="51">
        <v>5.519820113485396E-4</v>
      </c>
      <c r="O430" s="7">
        <v>-0.25289833712282905</v>
      </c>
      <c r="P430" s="52">
        <v>53.555712160758745</v>
      </c>
      <c r="Q430" s="34">
        <v>2992.7518389203474</v>
      </c>
      <c r="R430" s="13">
        <v>5290.617544993127</v>
      </c>
      <c r="S430" s="56">
        <v>-0.40077787576568863</v>
      </c>
      <c r="T430" s="52">
        <v>277966.2610686139</v>
      </c>
      <c r="U430" s="50">
        <v>95738.13132706191</v>
      </c>
      <c r="V430" s="50">
        <v>-199675.66027428408</v>
      </c>
    </row>
    <row r="431">
      <c r="A431" s="54">
        <v>45225.95996528935</v>
      </c>
      <c r="B431" s="47">
        <v>1.936467509001696</v>
      </c>
      <c r="C431" s="7">
        <v>0.0034130978540254375</v>
      </c>
      <c r="D431" s="48">
        <v>-0.6510869353150097</v>
      </c>
      <c r="E431" s="49">
        <v>32.26</v>
      </c>
      <c r="F431" s="7">
        <v>0.0035477074682467302</v>
      </c>
      <c r="G431" s="48">
        <v>-0.3976366161808321</v>
      </c>
      <c r="H431" s="50">
        <v>-52118.30999999999</v>
      </c>
      <c r="I431" s="56">
        <v>-0.0017258023905659778</v>
      </c>
      <c r="J431" s="56">
        <v>-0.5373793923033516</v>
      </c>
      <c r="K431" s="50">
        <v>149104.37002847818</v>
      </c>
      <c r="L431" s="56">
        <v>0.004937318156305948</v>
      </c>
      <c r="M431" s="56">
        <v>1.5373793923033516</v>
      </c>
      <c r="N431" s="51">
        <v>-1.346096142212927E-4</v>
      </c>
      <c r="O431" s="7">
        <v>-0.2534503191341776</v>
      </c>
      <c r="P431" s="52">
        <v>53.555712160758745</v>
      </c>
      <c r="Q431" s="34">
        <v>3006.387477634166</v>
      </c>
      <c r="R431" s="13">
        <v>5290.617544993127</v>
      </c>
      <c r="S431" s="56">
        <v>-0.39804768735209345</v>
      </c>
      <c r="T431" s="52">
        <v>277966.2610686139</v>
      </c>
      <c r="U431" s="50">
        <v>96986.06002847818</v>
      </c>
      <c r="V431" s="50">
        <v>-198427.7315728678</v>
      </c>
    </row>
    <row r="432">
      <c r="A432" s="54">
        <v>45224.95996849537</v>
      </c>
      <c r="B432" s="47">
        <v>1.9175248159118552</v>
      </c>
      <c r="C432" s="7">
        <v>0.04638280285120011</v>
      </c>
      <c r="D432" s="48">
        <v>-0.6545000331690352</v>
      </c>
      <c r="E432" s="49">
        <v>32.07</v>
      </c>
      <c r="F432" s="7">
        <v>0.03657040250077359</v>
      </c>
      <c r="G432" s="48">
        <v>-0.40118432364907886</v>
      </c>
      <c r="H432" s="50">
        <v>-52118.31</v>
      </c>
      <c r="I432" s="56">
        <v>-0.023607768863417335</v>
      </c>
      <c r="J432" s="56">
        <v>-0.5426880135095743</v>
      </c>
      <c r="K432" s="50">
        <v>148155.64397933343</v>
      </c>
      <c r="L432" s="56">
        <v>0.06710931722219794</v>
      </c>
      <c r="M432" s="56">
        <v>1.5426880135095742</v>
      </c>
      <c r="N432" s="51">
        <v>0.00981240035042652</v>
      </c>
      <c r="O432" s="7">
        <v>-0.2533157095199563</v>
      </c>
      <c r="P432" s="52">
        <v>53.555712160758745</v>
      </c>
      <c r="Q432" s="34">
        <v>2994.6159644319746</v>
      </c>
      <c r="R432" s="13">
        <v>5290.617544993127</v>
      </c>
      <c r="S432" s="56">
        <v>-0.40040463223965017</v>
      </c>
      <c r="T432" s="52">
        <v>277966.2610686139</v>
      </c>
      <c r="U432" s="50">
        <v>96037.33397933343</v>
      </c>
      <c r="V432" s="50">
        <v>-199376.45762201256</v>
      </c>
    </row>
    <row r="433">
      <c r="A433" s="54">
        <v>45223.959964953705</v>
      </c>
      <c r="B433" s="47">
        <v>1.660100260087694</v>
      </c>
      <c r="C433" s="7">
        <v>-0.001824059193408445</v>
      </c>
      <c r="D433" s="48">
        <v>-0.7008828360202353</v>
      </c>
      <c r="E433" s="49">
        <v>29.94</v>
      </c>
      <c r="F433" s="7">
        <v>-0.002065697398915045</v>
      </c>
      <c r="G433" s="48">
        <v>-0.43775472614985245</v>
      </c>
      <c r="H433" s="50">
        <v>-55306.92</v>
      </c>
      <c r="I433" s="56">
        <v>0.0011330099400814811</v>
      </c>
      <c r="J433" s="56">
        <v>-0.6598036071469355</v>
      </c>
      <c r="K433" s="50">
        <v>139130.226512605</v>
      </c>
      <c r="L433" s="56">
        <v>-0.00285020264380243</v>
      </c>
      <c r="M433" s="56">
        <v>1.6598036071469355</v>
      </c>
      <c r="N433" s="51">
        <v>2.416382055066002E-4</v>
      </c>
      <c r="O433" s="7">
        <v>-0.2631281098703828</v>
      </c>
      <c r="P433" s="52">
        <v>53.25078109590257</v>
      </c>
      <c r="Q433" s="34">
        <v>2799.7096363595524</v>
      </c>
      <c r="R433" s="13">
        <v>5363.531182865308</v>
      </c>
      <c r="S433" s="56">
        <v>-0.4469436346711429</v>
      </c>
      <c r="T433" s="52">
        <v>280235.69559610984</v>
      </c>
      <c r="U433" s="50">
        <v>83823.306512605</v>
      </c>
      <c r="V433" s="50">
        <v>-213852.36830574105</v>
      </c>
    </row>
    <row r="434">
      <c r="A434" s="54">
        <v>45222.96000824074</v>
      </c>
      <c r="B434" s="47">
        <v>1.6702237886111109</v>
      </c>
      <c r="C434" s="7">
        <v>0.020126344975699206</v>
      </c>
      <c r="D434" s="48">
        <v>-0.6990587768268268</v>
      </c>
      <c r="E434" s="49">
        <v>30.05</v>
      </c>
      <c r="F434" s="7">
        <v>0.022534880715436745</v>
      </c>
      <c r="G434" s="48">
        <v>-0.4356890287509374</v>
      </c>
      <c r="H434" s="50">
        <v>-55306.920000000006</v>
      </c>
      <c r="I434" s="56">
        <v>-0.012425656894261294</v>
      </c>
      <c r="J434" s="56">
        <v>-0.6558044181266668</v>
      </c>
      <c r="K434" s="50">
        <v>139641.3930094783</v>
      </c>
      <c r="L434" s="56">
        <v>0.03137285601462665</v>
      </c>
      <c r="M434" s="56">
        <v>1.655804418126667</v>
      </c>
      <c r="N434" s="51">
        <v>-0.0024085357397375384</v>
      </c>
      <c r="O434" s="7">
        <v>-0.2633697480758894</v>
      </c>
      <c r="P434" s="52">
        <v>53.25078109590257</v>
      </c>
      <c r="Q434" s="34">
        <v>2806.4716475699934</v>
      </c>
      <c r="R434" s="13">
        <v>5363.531182865308</v>
      </c>
      <c r="S434" s="56">
        <v>-0.44560786281330755</v>
      </c>
      <c r="T434" s="52">
        <v>280235.69559610984</v>
      </c>
      <c r="U434" s="50">
        <v>84334.4730094783</v>
      </c>
      <c r="V434" s="50">
        <v>-213341.20180886774</v>
      </c>
    </row>
    <row r="435">
      <c r="A435" s="54">
        <v>45221.95997015046</v>
      </c>
      <c r="B435" s="47">
        <v>1.5585225739959807</v>
      </c>
      <c r="C435" s="7">
        <v>-0.01316625118041459</v>
      </c>
      <c r="D435" s="48">
        <v>-0.719185121802526</v>
      </c>
      <c r="E435" s="49">
        <v>28.85</v>
      </c>
      <c r="F435" s="7">
        <v>-0.021783718024922183</v>
      </c>
      <c r="G435" s="48">
        <v>-0.45822390946637415</v>
      </c>
      <c r="H435" s="50">
        <v>-55306.92</v>
      </c>
      <c r="I435" s="56">
        <v>0.008711203292826384</v>
      </c>
      <c r="J435" s="56">
        <v>-0.7028067209979668</v>
      </c>
      <c r="K435" s="50">
        <v>134001.272725406</v>
      </c>
      <c r="L435" s="56">
        <v>-0.021106080906484814</v>
      </c>
      <c r="M435" s="56">
        <v>1.702806720997967</v>
      </c>
      <c r="N435" s="51">
        <v>0.008617466844507593</v>
      </c>
      <c r="O435" s="7">
        <v>-0.2609612123361519</v>
      </c>
      <c r="P435" s="52">
        <v>53.25078109590257</v>
      </c>
      <c r="Q435" s="34">
        <v>2727.7072001873826</v>
      </c>
      <c r="R435" s="13">
        <v>5363.531182865308</v>
      </c>
      <c r="S435" s="56">
        <v>-0.46116704024400895</v>
      </c>
      <c r="T435" s="52">
        <v>280235.69559610984</v>
      </c>
      <c r="U435" s="50">
        <v>78694.35272540599</v>
      </c>
      <c r="V435" s="50">
        <v>-218981.32209294004</v>
      </c>
    </row>
    <row r="436">
      <c r="A436" s="54">
        <v>45220.95996315972</v>
      </c>
      <c r="B436" s="47">
        <v>1.6315952680472814</v>
      </c>
      <c r="C436" s="7">
        <v>0.050918577402144005</v>
      </c>
      <c r="D436" s="48">
        <v>-0.7060188706221114</v>
      </c>
      <c r="E436" s="49">
        <v>30.01</v>
      </c>
      <c r="F436" s="7">
        <v>0.05840289918750696</v>
      </c>
      <c r="G436" s="48">
        <v>-0.43644019144145196</v>
      </c>
      <c r="H436" s="50">
        <v>-55306.92</v>
      </c>
      <c r="I436" s="56">
        <v>-0.032180510872918094</v>
      </c>
      <c r="J436" s="56">
        <v>-0.6713307897382826</v>
      </c>
      <c r="K436" s="50">
        <v>137690.92628334256</v>
      </c>
      <c r="L436" s="56">
        <v>0.08011591226492579</v>
      </c>
      <c r="M436" s="56">
        <v>1.6713307897382825</v>
      </c>
      <c r="N436" s="51">
        <v>-0.007484321785362957</v>
      </c>
      <c r="O436" s="7">
        <v>-0.2695786791806595</v>
      </c>
      <c r="P436" s="52">
        <v>53.25078109590257</v>
      </c>
      <c r="Q436" s="34">
        <v>2745.218469954767</v>
      </c>
      <c r="R436" s="13">
        <v>5363.531182865308</v>
      </c>
      <c r="S436" s="56">
        <v>-0.45770785323258883</v>
      </c>
      <c r="T436" s="52">
        <v>280235.69559610984</v>
      </c>
      <c r="U436" s="50">
        <v>82384.00628334256</v>
      </c>
      <c r="V436" s="50">
        <v>-215291.6685350035</v>
      </c>
    </row>
    <row r="437">
      <c r="A437" s="54">
        <v>45219.95998072917</v>
      </c>
      <c r="B437" s="47">
        <v>1.3489971634653823</v>
      </c>
      <c r="C437" s="7">
        <v>0.03398017503824868</v>
      </c>
      <c r="D437" s="48">
        <v>-0.7569374480242554</v>
      </c>
      <c r="E437" s="49">
        <v>26.9</v>
      </c>
      <c r="F437" s="7">
        <v>0.03774592519835662</v>
      </c>
      <c r="G437" s="48">
        <v>-0.4948430906289589</v>
      </c>
      <c r="H437" s="50">
        <v>-55306.92</v>
      </c>
      <c r="I437" s="56">
        <v>-0.025974290001614546</v>
      </c>
      <c r="J437" s="56">
        <v>-0.8119662290598543</v>
      </c>
      <c r="K437" s="50">
        <v>123421.72332628838</v>
      </c>
      <c r="L437" s="56">
        <v>0.05796366230800864</v>
      </c>
      <c r="M437" s="56">
        <v>1.8119662290598544</v>
      </c>
      <c r="N437" s="51">
        <v>-0.003765750160107939</v>
      </c>
      <c r="O437" s="7">
        <v>-0.2620943573952965</v>
      </c>
      <c r="P437" s="52">
        <v>53.25078109590257</v>
      </c>
      <c r="Q437" s="34">
        <v>2532.148822538602</v>
      </c>
      <c r="R437" s="13">
        <v>5363.531182865308</v>
      </c>
      <c r="S437" s="56">
        <v>-0.49979776256872677</v>
      </c>
      <c r="T437" s="52">
        <v>280235.69559610984</v>
      </c>
      <c r="U437" s="50">
        <v>68114.80332628838</v>
      </c>
      <c r="V437" s="50">
        <v>-229560.87149205766</v>
      </c>
    </row>
    <row r="438">
      <c r="A438" s="54">
        <v>45218.959970104166</v>
      </c>
      <c r="B438" s="47">
        <v>1.1604071920031023</v>
      </c>
      <c r="C438" s="7">
        <v>0.018912072374676292</v>
      </c>
      <c r="D438" s="48">
        <v>-0.7909176230625041</v>
      </c>
      <c r="E438" s="49">
        <v>24.89</v>
      </c>
      <c r="F438" s="7">
        <v>0.02535174080486635</v>
      </c>
      <c r="G438" s="48">
        <v>-0.5325890158273155</v>
      </c>
      <c r="H438" s="50">
        <v>-55607.16000000001</v>
      </c>
      <c r="I438" s="56">
        <v>-0.016896978862690204</v>
      </c>
      <c r="J438" s="56">
        <v>-0.9490516155182335</v>
      </c>
      <c r="K438" s="50">
        <v>114199.50533796722</v>
      </c>
      <c r="L438" s="56">
        <v>0.03470104619306774</v>
      </c>
      <c r="M438" s="56">
        <v>1.9490516155182334</v>
      </c>
      <c r="N438" s="51">
        <v>-0.00643966843019006</v>
      </c>
      <c r="O438" s="7">
        <v>-0.2583286072351886</v>
      </c>
      <c r="P438" s="52">
        <v>53.25078109590257</v>
      </c>
      <c r="Q438" s="34">
        <v>2354.051640737935</v>
      </c>
      <c r="R438" s="13">
        <v>5363.531182865308</v>
      </c>
      <c r="S438" s="56">
        <v>-0.5349791895148674</v>
      </c>
      <c r="T438" s="52">
        <v>280235.69559610984</v>
      </c>
      <c r="U438" s="50">
        <v>58592.34533796721</v>
      </c>
      <c r="V438" s="50">
        <v>-239083.32948037883</v>
      </c>
    </row>
    <row r="439">
      <c r="A439" s="54">
        <v>45217.95997892361</v>
      </c>
      <c r="B439" s="47">
        <v>1.0554451903236488</v>
      </c>
      <c r="C439" s="7">
        <v>-0.008892054813359196</v>
      </c>
      <c r="D439" s="48">
        <v>-0.8098296954371804</v>
      </c>
      <c r="E439" s="49">
        <v>23.54</v>
      </c>
      <c r="F439" s="7">
        <v>-0.010516277667203866</v>
      </c>
      <c r="G439" s="48">
        <v>-0.5579407566321819</v>
      </c>
      <c r="H439" s="50">
        <v>-54648.52999999999</v>
      </c>
      <c r="I439" s="56">
        <v>0.008584096013503325</v>
      </c>
      <c r="J439" s="56">
        <v>-1.0254448979916369</v>
      </c>
      <c r="K439" s="50">
        <v>107941.03758088581</v>
      </c>
      <c r="L439" s="56">
        <v>-0.01695519038465435</v>
      </c>
      <c r="M439" s="56">
        <v>2.025444897991637</v>
      </c>
      <c r="N439" s="51">
        <v>0.0016242228538446701</v>
      </c>
      <c r="O439" s="7">
        <v>-0.2518889388049985</v>
      </c>
      <c r="P439" s="52">
        <v>53.25078109590257</v>
      </c>
      <c r="Q439" s="34">
        <v>2263.9128114225073</v>
      </c>
      <c r="R439" s="13">
        <v>5363.531182865308</v>
      </c>
      <c r="S439" s="56">
        <v>-0.5527852693557079</v>
      </c>
      <c r="T439" s="52">
        <v>280235.69559610984</v>
      </c>
      <c r="U439" s="50">
        <v>53292.50758088582</v>
      </c>
      <c r="V439" s="50">
        <v>-244383.16723746023</v>
      </c>
    </row>
    <row r="440">
      <c r="A440" s="54">
        <v>45216.96001106482</v>
      </c>
      <c r="B440" s="47">
        <v>1.1047960945377922</v>
      </c>
      <c r="C440" s="7">
        <v>0.002805129813569174</v>
      </c>
      <c r="D440" s="48">
        <v>-0.8009376406238212</v>
      </c>
      <c r="E440" s="49">
        <v>24.1</v>
      </c>
      <c r="F440" s="7">
        <v>0.0030046507620582474</v>
      </c>
      <c r="G440" s="48">
        <v>-0.547424478964978</v>
      </c>
      <c r="H440" s="50">
        <v>-54724.5</v>
      </c>
      <c r="I440" s="56">
        <v>-0.0025906113993398815</v>
      </c>
      <c r="J440" s="56">
        <v>-0.9810004382840364</v>
      </c>
      <c r="K440" s="50">
        <v>110508.87874678626</v>
      </c>
      <c r="L440" s="56">
        <v>0.005231396559305123</v>
      </c>
      <c r="M440" s="56">
        <v>1.9810004382840363</v>
      </c>
      <c r="N440" s="51">
        <v>-1.9952094848907365E-4</v>
      </c>
      <c r="O440" s="7">
        <v>-0.2535131616588432</v>
      </c>
      <c r="P440" s="52">
        <v>53.25078109590257</v>
      </c>
      <c r="Q440" s="34">
        <v>2314.7045123147823</v>
      </c>
      <c r="R440" s="13">
        <v>5363.531182865308</v>
      </c>
      <c r="S440" s="56">
        <v>-0.5427518454893393</v>
      </c>
      <c r="T440" s="52">
        <v>280235.69559610984</v>
      </c>
      <c r="U440" s="50">
        <v>55784.37874678626</v>
      </c>
      <c r="V440" s="50">
        <v>-241891.29607155977</v>
      </c>
    </row>
    <row r="441">
      <c r="A441" s="54">
        <v>45215.95997142361</v>
      </c>
      <c r="B441" s="47">
        <v>1.0892276240724832</v>
      </c>
      <c r="C441" s="7">
        <v>0.03174820854945637</v>
      </c>
      <c r="D441" s="48">
        <v>-0.8037427704373904</v>
      </c>
      <c r="E441" s="49">
        <v>23.94</v>
      </c>
      <c r="F441" s="7">
        <v>0.03755813452572798</v>
      </c>
      <c r="G441" s="48">
        <v>-0.5504291297270363</v>
      </c>
      <c r="H441" s="50">
        <v>-54724.49999999999</v>
      </c>
      <c r="I441" s="56">
        <v>-0.02973938724380511</v>
      </c>
      <c r="J441" s="56">
        <v>-0.9950220036688523</v>
      </c>
      <c r="K441" s="50">
        <v>109722.7812422433</v>
      </c>
      <c r="L441" s="56">
        <v>0.059627557690438274</v>
      </c>
      <c r="M441" s="56">
        <v>1.9950220036688522</v>
      </c>
      <c r="N441" s="51">
        <v>-0.005809925976271613</v>
      </c>
      <c r="O441" s="7">
        <v>-0.2533136407103541</v>
      </c>
      <c r="P441" s="52">
        <v>53.25078109590257</v>
      </c>
      <c r="Q441" s="34">
        <v>2297.338397754524</v>
      </c>
      <c r="R441" s="13">
        <v>5363.531182865308</v>
      </c>
      <c r="S441" s="56">
        <v>-0.5461823584517727</v>
      </c>
      <c r="T441" s="52">
        <v>280235.69559610984</v>
      </c>
      <c r="U441" s="50">
        <v>54998.28124224331</v>
      </c>
      <c r="V441" s="50">
        <v>-242677.39357610274</v>
      </c>
    </row>
    <row r="442">
      <c r="A442" s="54">
        <v>45214.95996457176</v>
      </c>
      <c r="B442" s="47">
        <v>0.9130250666230005</v>
      </c>
      <c r="C442" s="7">
        <v>3.3492916144850504E-4</v>
      </c>
      <c r="D442" s="48">
        <v>-0.8354909789868468</v>
      </c>
      <c r="E442" s="49">
        <v>21.94</v>
      </c>
      <c r="F442" s="7">
        <v>1.8779067262864046E-4</v>
      </c>
      <c r="G442" s="48">
        <v>-0.5879872642527643</v>
      </c>
      <c r="H442" s="50">
        <v>-54454.99999999999</v>
      </c>
      <c r="I442" s="56">
        <v>-3.7244115069446287E-4</v>
      </c>
      <c r="J442" s="56">
        <v>-1.1812031347541068</v>
      </c>
      <c r="K442" s="50">
        <v>100556.29993545605</v>
      </c>
      <c r="L442" s="56">
        <v>6.877477560837168E-4</v>
      </c>
      <c r="M442" s="56">
        <v>2.181203134754107</v>
      </c>
      <c r="N442" s="51">
        <v>1.4713848881986458E-4</v>
      </c>
      <c r="O442" s="7">
        <v>-0.2475037147340825</v>
      </c>
      <c r="P442" s="52">
        <v>53.25078109590257</v>
      </c>
      <c r="Q442" s="34">
        <v>2101.2442997017342</v>
      </c>
      <c r="R442" s="13">
        <v>5363.531182865308</v>
      </c>
      <c r="S442" s="56">
        <v>-0.5849189073149379</v>
      </c>
      <c r="T442" s="52">
        <v>280235.69559610984</v>
      </c>
      <c r="U442" s="50">
        <v>46101.29993545605</v>
      </c>
      <c r="V442" s="50">
        <v>-251574.37488289</v>
      </c>
    </row>
    <row r="443">
      <c r="A443" s="54">
        <v>45213.95996925926</v>
      </c>
      <c r="B443" s="47">
        <v>0.9111662097769612</v>
      </c>
      <c r="C443" s="7">
        <v>-0.001961656159604752</v>
      </c>
      <c r="D443" s="48">
        <v>-0.8358259081482953</v>
      </c>
      <c r="E443" s="49">
        <v>21.93</v>
      </c>
      <c r="F443" s="7">
        <v>-0.0022534880715436856</v>
      </c>
      <c r="G443" s="48">
        <v>-0.5881750549253929</v>
      </c>
      <c r="H443" s="50">
        <v>-54455.0</v>
      </c>
      <c r="I443" s="56">
        <v>0.0021858113625063858</v>
      </c>
      <c r="J443" s="56">
        <v>-1.183612889977732</v>
      </c>
      <c r="K443" s="50">
        <v>100462.4408289221</v>
      </c>
      <c r="L443" s="56">
        <v>-0.004032539613790898</v>
      </c>
      <c r="M443" s="56">
        <v>2.183612889977732</v>
      </c>
      <c r="N443" s="51">
        <v>2.9183191193893343E-4</v>
      </c>
      <c r="O443" s="7">
        <v>-0.24765085322290237</v>
      </c>
      <c r="P443" s="52">
        <v>53.25078109590257</v>
      </c>
      <c r="Q443" s="34">
        <v>2097.9225184187007</v>
      </c>
      <c r="R443" s="13">
        <v>5363.531182865308</v>
      </c>
      <c r="S443" s="56">
        <v>-0.5855750940347867</v>
      </c>
      <c r="T443" s="52">
        <v>280235.69559610984</v>
      </c>
      <c r="U443" s="50">
        <v>46007.4408289221</v>
      </c>
      <c r="V443" s="50">
        <v>-251668.23398942396</v>
      </c>
    </row>
    <row r="444">
      <c r="A444" s="54">
        <v>45212.9599683912</v>
      </c>
      <c r="B444" s="47">
        <v>0.9220534014627676</v>
      </c>
      <c r="C444" s="7">
        <v>0.014389514628943667</v>
      </c>
      <c r="D444" s="48">
        <v>-0.8338642519886905</v>
      </c>
      <c r="E444" s="49">
        <v>22.05</v>
      </c>
      <c r="F444" s="7">
        <v>0.01633778851869161</v>
      </c>
      <c r="G444" s="48">
        <v>-0.5859215668538492</v>
      </c>
      <c r="H444" s="50">
        <v>-54455.00000000001</v>
      </c>
      <c r="I444" s="56">
        <v>-0.015844460984045555</v>
      </c>
      <c r="J444" s="56">
        <v>-1.1696373215404423</v>
      </c>
      <c r="K444" s="50">
        <v>101012.16690732935</v>
      </c>
      <c r="L444" s="56">
        <v>0.029390934486770312</v>
      </c>
      <c r="M444" s="56">
        <v>2.1696373215404425</v>
      </c>
      <c r="N444" s="51">
        <v>-0.0019482738897479424</v>
      </c>
      <c r="O444" s="7">
        <v>-0.2479426851348413</v>
      </c>
      <c r="P444" s="52">
        <v>53.25078109590257</v>
      </c>
      <c r="Q444" s="34">
        <v>2111.4361409219655</v>
      </c>
      <c r="R444" s="13">
        <v>5363.531182865308</v>
      </c>
      <c r="S444" s="56">
        <v>-0.5829056047252453</v>
      </c>
      <c r="T444" s="52">
        <v>280235.69559610984</v>
      </c>
      <c r="U444" s="50">
        <v>46557.16690732934</v>
      </c>
      <c r="V444" s="50">
        <v>-251118.5079110167</v>
      </c>
    </row>
    <row r="445">
      <c r="A445" s="54">
        <v>45211.95996944445</v>
      </c>
      <c r="B445" s="47">
        <v>0.8421915952721301</v>
      </c>
      <c r="C445" s="7">
        <v>-0.010457104580122611</v>
      </c>
      <c r="D445" s="48">
        <v>-0.8482537666176342</v>
      </c>
      <c r="E445" s="49">
        <v>21.18</v>
      </c>
      <c r="F445" s="7">
        <v>-0.012018603048232879</v>
      </c>
      <c r="G445" s="48">
        <v>-0.6022593553725408</v>
      </c>
      <c r="H445" s="50">
        <v>-54455.0</v>
      </c>
      <c r="I445" s="56">
        <v>0.012606308967104074</v>
      </c>
      <c r="J445" s="56">
        <v>-1.2805495529264805</v>
      </c>
      <c r="K445" s="50">
        <v>96979.7112659969</v>
      </c>
      <c r="L445" s="56">
        <v>-0.022450761247997445</v>
      </c>
      <c r="M445" s="56">
        <v>2.2805495529264808</v>
      </c>
      <c r="N445" s="51">
        <v>0.0015614984681102673</v>
      </c>
      <c r="O445" s="7">
        <v>-0.24599441124509336</v>
      </c>
      <c r="P445" s="52">
        <v>53.25078109590257</v>
      </c>
      <c r="Q445" s="34">
        <v>2007.776735882762</v>
      </c>
      <c r="R445" s="13">
        <v>5363.531182865308</v>
      </c>
      <c r="S445" s="56">
        <v>-0.6033825474190879</v>
      </c>
      <c r="T445" s="52">
        <v>280235.69559610984</v>
      </c>
      <c r="U445" s="50">
        <v>42524.7112659969</v>
      </c>
      <c r="V445" s="50">
        <v>-255150.96355234913</v>
      </c>
    </row>
    <row r="446">
      <c r="A446" s="54">
        <v>45210.95997440972</v>
      </c>
      <c r="B446" s="47">
        <v>0.9002285256918106</v>
      </c>
      <c r="C446" s="7">
        <v>-0.0037490035065647076</v>
      </c>
      <c r="D446" s="48">
        <v>-0.8377966620375116</v>
      </c>
      <c r="E446" s="49">
        <v>21.82</v>
      </c>
      <c r="F446" s="7">
        <v>-0.00450697614308726</v>
      </c>
      <c r="G446" s="48">
        <v>-0.590240752324308</v>
      </c>
      <c r="H446" s="50">
        <v>-54455.0</v>
      </c>
      <c r="I446" s="56">
        <v>0.004228150864160653</v>
      </c>
      <c r="J446" s="56">
        <v>-1.197993664970104</v>
      </c>
      <c r="K446" s="50">
        <v>99910.16524192883</v>
      </c>
      <c r="L446" s="56">
        <v>-0.007757510816382241</v>
      </c>
      <c r="M446" s="56">
        <v>2.1979936649701037</v>
      </c>
      <c r="N446" s="51">
        <v>7.579726365225525E-4</v>
      </c>
      <c r="O446" s="7">
        <v>-0.24755590971320363</v>
      </c>
      <c r="P446" s="52">
        <v>53.25078109590257</v>
      </c>
      <c r="Q446" s="34">
        <v>2083.188141243301</v>
      </c>
      <c r="R446" s="13">
        <v>5363.531182865308</v>
      </c>
      <c r="S446" s="56">
        <v>-0.5884857319738721</v>
      </c>
      <c r="T446" s="52">
        <v>280235.69559610984</v>
      </c>
      <c r="U446" s="50">
        <v>45455.16524192883</v>
      </c>
      <c r="V446" s="50">
        <v>-252220.50957641721</v>
      </c>
    </row>
    <row r="447">
      <c r="A447" s="54">
        <v>45209.959963483794</v>
      </c>
      <c r="B447" s="47">
        <v>0.9210354951532451</v>
      </c>
      <c r="C447" s="7">
        <v>-0.0019597692445246784</v>
      </c>
      <c r="D447" s="48">
        <v>-0.8340476585309469</v>
      </c>
      <c r="E447" s="49">
        <v>22.06</v>
      </c>
      <c r="F447" s="7">
        <v>-0.0022534880715436856</v>
      </c>
      <c r="G447" s="48">
        <v>-0.5857337761812207</v>
      </c>
      <c r="H447" s="50">
        <v>-54455.00000000001</v>
      </c>
      <c r="I447" s="56">
        <v>0.0021603094678495317</v>
      </c>
      <c r="J447" s="56">
        <v>-1.1709299766180308</v>
      </c>
      <c r="K447" s="50">
        <v>100960.76984738327</v>
      </c>
      <c r="L447" s="56">
        <v>-0.004005261353093006</v>
      </c>
      <c r="M447" s="56">
        <v>2.170929976618031</v>
      </c>
      <c r="N447" s="51">
        <v>2.937188270190072E-4</v>
      </c>
      <c r="O447" s="7">
        <v>-0.24831388234972618</v>
      </c>
      <c r="P447" s="52">
        <v>53.25078109590257</v>
      </c>
      <c r="Q447" s="34">
        <v>2108.1491317943455</v>
      </c>
      <c r="R447" s="13">
        <v>5363.531182865308</v>
      </c>
      <c r="S447" s="56">
        <v>-0.5835549225321048</v>
      </c>
      <c r="T447" s="52">
        <v>280235.69559610984</v>
      </c>
      <c r="U447" s="50">
        <v>46505.769847383264</v>
      </c>
      <c r="V447" s="50">
        <v>-251169.9049709628</v>
      </c>
    </row>
    <row r="448">
      <c r="A448" s="54">
        <v>45208.959969641204</v>
      </c>
      <c r="B448" s="47">
        <v>0.9319122144603568</v>
      </c>
      <c r="C448" s="7">
        <v>-0.019695716242141947</v>
      </c>
      <c r="D448" s="48">
        <v>-0.8320878892864222</v>
      </c>
      <c r="E448" s="49">
        <v>22.18</v>
      </c>
      <c r="F448" s="7">
        <v>-0.022910462060694137</v>
      </c>
      <c r="G448" s="48">
        <v>-0.583480288109677</v>
      </c>
      <c r="H448" s="50">
        <v>-54455.0</v>
      </c>
      <c r="I448" s="56">
        <v>0.021457749617932072</v>
      </c>
      <c r="J448" s="56">
        <v>-1.1572635856357725</v>
      </c>
      <c r="K448" s="50">
        <v>101509.96714483049</v>
      </c>
      <c r="L448" s="56">
        <v>-0.039999549329139364</v>
      </c>
      <c r="M448" s="56">
        <v>2.1572635856357727</v>
      </c>
      <c r="N448" s="51">
        <v>0.0032147458185521893</v>
      </c>
      <c r="O448" s="7">
        <v>-0.24860760117674519</v>
      </c>
      <c r="P448" s="52">
        <v>53.25078109590257</v>
      </c>
      <c r="Q448" s="34">
        <v>2121.504379839066</v>
      </c>
      <c r="R448" s="13">
        <v>5363.531182865308</v>
      </c>
      <c r="S448" s="56">
        <v>-0.5809167186106143</v>
      </c>
      <c r="T448" s="52">
        <v>280235.69559610984</v>
      </c>
      <c r="U448" s="50">
        <v>47054.96714483049</v>
      </c>
      <c r="V448" s="50">
        <v>-250620.70767351554</v>
      </c>
    </row>
    <row r="449">
      <c r="A449" s="54">
        <v>45207.95996504629</v>
      </c>
      <c r="B449" s="47">
        <v>1.0412234396042443</v>
      </c>
      <c r="C449" s="7">
        <v>0.0014689476856607486</v>
      </c>
      <c r="D449" s="48">
        <v>-0.8123921730442802</v>
      </c>
      <c r="E449" s="49">
        <v>23.4</v>
      </c>
      <c r="F449" s="7">
        <v>0.0016901160536577642</v>
      </c>
      <c r="G449" s="48">
        <v>-0.5605698260489829</v>
      </c>
      <c r="H449" s="50">
        <v>-54455.0</v>
      </c>
      <c r="I449" s="56">
        <v>-0.0014323521087946408</v>
      </c>
      <c r="J449" s="56">
        <v>-1.0357700660427673</v>
      </c>
      <c r="K449" s="50">
        <v>107029.40988621072</v>
      </c>
      <c r="L449" s="56">
        <v>0.0028152382876422723</v>
      </c>
      <c r="M449" s="56">
        <v>2.0357700660427676</v>
      </c>
      <c r="N449" s="51">
        <v>-2.2116836799701556E-4</v>
      </c>
      <c r="O449" s="7">
        <v>-0.2518223469952974</v>
      </c>
      <c r="P449" s="52">
        <v>53.25078109590257</v>
      </c>
      <c r="Q449" s="34">
        <v>2246.7696532568684</v>
      </c>
      <c r="R449" s="13">
        <v>5363.531182865308</v>
      </c>
      <c r="S449" s="56">
        <v>-0.5561717393746753</v>
      </c>
      <c r="T449" s="52">
        <v>280235.69559610984</v>
      </c>
      <c r="U449" s="50">
        <v>52574.40988621072</v>
      </c>
      <c r="V449" s="50">
        <v>-245101.26493213532</v>
      </c>
    </row>
    <row r="450">
      <c r="A450" s="54">
        <v>45206.95996755787</v>
      </c>
      <c r="B450" s="47">
        <v>1.0330707799488275</v>
      </c>
      <c r="C450" s="7">
        <v>-0.004853562901445119</v>
      </c>
      <c r="D450" s="48">
        <v>-0.813861120729941</v>
      </c>
      <c r="E450" s="49">
        <v>23.31</v>
      </c>
      <c r="F450" s="7">
        <v>-0.006009301524116495</v>
      </c>
      <c r="G450" s="48">
        <v>-0.5622599421026406</v>
      </c>
      <c r="H450" s="50">
        <v>-54455.0</v>
      </c>
      <c r="I450" s="56">
        <v>0.004769995652498094</v>
      </c>
      <c r="J450" s="56">
        <v>-1.0439440275888812</v>
      </c>
      <c r="K450" s="50">
        <v>106617.7583097253</v>
      </c>
      <c r="L450" s="56">
        <v>-0.009339201976246115</v>
      </c>
      <c r="M450" s="56">
        <v>2.043944027588881</v>
      </c>
      <c r="N450" s="51">
        <v>0.0011557386226713762</v>
      </c>
      <c r="O450" s="7">
        <v>-0.25160117862730036</v>
      </c>
      <c r="P450" s="52">
        <v>53.25078109590257</v>
      </c>
      <c r="Q450" s="34">
        <v>2237.7845692717847</v>
      </c>
      <c r="R450" s="13">
        <v>5363.531182865308</v>
      </c>
      <c r="S450" s="56">
        <v>-0.5579466583971446</v>
      </c>
      <c r="T450" s="52">
        <v>280235.69559610984</v>
      </c>
      <c r="U450" s="50">
        <v>52162.758309725294</v>
      </c>
      <c r="V450" s="50">
        <v>-245512.91650862075</v>
      </c>
    </row>
    <row r="451">
      <c r="A451" s="54">
        <v>45205.95996334491</v>
      </c>
      <c r="B451" s="47">
        <v>1.060008054051848</v>
      </c>
      <c r="C451" s="7">
        <v>0.014512348794072594</v>
      </c>
      <c r="D451" s="48">
        <v>-0.8090075578284959</v>
      </c>
      <c r="E451" s="49">
        <v>23.63</v>
      </c>
      <c r="F451" s="7">
        <v>0.016713369863949</v>
      </c>
      <c r="G451" s="48">
        <v>-0.5562506405785241</v>
      </c>
      <c r="H451" s="50">
        <v>-54455.0</v>
      </c>
      <c r="I451" s="56">
        <v>-0.01390003652300184</v>
      </c>
      <c r="J451" s="56">
        <v>-1.017414977821871</v>
      </c>
      <c r="K451" s="50">
        <v>107977.89988553125</v>
      </c>
      <c r="L451" s="56">
        <v>0.027562147683149768</v>
      </c>
      <c r="M451" s="56">
        <v>2.017414977821871</v>
      </c>
      <c r="N451" s="51">
        <v>-0.0022010210698764077</v>
      </c>
      <c r="O451" s="7">
        <v>-0.25275691724997174</v>
      </c>
      <c r="P451" s="52">
        <v>53.25078109590257</v>
      </c>
      <c r="Q451" s="34">
        <v>2265.0401982873996</v>
      </c>
      <c r="R451" s="13">
        <v>5363.531182865308</v>
      </c>
      <c r="S451" s="56">
        <v>-0.5525625646602925</v>
      </c>
      <c r="T451" s="52">
        <v>280235.69559610984</v>
      </c>
      <c r="U451" s="50">
        <v>53522.89988553125</v>
      </c>
      <c r="V451" s="50">
        <v>-244152.7749328148</v>
      </c>
    </row>
    <row r="452">
      <c r="A452" s="54">
        <v>45204.95997202546</v>
      </c>
      <c r="B452" s="47">
        <v>0.9794645182447451</v>
      </c>
      <c r="C452" s="7">
        <v>-0.0055440433595332905</v>
      </c>
      <c r="D452" s="48">
        <v>-0.8235199066225685</v>
      </c>
      <c r="E452" s="49">
        <v>22.74</v>
      </c>
      <c r="F452" s="7">
        <v>-0.006384882869373776</v>
      </c>
      <c r="G452" s="48">
        <v>-0.5729640104424731</v>
      </c>
      <c r="H452" s="50">
        <v>-54454.99999999999</v>
      </c>
      <c r="I452" s="56">
        <v>0.005746789755086999</v>
      </c>
      <c r="J452" s="56">
        <v>-1.1010792639398925</v>
      </c>
      <c r="K452" s="50">
        <v>103911.02172649094</v>
      </c>
      <c r="L452" s="56">
        <v>-0.010966023231997444</v>
      </c>
      <c r="M452" s="56">
        <v>2.1010792639398925</v>
      </c>
      <c r="N452" s="51">
        <v>8.408395098404853E-4</v>
      </c>
      <c r="O452" s="7">
        <v>-0.2505558961800953</v>
      </c>
      <c r="P452" s="52">
        <v>53.25078109590257</v>
      </c>
      <c r="Q452" s="34">
        <v>2174.8470416222935</v>
      </c>
      <c r="R452" s="13">
        <v>5363.531182865308</v>
      </c>
      <c r="S452" s="56">
        <v>-0.5703793763592375</v>
      </c>
      <c r="T452" s="52">
        <v>280235.69559610984</v>
      </c>
      <c r="U452" s="50">
        <v>49456.02172649095</v>
      </c>
      <c r="V452" s="50">
        <v>-248219.65309185509</v>
      </c>
    </row>
    <row r="453">
      <c r="A453" s="54">
        <v>45203.9599794213</v>
      </c>
      <c r="B453" s="47">
        <v>1.0102339588901548</v>
      </c>
      <c r="C453" s="7">
        <v>-0.005682343810105239</v>
      </c>
      <c r="D453" s="48">
        <v>-0.8179758632630352</v>
      </c>
      <c r="E453" s="49">
        <v>23.08</v>
      </c>
      <c r="F453" s="7">
        <v>-0.008638370940917461</v>
      </c>
      <c r="G453" s="48">
        <v>-0.5665791275730994</v>
      </c>
      <c r="H453" s="50">
        <v>-54455.0</v>
      </c>
      <c r="I453" s="56">
        <v>0.0057107472941558875</v>
      </c>
      <c r="J453" s="56">
        <v>-1.067542880848089</v>
      </c>
      <c r="K453" s="50">
        <v>105464.66057376475</v>
      </c>
      <c r="L453" s="56">
        <v>-0.011060178587837593</v>
      </c>
      <c r="M453" s="56">
        <v>2.067542880848089</v>
      </c>
      <c r="N453" s="51">
        <v>0.002956027130812222</v>
      </c>
      <c r="O453" s="7">
        <v>-0.2513967356899358</v>
      </c>
      <c r="P453" s="52">
        <v>53.25078109590257</v>
      </c>
      <c r="Q453" s="34">
        <v>2210.1239416709163</v>
      </c>
      <c r="R453" s="13">
        <v>5363.531182865308</v>
      </c>
      <c r="S453" s="56">
        <v>-0.5634107558038824</v>
      </c>
      <c r="T453" s="52">
        <v>280235.69559610984</v>
      </c>
      <c r="U453" s="50">
        <v>51009.66057376475</v>
      </c>
      <c r="V453" s="50">
        <v>-246666.01424458128</v>
      </c>
    </row>
    <row r="454">
      <c r="A454" s="54">
        <v>45202.95995738426</v>
      </c>
      <c r="B454" s="47">
        <v>1.0417709670362385</v>
      </c>
      <c r="C454" s="7">
        <v>0.006518496184691025</v>
      </c>
      <c r="D454" s="48">
        <v>-0.8122935194529299</v>
      </c>
      <c r="E454" s="49">
        <v>23.54</v>
      </c>
      <c r="F454" s="7">
        <v>0.007511626905145619</v>
      </c>
      <c r="G454" s="48">
        <v>-0.5579407566321819</v>
      </c>
      <c r="H454" s="50">
        <v>-54900.14</v>
      </c>
      <c r="I454" s="56">
        <v>-0.0064046920656865396</v>
      </c>
      <c r="J454" s="56">
        <v>-1.0436880993720632</v>
      </c>
      <c r="K454" s="50">
        <v>107502.19614400582</v>
      </c>
      <c r="L454" s="56">
        <v>0.012541287921804796</v>
      </c>
      <c r="M454" s="56">
        <v>2.0436880993720634</v>
      </c>
      <c r="N454" s="51">
        <v>-9.931307204545936E-4</v>
      </c>
      <c r="O454" s="7">
        <v>-0.25435276282074804</v>
      </c>
      <c r="P454" s="52">
        <v>53.25078109590257</v>
      </c>
      <c r="Q454" s="34">
        <v>2234.5818242993128</v>
      </c>
      <c r="R454" s="13">
        <v>5363.531182865308</v>
      </c>
      <c r="S454" s="56">
        <v>-0.5585793306109152</v>
      </c>
      <c r="T454" s="52">
        <v>280235.69559610984</v>
      </c>
      <c r="U454" s="50">
        <v>52602.05614400582</v>
      </c>
      <c r="V454" s="50">
        <v>-245073.61867434022</v>
      </c>
    </row>
    <row r="455">
      <c r="A455" s="54">
        <v>45201.95996425926</v>
      </c>
      <c r="B455" s="47">
        <v>1.0055933132112038</v>
      </c>
      <c r="C455" s="7">
        <v>0.003259248092345457</v>
      </c>
      <c r="D455" s="48">
        <v>-0.818812015637621</v>
      </c>
      <c r="E455" s="49">
        <v>23.14</v>
      </c>
      <c r="F455" s="7">
        <v>0.0037558134525728093</v>
      </c>
      <c r="G455" s="48">
        <v>-0.5654523835373275</v>
      </c>
      <c r="H455" s="50">
        <v>-54900.14</v>
      </c>
      <c r="I455" s="56">
        <v>-0.003317554999213738</v>
      </c>
      <c r="J455" s="56">
        <v>-1.081236267467788</v>
      </c>
      <c r="K455" s="50">
        <v>105675.48083144837</v>
      </c>
      <c r="L455" s="56">
        <v>0.00638585292727281</v>
      </c>
      <c r="M455" s="56">
        <v>2.081236267467788</v>
      </c>
      <c r="N455" s="51">
        <v>-4.965653602273523E-4</v>
      </c>
      <c r="O455" s="7">
        <v>-0.25335963210029344</v>
      </c>
      <c r="P455" s="52">
        <v>53.25078109590257</v>
      </c>
      <c r="Q455" s="34">
        <v>2194.2671059398604</v>
      </c>
      <c r="R455" s="13">
        <v>5363.531182865308</v>
      </c>
      <c r="S455" s="56">
        <v>-0.5665431248971424</v>
      </c>
      <c r="T455" s="52">
        <v>280235.69559610984</v>
      </c>
      <c r="U455" s="50">
        <v>50775.34083144837</v>
      </c>
      <c r="V455" s="50">
        <v>-246900.33398689766</v>
      </c>
    </row>
    <row r="456">
      <c r="A456" s="54">
        <v>45200.959961863424</v>
      </c>
      <c r="B456" s="47">
        <v>0.9875044862986865</v>
      </c>
      <c r="C456" s="7">
        <v>0.027977962475041807</v>
      </c>
      <c r="D456" s="48">
        <v>-0.8220712637299664</v>
      </c>
      <c r="E456" s="49">
        <v>22.94</v>
      </c>
      <c r="F456" s="7">
        <v>0.031736623674240017</v>
      </c>
      <c r="G456" s="48">
        <v>-0.5692081969899003</v>
      </c>
      <c r="H456" s="50">
        <v>-54900.14</v>
      </c>
      <c r="I456" s="56">
        <v>-0.02900013998419031</v>
      </c>
      <c r="J456" s="56">
        <v>-1.101042046545378</v>
      </c>
      <c r="K456" s="50">
        <v>104762.12317516965</v>
      </c>
      <c r="L456" s="56">
        <v>0.05533895245296111</v>
      </c>
      <c r="M456" s="56">
        <v>2.1010420465453783</v>
      </c>
      <c r="N456" s="51">
        <v>-0.00375866119919821</v>
      </c>
      <c r="O456" s="7">
        <v>-0.2528630667400661</v>
      </c>
      <c r="P456" s="52">
        <v>53.25078109590257</v>
      </c>
      <c r="Q456" s="34">
        <v>2173.582527252382</v>
      </c>
      <c r="R456" s="13">
        <v>5363.531182865308</v>
      </c>
      <c r="S456" s="56">
        <v>-0.5706291693064228</v>
      </c>
      <c r="T456" s="52">
        <v>280235.69559610984</v>
      </c>
      <c r="U456" s="50">
        <v>49861.98317516965</v>
      </c>
      <c r="V456" s="50">
        <v>-247813.6916431764</v>
      </c>
    </row>
    <row r="457">
      <c r="A457" s="54">
        <v>45199.9599795949</v>
      </c>
      <c r="B457" s="47">
        <v>0.8322267945622044</v>
      </c>
      <c r="C457" s="7">
        <v>0.01596265642779826</v>
      </c>
      <c r="D457" s="48">
        <v>-0.8500492262050082</v>
      </c>
      <c r="E457" s="49">
        <v>21.25</v>
      </c>
      <c r="F457" s="7">
        <v>0.018403485917606766</v>
      </c>
      <c r="G457" s="48">
        <v>-0.6009448206641403</v>
      </c>
      <c r="H457" s="50">
        <v>-54976.15</v>
      </c>
      <c r="I457" s="56">
        <v>-0.019660177339256527</v>
      </c>
      <c r="J457" s="56">
        <v>-1.308284385098389</v>
      </c>
      <c r="K457" s="50">
        <v>96997.70939961444</v>
      </c>
      <c r="L457" s="56">
        <v>0.03468762669445003</v>
      </c>
      <c r="M457" s="56">
        <v>2.3082843850983887</v>
      </c>
      <c r="N457" s="51">
        <v>-0.0024408294898085048</v>
      </c>
      <c r="O457" s="7">
        <v>-0.24910440554086788</v>
      </c>
      <c r="P457" s="52">
        <v>53.25078109590257</v>
      </c>
      <c r="Q457" s="34">
        <v>1977.48514821715</v>
      </c>
      <c r="R457" s="13">
        <v>5363.531182865308</v>
      </c>
      <c r="S457" s="56">
        <v>-0.6093663662968798</v>
      </c>
      <c r="T457" s="52">
        <v>280235.69559610984</v>
      </c>
      <c r="U457" s="50">
        <v>42021.55939961444</v>
      </c>
      <c r="V457" s="50">
        <v>-255654.1154187316</v>
      </c>
    </row>
    <row r="458">
      <c r="A458" s="54">
        <v>45198.96008449074</v>
      </c>
      <c r="B458" s="47">
        <v>0.7436340513879243</v>
      </c>
      <c r="C458" s="7">
        <v>0.00799798674002239</v>
      </c>
      <c r="D458" s="48">
        <v>-0.8660118826328065</v>
      </c>
      <c r="E458" s="49">
        <v>20.27</v>
      </c>
      <c r="F458" s="7">
        <v>0.009952905649317945</v>
      </c>
      <c r="G458" s="48">
        <v>-0.6193483065817471</v>
      </c>
      <c r="H458" s="50">
        <v>-54976.15</v>
      </c>
      <c r="I458" s="56">
        <v>-0.011024156520866163</v>
      </c>
      <c r="J458" s="56">
        <v>-1.4641466701989936</v>
      </c>
      <c r="K458" s="50">
        <v>92524.4032720087</v>
      </c>
      <c r="L458" s="56">
        <v>0.018553563748468477</v>
      </c>
      <c r="M458" s="56">
        <v>2.4641466701989936</v>
      </c>
      <c r="N458" s="51">
        <v>-0.0019549189092955555</v>
      </c>
      <c r="O458" s="7">
        <v>-0.24666357605105937</v>
      </c>
      <c r="P458" s="52">
        <v>53.25078109590257</v>
      </c>
      <c r="Q458" s="34">
        <v>1852.4051934883423</v>
      </c>
      <c r="R458" s="13">
        <v>5363.531182865308</v>
      </c>
      <c r="S458" s="56">
        <v>-0.6340747375648953</v>
      </c>
      <c r="T458" s="52">
        <v>280235.69559610984</v>
      </c>
      <c r="U458" s="50">
        <v>37548.2532720087</v>
      </c>
      <c r="V458" s="50">
        <v>-260127.42154633734</v>
      </c>
    </row>
    <row r="459">
      <c r="A459" s="54">
        <v>45197.95997625</v>
      </c>
      <c r="B459" s="47">
        <v>0.6992452249807998</v>
      </c>
      <c r="C459" s="7">
        <v>0.012698875324919201</v>
      </c>
      <c r="D459" s="48">
        <v>-0.8740098693728289</v>
      </c>
      <c r="E459" s="49">
        <v>19.74</v>
      </c>
      <c r="F459" s="7">
        <v>0.014647672465033845</v>
      </c>
      <c r="G459" s="48">
        <v>-0.629301212231065</v>
      </c>
      <c r="H459" s="50">
        <v>-54755.0</v>
      </c>
      <c r="I459" s="56">
        <v>-0.01853997608705517</v>
      </c>
      <c r="J459" s="56">
        <v>-1.5508286067884576</v>
      </c>
      <c r="K459" s="50">
        <v>90061.93189455004</v>
      </c>
      <c r="L459" s="56">
        <v>0.0304948600799735</v>
      </c>
      <c r="M459" s="56">
        <v>2.550828606788458</v>
      </c>
      <c r="N459" s="51">
        <v>-0.0019487971401146442</v>
      </c>
      <c r="O459" s="7">
        <v>-0.24470865714176382</v>
      </c>
      <c r="P459" s="52">
        <v>53.25078109590257</v>
      </c>
      <c r="Q459" s="34">
        <v>1788.5983735840955</v>
      </c>
      <c r="R459" s="13">
        <v>5363.531182865308</v>
      </c>
      <c r="S459" s="56">
        <v>-0.64667917605421</v>
      </c>
      <c r="T459" s="52">
        <v>280235.69559610984</v>
      </c>
      <c r="U459" s="50">
        <v>35306.93189455004</v>
      </c>
      <c r="V459" s="50">
        <v>-262368.742923796</v>
      </c>
    </row>
    <row r="460">
      <c r="A460" s="54">
        <v>45196.960065231484</v>
      </c>
      <c r="B460" s="47">
        <v>0.6287664669274982</v>
      </c>
      <c r="C460" s="7">
        <v>-6.512243756369163E-4</v>
      </c>
      <c r="D460" s="48">
        <v>-0.8867087446977481</v>
      </c>
      <c r="E460" s="49">
        <v>18.96</v>
      </c>
      <c r="F460" s="7">
        <v>-7.511626905144508E-4</v>
      </c>
      <c r="G460" s="48">
        <v>-0.6439488846960989</v>
      </c>
      <c r="H460" s="50">
        <v>-54755.0</v>
      </c>
      <c r="I460" s="56">
        <v>0.0010573400811830552</v>
      </c>
      <c r="J460" s="56">
        <v>-1.724661786369559</v>
      </c>
      <c r="K460" s="50">
        <v>86503.25373458304</v>
      </c>
      <c r="L460" s="56">
        <v>-0.0016704110551789325</v>
      </c>
      <c r="M460" s="56">
        <v>2.724661786369559</v>
      </c>
      <c r="N460" s="51">
        <v>9.993831487753457E-5</v>
      </c>
      <c r="O460" s="7">
        <v>-0.24275986000164917</v>
      </c>
      <c r="P460" s="52">
        <v>53.25078109590257</v>
      </c>
      <c r="Q460" s="34">
        <v>1674.4859564653498</v>
      </c>
      <c r="R460" s="13">
        <v>5363.531182865308</v>
      </c>
      <c r="S460" s="56">
        <v>-0.6692210131900946</v>
      </c>
      <c r="T460" s="52">
        <v>280235.69559610984</v>
      </c>
      <c r="U460" s="50">
        <v>31748.253734583035</v>
      </c>
      <c r="V460" s="50">
        <v>-265927.421083763</v>
      </c>
    </row>
    <row r="461">
      <c r="A461" s="54">
        <v>45195.95997072916</v>
      </c>
      <c r="B461" s="47">
        <v>0.632380762212283</v>
      </c>
      <c r="C461" s="7">
        <v>-0.006301624114761206</v>
      </c>
      <c r="D461" s="48">
        <v>-0.8860575203221112</v>
      </c>
      <c r="E461" s="49">
        <v>19.0</v>
      </c>
      <c r="F461" s="7">
        <v>-0.0078872082504029</v>
      </c>
      <c r="G461" s="48">
        <v>-0.6431977220055844</v>
      </c>
      <c r="H461" s="50">
        <v>-54755.0</v>
      </c>
      <c r="I461" s="56">
        <v>0.010172958300324568</v>
      </c>
      <c r="J461" s="56">
        <v>-1.7148046918233595</v>
      </c>
      <c r="K461" s="50">
        <v>86685.75005047879</v>
      </c>
      <c r="L461" s="56">
        <v>-0.016105388010152117</v>
      </c>
      <c r="M461" s="56">
        <v>2.7148046918233595</v>
      </c>
      <c r="N461" s="51">
        <v>0.0015855841356416933</v>
      </c>
      <c r="O461" s="7">
        <v>-0.2428597983165267</v>
      </c>
      <c r="P461" s="52">
        <v>53.25078109590257</v>
      </c>
      <c r="Q461" s="34">
        <v>1680.5657921304626</v>
      </c>
      <c r="R461" s="13">
        <v>5363.531182865308</v>
      </c>
      <c r="S461" s="56">
        <v>-0.6680199987094944</v>
      </c>
      <c r="T461" s="52">
        <v>280235.69559610984</v>
      </c>
      <c r="U461" s="50">
        <v>31930.75005047879</v>
      </c>
      <c r="V461" s="50">
        <v>-265744.92476786725</v>
      </c>
    </row>
    <row r="462">
      <c r="A462" s="54">
        <v>45194.96000018519</v>
      </c>
      <c r="B462" s="47">
        <v>0.6673547760492079</v>
      </c>
      <c r="C462" s="7">
        <v>-9.751798224787445E-4</v>
      </c>
      <c r="D462" s="48">
        <v>-0.87975589620735</v>
      </c>
      <c r="E462" s="49">
        <v>19.42</v>
      </c>
      <c r="F462" s="7">
        <v>-0.0011267440357718428</v>
      </c>
      <c r="G462" s="48">
        <v>-0.6353105137551815</v>
      </c>
      <c r="H462" s="50">
        <v>-54755.0</v>
      </c>
      <c r="I462" s="56">
        <v>0.0014917682284591803</v>
      </c>
      <c r="J462" s="56">
        <v>-1.6249370454501633</v>
      </c>
      <c r="K462" s="50">
        <v>88451.69006766412</v>
      </c>
      <c r="L462" s="56">
        <v>-0.0024098150122629854</v>
      </c>
      <c r="M462" s="56">
        <v>2.6249370454501633</v>
      </c>
      <c r="N462" s="51">
        <v>1.5156421329309833E-4</v>
      </c>
      <c r="O462" s="7">
        <v>-0.2444453824521684</v>
      </c>
      <c r="P462" s="52">
        <v>53.25078109590257</v>
      </c>
      <c r="Q462" s="34">
        <v>1735.1539684688012</v>
      </c>
      <c r="R462" s="13">
        <v>5363.531182865308</v>
      </c>
      <c r="S462" s="56">
        <v>-0.6572366167460459</v>
      </c>
      <c r="T462" s="52">
        <v>280235.69559610984</v>
      </c>
      <c r="U462" s="50">
        <v>33696.69006766412</v>
      </c>
      <c r="V462" s="50">
        <v>-263978.9847506819</v>
      </c>
    </row>
    <row r="463">
      <c r="A463" s="54">
        <v>45193.95996309028</v>
      </c>
      <c r="B463" s="47">
        <v>0.6727670240639646</v>
      </c>
      <c r="C463" s="7">
        <v>6.394738127867283E-4</v>
      </c>
      <c r="D463" s="48">
        <v>-0.8787807163848712</v>
      </c>
      <c r="E463" s="49">
        <v>19.48</v>
      </c>
      <c r="F463" s="7">
        <v>5.633720178859214E-4</v>
      </c>
      <c r="G463" s="48">
        <v>-0.6341837697194097</v>
      </c>
      <c r="H463" s="50">
        <v>-54755.0</v>
      </c>
      <c r="I463" s="56">
        <v>-9.703568761252997E-4</v>
      </c>
      <c r="J463" s="56">
        <v>-1.611864819874633</v>
      </c>
      <c r="K463" s="50">
        <v>88724.97026354773</v>
      </c>
      <c r="L463" s="56">
        <v>0.0015723657196465397</v>
      </c>
      <c r="M463" s="56">
        <v>2.611864819874633</v>
      </c>
      <c r="N463" s="51">
        <v>7.610179490080693E-5</v>
      </c>
      <c r="O463" s="7">
        <v>-0.2445969466654615</v>
      </c>
      <c r="P463" s="52">
        <v>53.25078109590257</v>
      </c>
      <c r="Q463" s="34">
        <v>1743.8383092170293</v>
      </c>
      <c r="R463" s="13">
        <v>5363.531182865308</v>
      </c>
      <c r="S463" s="56">
        <v>-0.6555211067277508</v>
      </c>
      <c r="T463" s="52">
        <v>280235.69559610984</v>
      </c>
      <c r="U463" s="50">
        <v>33969.97026354773</v>
      </c>
      <c r="V463" s="50">
        <v>-263705.7045547983</v>
      </c>
    </row>
    <row r="464">
      <c r="A464" s="54">
        <v>45192.95997092593</v>
      </c>
      <c r="B464" s="47">
        <v>0.6692179444029981</v>
      </c>
      <c r="C464" s="7">
        <v>0.0015957446564520694</v>
      </c>
      <c r="D464" s="48">
        <v>-0.8794201901976579</v>
      </c>
      <c r="E464" s="49">
        <v>19.45</v>
      </c>
      <c r="F464" s="7">
        <v>0.0016901160536577642</v>
      </c>
      <c r="G464" s="48">
        <v>-0.6347471417372956</v>
      </c>
      <c r="H464" s="50">
        <v>-54755.0</v>
      </c>
      <c r="I464" s="56">
        <v>-0.0024342727685420363</v>
      </c>
      <c r="J464" s="56">
        <v>-1.620413061439715</v>
      </c>
      <c r="K464" s="50">
        <v>88545.76687480594</v>
      </c>
      <c r="L464" s="56">
        <v>0.0039365272408549284</v>
      </c>
      <c r="M464" s="56">
        <v>2.620413061439715</v>
      </c>
      <c r="N464" s="51">
        <v>-9.437139720569476E-5</v>
      </c>
      <c r="O464" s="7">
        <v>-0.2446730484603623</v>
      </c>
      <c r="P464" s="52">
        <v>53.25078109590257</v>
      </c>
      <c r="Q464" s="34">
        <v>1737.3144922779402</v>
      </c>
      <c r="R464" s="13">
        <v>5363.531182865308</v>
      </c>
      <c r="S464" s="56">
        <v>-0.6568098255425686</v>
      </c>
      <c r="T464" s="52">
        <v>280235.69559610984</v>
      </c>
      <c r="U464" s="50">
        <v>33790.76687480594</v>
      </c>
      <c r="V464" s="50">
        <v>-263884.90794354014</v>
      </c>
    </row>
    <row r="465">
      <c r="A465" s="54">
        <v>45191.960083287035</v>
      </c>
      <c r="B465" s="47">
        <v>0.6603615615596892</v>
      </c>
      <c r="C465" s="7">
        <v>0.0</v>
      </c>
      <c r="D465" s="48">
        <v>-0.88101593485411</v>
      </c>
      <c r="E465" s="49">
        <v>19.36</v>
      </c>
      <c r="F465" s="7">
        <v>-0.0030046507620582474</v>
      </c>
      <c r="G465" s="48">
        <v>-0.6364372577909534</v>
      </c>
      <c r="H465" s="50">
        <v>-54755.00000000001</v>
      </c>
      <c r="I465" s="56">
        <v>-0.008803802681977573</v>
      </c>
      <c r="J465" s="56">
        <v>-1.642145093211088</v>
      </c>
      <c r="K465" s="50">
        <v>88098.58226101132</v>
      </c>
      <c r="L465" s="56">
        <v>0.01491857387672581</v>
      </c>
      <c r="M465" s="56">
        <v>2.642145093211088</v>
      </c>
      <c r="N465" s="51">
        <v>0.0030046507620582474</v>
      </c>
      <c r="O465" s="7">
        <v>-0.2445786770631566</v>
      </c>
      <c r="P465" s="52">
        <v>53.25078109590257</v>
      </c>
      <c r="Q465" s="34">
        <v>1722.2924721596755</v>
      </c>
      <c r="R465" s="13">
        <v>5363.531182865308</v>
      </c>
      <c r="S465" s="56">
        <v>-0.6597772846456874</v>
      </c>
      <c r="T465" s="52">
        <v>280235.69559610984</v>
      </c>
      <c r="U465" s="50">
        <v>33343.58226101132</v>
      </c>
      <c r="V465" s="50">
        <v>-264332.09255733475</v>
      </c>
    </row>
    <row r="466">
      <c r="A466" s="54">
        <v>45190.96007872685</v>
      </c>
      <c r="B466" s="47">
        <v>0.6603615615596892</v>
      </c>
      <c r="C466" s="7">
        <v>-0.01672543175683816</v>
      </c>
      <c r="D466" s="48">
        <v>-0.88101593485411</v>
      </c>
      <c r="E466" s="49">
        <v>19.52</v>
      </c>
      <c r="F466" s="7">
        <v>-0.01633778851869172</v>
      </c>
      <c r="G466" s="48">
        <v>-0.6334326070288951</v>
      </c>
      <c r="H466" s="50">
        <v>-54755.0</v>
      </c>
      <c r="I466" s="56">
        <v>-0.008803802681977573</v>
      </c>
      <c r="J466" s="56">
        <v>-1.43975995202222</v>
      </c>
      <c r="K466" s="50">
        <v>88826.6697177139</v>
      </c>
      <c r="L466" s="56">
        <v>0.01491857387672581</v>
      </c>
      <c r="M466" s="56">
        <v>2.642145093211088</v>
      </c>
      <c r="N466" s="51">
        <v>-3.876432381464401E-4</v>
      </c>
      <c r="O466" s="7">
        <v>-0.24758332782521486</v>
      </c>
      <c r="P466" s="52">
        <v>53.25078109590257</v>
      </c>
      <c r="Q466" s="34">
        <v>1722.2924721596755</v>
      </c>
      <c r="R466" s="13">
        <v>5363.531182865308</v>
      </c>
      <c r="S466" s="56">
        <v>-0.6597772846456874</v>
      </c>
      <c r="T466" s="52">
        <v>280235.69559610984</v>
      </c>
      <c r="U466" s="50">
        <v>33343.58226101132</v>
      </c>
      <c r="V466" s="50">
        <v>-264332.09255733475</v>
      </c>
    </row>
    <row r="467">
      <c r="A467" s="54">
        <v>45189.96006400463</v>
      </c>
      <c r="B467" s="47">
        <v>0.7531877078101415</v>
      </c>
      <c r="C467" s="7">
        <v>0.006495313303626515</v>
      </c>
      <c r="D467" s="48">
        <v>-0.8642905030972718</v>
      </c>
      <c r="E467" s="49">
        <v>20.39</v>
      </c>
      <c r="F467" s="7">
        <v>0.007511626905145619</v>
      </c>
      <c r="G467" s="48">
        <v>-0.6170948185102034</v>
      </c>
      <c r="H467" s="50">
        <v>-54755.0</v>
      </c>
      <c r="I467" s="56">
        <v>-0.008803802681977573</v>
      </c>
      <c r="J467" s="56">
        <v>-1.43975995202222</v>
      </c>
      <c r="K467" s="50">
        <v>92785.64526353416</v>
      </c>
      <c r="L467" s="56">
        <v>0.01491857387672581</v>
      </c>
      <c r="M467" s="56">
        <v>2.4397599520222197</v>
      </c>
      <c r="N467" s="51">
        <v>-0.0010163136015191032</v>
      </c>
      <c r="O467" s="7">
        <v>-0.24719568458706842</v>
      </c>
      <c r="P467" s="52">
        <v>53.25078109590257</v>
      </c>
      <c r="Q467" s="34">
        <v>1865.161611747629</v>
      </c>
      <c r="R467" s="13">
        <v>5363.531182865308</v>
      </c>
      <c r="S467" s="56">
        <v>-0.6315548268479149</v>
      </c>
      <c r="T467" s="52">
        <v>280235.69559610984</v>
      </c>
      <c r="U467" s="50">
        <v>38030.645263534156</v>
      </c>
      <c r="V467" s="50">
        <v>-259645.0295548119</v>
      </c>
    </row>
    <row r="468">
      <c r="A468" s="54">
        <v>45188.95996356482</v>
      </c>
      <c r="B468" s="47">
        <v>0.7171387189750142</v>
      </c>
      <c r="C468" s="7">
        <v>0.003405330150051067</v>
      </c>
      <c r="D468" s="48">
        <v>-0.8707858164008984</v>
      </c>
      <c r="E468" s="49">
        <v>19.99</v>
      </c>
      <c r="F468" s="7">
        <v>0.0033802321073155284</v>
      </c>
      <c r="G468" s="48">
        <v>-0.624606445415349</v>
      </c>
      <c r="H468" s="50">
        <v>-54755.0</v>
      </c>
      <c r="I468" s="56">
        <v>-0.004847630084619667</v>
      </c>
      <c r="J468" s="56">
        <v>-1.5121335236373383</v>
      </c>
      <c r="K468" s="50">
        <v>90965.4266217777</v>
      </c>
      <c r="L468" s="56">
        <v>0.008053451534142862</v>
      </c>
      <c r="M468" s="56">
        <v>2.5121335236373383</v>
      </c>
      <c r="N468" s="51">
        <v>2.5098042735538506E-5</v>
      </c>
      <c r="O468" s="7">
        <v>-0.24617937098554932</v>
      </c>
      <c r="P468" s="52">
        <v>53.25078109590257</v>
      </c>
      <c r="Q468" s="34">
        <v>1811.427044611191</v>
      </c>
      <c r="R468" s="13">
        <v>5363.531182865308</v>
      </c>
      <c r="S468" s="56">
        <v>-0.6421695863240584</v>
      </c>
      <c r="T468" s="52">
        <v>280235.69559610984</v>
      </c>
      <c r="U468" s="50">
        <v>36210.426621777704</v>
      </c>
      <c r="V468" s="50">
        <v>-261465.24819656834</v>
      </c>
    </row>
    <row r="469">
      <c r="A469" s="54">
        <v>45187.959970868054</v>
      </c>
      <c r="B469" s="47">
        <v>0.6982391366422308</v>
      </c>
      <c r="C469" s="7">
        <v>0.01653820854329413</v>
      </c>
      <c r="D469" s="48">
        <v>-0.8741911465509494</v>
      </c>
      <c r="E469" s="49">
        <v>19.81</v>
      </c>
      <c r="F469" s="7">
        <v>0.019154648608121327</v>
      </c>
      <c r="G469" s="48">
        <v>-0.6279866775226646</v>
      </c>
      <c r="H469" s="50">
        <v>-54755.0</v>
      </c>
      <c r="I469" s="56">
        <v>-0.024180077918327103</v>
      </c>
      <c r="J469" s="56">
        <v>-1.553063185881105</v>
      </c>
      <c r="K469" s="50">
        <v>90011.13155844374</v>
      </c>
      <c r="L469" s="56">
        <v>0.039749359411925145</v>
      </c>
      <c r="M469" s="56">
        <v>2.553063185881105</v>
      </c>
      <c r="N469" s="51">
        <v>-0.002616440064827197</v>
      </c>
      <c r="O469" s="7">
        <v>-0.24620446902828486</v>
      </c>
      <c r="P469" s="52">
        <v>53.25078109590257</v>
      </c>
      <c r="Q469" s="34">
        <v>1779.7138595882757</v>
      </c>
      <c r="R469" s="13">
        <v>5363.531182865308</v>
      </c>
      <c r="S469" s="56">
        <v>-0.6484342284190797</v>
      </c>
      <c r="T469" s="52">
        <v>280235.69559610984</v>
      </c>
      <c r="U469" s="50">
        <v>35256.13155844374</v>
      </c>
      <c r="V469" s="50">
        <v>-262419.5432599023</v>
      </c>
    </row>
    <row r="470">
      <c r="A470" s="54">
        <v>45186.95996773148</v>
      </c>
      <c r="B470" s="47">
        <v>0.6064520792269484</v>
      </c>
      <c r="C470" s="7">
        <v>-0.0047020396838778344</v>
      </c>
      <c r="D470" s="48">
        <v>-0.8907293550942436</v>
      </c>
      <c r="E470" s="49">
        <v>18.79</v>
      </c>
      <c r="F470" s="7">
        <v>-0.0054459295062305735</v>
      </c>
      <c r="G470" s="48">
        <v>-0.6471413261307859</v>
      </c>
      <c r="H470" s="50">
        <v>-54755.00000000001</v>
      </c>
      <c r="I470" s="56">
        <v>0.007915224191082676</v>
      </c>
      <c r="J470" s="56">
        <v>-1.7881206697201282</v>
      </c>
      <c r="K470" s="50">
        <v>85376.53518340019</v>
      </c>
      <c r="L470" s="56">
        <v>-0.012341784615733183</v>
      </c>
      <c r="M470" s="56">
        <v>2.7881206697201284</v>
      </c>
      <c r="N470" s="51">
        <v>7.43889822352739E-4</v>
      </c>
      <c r="O470" s="7">
        <v>-0.24358802896345766</v>
      </c>
      <c r="P470" s="52">
        <v>53.25078109590257</v>
      </c>
      <c r="Q470" s="34">
        <v>1629.671909707301</v>
      </c>
      <c r="R470" s="13">
        <v>5363.531182865308</v>
      </c>
      <c r="S470" s="56">
        <v>-0.6780736075783868</v>
      </c>
      <c r="T470" s="52">
        <v>280235.69559610984</v>
      </c>
      <c r="U470" s="50">
        <v>30621.535183400185</v>
      </c>
      <c r="V470" s="50">
        <v>-267054.13963494584</v>
      </c>
    </row>
    <row r="471">
      <c r="A471" s="54">
        <v>45185.95996341435</v>
      </c>
      <c r="B471" s="47">
        <v>0.6325483994724701</v>
      </c>
      <c r="C471" s="7">
        <v>0.005426717289412131</v>
      </c>
      <c r="D471" s="48">
        <v>-0.8860273154103657</v>
      </c>
      <c r="E471" s="49">
        <v>19.08</v>
      </c>
      <c r="F471" s="7">
        <v>0.005821510851487854</v>
      </c>
      <c r="G471" s="48">
        <v>-0.6416953966245553</v>
      </c>
      <c r="H471" s="50">
        <v>-54755.0</v>
      </c>
      <c r="I471" s="56">
        <v>-0.00875824027543678</v>
      </c>
      <c r="J471" s="56">
        <v>-1.714350236226708</v>
      </c>
      <c r="K471" s="50">
        <v>86694.21454493218</v>
      </c>
      <c r="L471" s="56">
        <v>0.013867021486161668</v>
      </c>
      <c r="M471" s="56">
        <v>2.714350236226708</v>
      </c>
      <c r="N471" s="51">
        <v>-3.947935620757237E-4</v>
      </c>
      <c r="O471" s="7">
        <v>-0.2443319187858104</v>
      </c>
      <c r="P471" s="52">
        <v>53.25078109590257</v>
      </c>
      <c r="Q471" s="34">
        <v>1673.963026463951</v>
      </c>
      <c r="R471" s="13">
        <v>5363.531182865308</v>
      </c>
      <c r="S471" s="56">
        <v>-0.6693243131045354</v>
      </c>
      <c r="T471" s="52">
        <v>280235.69559610984</v>
      </c>
      <c r="U471" s="50">
        <v>31939.214544932183</v>
      </c>
      <c r="V471" s="50">
        <v>-265736.46027341386</v>
      </c>
    </row>
    <row r="472">
      <c r="A472" s="54">
        <v>45184.959965092596</v>
      </c>
      <c r="B472" s="47">
        <v>0.6024301185162331</v>
      </c>
      <c r="C472" s="7">
        <v>-0.0012954078467762864</v>
      </c>
      <c r="D472" s="48">
        <v>-0.8914540326997779</v>
      </c>
      <c r="E472" s="49">
        <v>18.77</v>
      </c>
      <c r="F472" s="7">
        <v>-0.0015023253810292347</v>
      </c>
      <c r="G472" s="48">
        <v>-0.6475169074760432</v>
      </c>
      <c r="H472" s="50">
        <v>-54755.0</v>
      </c>
      <c r="I472" s="56">
        <v>0.0021951958181738625</v>
      </c>
      <c r="J472" s="56">
        <v>-1.8000585706626395</v>
      </c>
      <c r="K472" s="50">
        <v>85173.45465053036</v>
      </c>
      <c r="L472" s="56">
        <v>-0.0034147093684278214</v>
      </c>
      <c r="M472" s="56">
        <v>2.8000585706626397</v>
      </c>
      <c r="N472" s="51">
        <v>2.0691753425294834E-4</v>
      </c>
      <c r="O472" s="7">
        <v>-0.24393712522373467</v>
      </c>
      <c r="P472" s="52">
        <v>53.25078109590257</v>
      </c>
      <c r="Q472" s="34">
        <v>1620.5889531449313</v>
      </c>
      <c r="R472" s="13">
        <v>5363.531182865308</v>
      </c>
      <c r="S472" s="56">
        <v>-0.6798678604100326</v>
      </c>
      <c r="T472" s="52">
        <v>280235.69559610984</v>
      </c>
      <c r="U472" s="50">
        <v>30418.45465053036</v>
      </c>
      <c r="V472" s="50">
        <v>-267257.2201678157</v>
      </c>
    </row>
    <row r="473">
      <c r="A473" s="54">
        <v>45183.959968668976</v>
      </c>
      <c r="B473" s="47">
        <v>0.6096196320658412</v>
      </c>
      <c r="C473" s="7">
        <v>0.007448595118962897</v>
      </c>
      <c r="D473" s="48">
        <v>-0.8901586248530016</v>
      </c>
      <c r="E473" s="49">
        <v>18.85</v>
      </c>
      <c r="F473" s="7">
        <v>0.008638370940917461</v>
      </c>
      <c r="G473" s="48">
        <v>-0.646014582095014</v>
      </c>
      <c r="H473" s="50">
        <v>-54755.0</v>
      </c>
      <c r="I473" s="56">
        <v>-0.012473514700400298</v>
      </c>
      <c r="J473" s="56">
        <v>-1.7788296849720464</v>
      </c>
      <c r="K473" s="50">
        <v>85536.47416955236</v>
      </c>
      <c r="L473" s="56">
        <v>0.019485717614360725</v>
      </c>
      <c r="M473" s="56">
        <v>2.778829684972046</v>
      </c>
      <c r="N473" s="51">
        <v>-0.001189775821954564</v>
      </c>
      <c r="O473" s="7">
        <v>-0.24414404275798762</v>
      </c>
      <c r="P473" s="52">
        <v>53.25078109590257</v>
      </c>
      <c r="Q473" s="34">
        <v>1632.969451965642</v>
      </c>
      <c r="R473" s="13">
        <v>5363.531182865308</v>
      </c>
      <c r="S473" s="56">
        <v>-0.6774222090503994</v>
      </c>
      <c r="T473" s="52">
        <v>280235.69559610984</v>
      </c>
      <c r="U473" s="50">
        <v>30781.474169552355</v>
      </c>
      <c r="V473" s="50">
        <v>-266894.2006487937</v>
      </c>
    </row>
    <row r="474">
      <c r="A474" s="54">
        <v>45182.95997416667</v>
      </c>
      <c r="B474" s="47">
        <v>0.5682799291555971</v>
      </c>
      <c r="C474" s="7">
        <v>0.006638965214727732</v>
      </c>
      <c r="D474" s="48">
        <v>-0.8976072199719645</v>
      </c>
      <c r="E474" s="49">
        <v>18.39</v>
      </c>
      <c r="F474" s="7">
        <v>0.007699417577774148</v>
      </c>
      <c r="G474" s="48">
        <v>-0.6546529530359314</v>
      </c>
      <c r="H474" s="50">
        <v>-54755.0</v>
      </c>
      <c r="I474" s="56">
        <v>-0.011926458328782657</v>
      </c>
      <c r="J474" s="56">
        <v>-1.9082312121629408</v>
      </c>
      <c r="K474" s="50">
        <v>83449.111935176</v>
      </c>
      <c r="L474" s="56">
        <v>0.018176465273834277</v>
      </c>
      <c r="M474" s="56">
        <v>2.908231212162941</v>
      </c>
      <c r="N474" s="51">
        <v>-0.0010604523630464158</v>
      </c>
      <c r="O474" s="7">
        <v>-0.24295426693603306</v>
      </c>
      <c r="P474" s="52">
        <v>53.25078109590257</v>
      </c>
      <c r="Q474" s="34">
        <v>1560.3106000639477</v>
      </c>
      <c r="R474" s="13">
        <v>5363.531182865308</v>
      </c>
      <c r="S474" s="56">
        <v>-0.6917752833906265</v>
      </c>
      <c r="T474" s="52">
        <v>280235.69559610984</v>
      </c>
      <c r="U474" s="50">
        <v>28694.111935176</v>
      </c>
      <c r="V474" s="50">
        <v>-268981.56288317003</v>
      </c>
    </row>
    <row r="475">
      <c r="A475" s="54">
        <v>45181.95997418981</v>
      </c>
      <c r="B475" s="47">
        <v>0.5314336722138582</v>
      </c>
      <c r="C475" s="7">
        <v>0.007576653123283927</v>
      </c>
      <c r="D475" s="48">
        <v>-0.9042461851866922</v>
      </c>
      <c r="E475" s="49">
        <v>17.98</v>
      </c>
      <c r="F475" s="7">
        <v>0.008638370940917461</v>
      </c>
      <c r="G475" s="48">
        <v>-0.6623523706137056</v>
      </c>
      <c r="H475" s="50">
        <v>-54754.99999999999</v>
      </c>
      <c r="I475" s="56">
        <v>-0.01455464965426853</v>
      </c>
      <c r="J475" s="56">
        <v>-2.040535921525254</v>
      </c>
      <c r="K475" s="50">
        <v>81588.63690018839</v>
      </c>
      <c r="L475" s="56">
        <v>0.0216874080148218</v>
      </c>
      <c r="M475" s="56">
        <v>3.040535921525254</v>
      </c>
      <c r="N475" s="51">
        <v>-0.001061717817633534</v>
      </c>
      <c r="O475" s="7">
        <v>-0.24189381457298664</v>
      </c>
      <c r="P475" s="52">
        <v>53.25078109590257</v>
      </c>
      <c r="Q475" s="34">
        <v>1492.4158453942377</v>
      </c>
      <c r="R475" s="13">
        <v>5363.531182865308</v>
      </c>
      <c r="S475" s="56">
        <v>-0.7051872550304249</v>
      </c>
      <c r="T475" s="52">
        <v>280235.69559610984</v>
      </c>
      <c r="U475" s="50">
        <v>26833.636900188394</v>
      </c>
      <c r="V475" s="50">
        <v>-270842.03791815764</v>
      </c>
    </row>
    <row r="476">
      <c r="A476" s="54">
        <v>45180.95998534722</v>
      </c>
      <c r="B476" s="47">
        <v>0.48938324737963274</v>
      </c>
      <c r="C476" s="7">
        <v>-0.014890465730849511</v>
      </c>
      <c r="D476" s="48">
        <v>-0.9118228383099761</v>
      </c>
      <c r="E476" s="49">
        <v>17.52</v>
      </c>
      <c r="F476" s="7">
        <v>-0.017276741881834812</v>
      </c>
      <c r="G476" s="48">
        <v>-0.670990741554623</v>
      </c>
      <c r="H476" s="50">
        <v>-54755.0</v>
      </c>
      <c r="I476" s="56">
        <v>0.03106222795985179</v>
      </c>
      <c r="J476" s="56">
        <v>-2.2158696765098678</v>
      </c>
      <c r="K476" s="50">
        <v>79465.3882418945</v>
      </c>
      <c r="L476" s="56">
        <v>-0.04508030325062282</v>
      </c>
      <c r="M476" s="56">
        <v>3.2158696765098678</v>
      </c>
      <c r="N476" s="51">
        <v>0.0023862761509853003</v>
      </c>
      <c r="O476" s="7">
        <v>-0.2408320967553531</v>
      </c>
      <c r="P476" s="52">
        <v>53.25078109590257</v>
      </c>
      <c r="Q476" s="34">
        <v>1410.4102877793664</v>
      </c>
      <c r="R476" s="13">
        <v>5363.531182865308</v>
      </c>
      <c r="S476" s="56">
        <v>-0.7213866833719367</v>
      </c>
      <c r="T476" s="52">
        <v>280235.69559610984</v>
      </c>
      <c r="U476" s="50">
        <v>24710.3882418945</v>
      </c>
      <c r="V476" s="50">
        <v>-272965.28657645156</v>
      </c>
    </row>
    <row r="477">
      <c r="A477" s="54">
        <v>45179.96007863426</v>
      </c>
      <c r="B477" s="47">
        <v>0.5720253321858475</v>
      </c>
      <c r="C477" s="7">
        <v>-0.016508994614637396</v>
      </c>
      <c r="D477" s="48">
        <v>-0.8969323725791266</v>
      </c>
      <c r="E477" s="49">
        <v>18.44</v>
      </c>
      <c r="F477" s="7">
        <v>-0.019154648608121216</v>
      </c>
      <c r="G477" s="48">
        <v>-0.6537139996727882</v>
      </c>
      <c r="H477" s="50">
        <v>-54755.0</v>
      </c>
      <c r="I477" s="56">
        <v>0.0294631233154931</v>
      </c>
      <c r="J477" s="56">
        <v>-1.8957368442349634</v>
      </c>
      <c r="K477" s="50">
        <v>83638.22826372915</v>
      </c>
      <c r="L477" s="56">
        <v>-0.04500490244221738</v>
      </c>
      <c r="M477" s="56">
        <v>2.8957368442349636</v>
      </c>
      <c r="N477" s="51">
        <v>0.002645653993483821</v>
      </c>
      <c r="O477" s="7">
        <v>-0.2432183729063384</v>
      </c>
      <c r="P477" s="52">
        <v>53.25078109590257</v>
      </c>
      <c r="Q477" s="34">
        <v>1566.3355891393248</v>
      </c>
      <c r="R477" s="13">
        <v>5363.531182865308</v>
      </c>
      <c r="S477" s="56">
        <v>-0.6905851033391314</v>
      </c>
      <c r="T477" s="52">
        <v>280235.69559610984</v>
      </c>
      <c r="U477" s="50">
        <v>28883.22826372915</v>
      </c>
      <c r="V477" s="50">
        <v>-268792.4465546169</v>
      </c>
    </row>
    <row r="478">
      <c r="A478" s="54">
        <v>45178.960168958336</v>
      </c>
      <c r="B478" s="47">
        <v>0.6636502522970851</v>
      </c>
      <c r="C478" s="7">
        <v>-1.9240133324993636E-4</v>
      </c>
      <c r="D478" s="48">
        <v>-0.8804233779644892</v>
      </c>
      <c r="E478" s="49">
        <v>19.46</v>
      </c>
      <c r="F478" s="7">
        <v>-0.0011267440357718428</v>
      </c>
      <c r="G478" s="48">
        <v>-0.634559351064667</v>
      </c>
      <c r="H478" s="50">
        <v>-54755.0</v>
      </c>
      <c r="I478" s="56">
        <v>2.9596627934803883E-4</v>
      </c>
      <c r="J478" s="56">
        <v>-1.6340075127026639</v>
      </c>
      <c r="K478" s="50">
        <v>88264.63785315449</v>
      </c>
      <c r="L478" s="56">
        <v>-4.770953604858041E-4</v>
      </c>
      <c r="M478" s="56">
        <v>2.634007512702664</v>
      </c>
      <c r="N478" s="51">
        <v>9.343427025219064E-4</v>
      </c>
      <c r="O478" s="7">
        <v>-0.24586402689982223</v>
      </c>
      <c r="P478" s="52">
        <v>53.25078109590257</v>
      </c>
      <c r="Q478" s="34">
        <v>1721.9752236975585</v>
      </c>
      <c r="R478" s="13">
        <v>5363.531182865308</v>
      </c>
      <c r="S478" s="56">
        <v>-0.6598399541022218</v>
      </c>
      <c r="T478" s="52">
        <v>280235.69559610984</v>
      </c>
      <c r="U478" s="50">
        <v>33509.63785315449</v>
      </c>
      <c r="V478" s="50">
        <v>-264166.03696519154</v>
      </c>
    </row>
    <row r="479">
      <c r="A479" s="54">
        <v>45177.95997236111</v>
      </c>
      <c r="B479" s="47">
        <v>0.664718079696622</v>
      </c>
      <c r="C479" s="7">
        <v>-0.004843618680098305</v>
      </c>
      <c r="D479" s="48">
        <v>-0.8802309766312393</v>
      </c>
      <c r="E479" s="49">
        <v>19.52</v>
      </c>
      <c r="F479" s="7">
        <v>-0.005633720178859214</v>
      </c>
      <c r="G479" s="48">
        <v>-0.6334326070288951</v>
      </c>
      <c r="H479" s="50">
        <v>-54755.0</v>
      </c>
      <c r="I479" s="56">
        <v>0.007438851236703427</v>
      </c>
      <c r="J479" s="56">
        <v>-1.6313825833583175</v>
      </c>
      <c r="K479" s="50">
        <v>88318.5555746114</v>
      </c>
      <c r="L479" s="56">
        <v>-0.011998695943019966</v>
      </c>
      <c r="M479" s="56">
        <v>2.6313825833583175</v>
      </c>
      <c r="N479" s="51">
        <v>7.90101498760909E-4</v>
      </c>
      <c r="O479" s="7">
        <v>-0.24679836960234414</v>
      </c>
      <c r="P479" s="52">
        <v>53.25078109590257</v>
      </c>
      <c r="Q479" s="34">
        <v>1719.444445420666</v>
      </c>
      <c r="R479" s="13">
        <v>5363.531182865308</v>
      </c>
      <c r="S479" s="56">
        <v>-0.6603398856012223</v>
      </c>
      <c r="T479" s="52">
        <v>280235.69559610984</v>
      </c>
      <c r="U479" s="50">
        <v>33563.5555746114</v>
      </c>
      <c r="V479" s="50">
        <v>-264112.11924373463</v>
      </c>
    </row>
    <row r="480">
      <c r="A480" s="54">
        <v>45176.95997052084</v>
      </c>
      <c r="B480" s="47">
        <v>0.6916001633711674</v>
      </c>
      <c r="C480" s="7">
        <v>0.0032290791200655367</v>
      </c>
      <c r="D480" s="48">
        <v>-0.875387357951141</v>
      </c>
      <c r="E480" s="49">
        <v>19.82</v>
      </c>
      <c r="F480" s="7">
        <v>0.0037558134525728093</v>
      </c>
      <c r="G480" s="48">
        <v>-0.6277988868500359</v>
      </c>
      <c r="H480" s="50">
        <v>-54755.0</v>
      </c>
      <c r="I480" s="56">
        <v>-0.004766471699589739</v>
      </c>
      <c r="J480" s="56">
        <v>-1.5679717205018577</v>
      </c>
      <c r="K480" s="50">
        <v>89675.91042463105</v>
      </c>
      <c r="L480" s="56">
        <v>0.007806368170467507</v>
      </c>
      <c r="M480" s="56">
        <v>2.5679717205018577</v>
      </c>
      <c r="N480" s="51">
        <v>-5.267343325072726E-4</v>
      </c>
      <c r="O480" s="7">
        <v>-0.24758847110110505</v>
      </c>
      <c r="P480" s="52">
        <v>53.25078109590257</v>
      </c>
      <c r="Q480" s="34">
        <v>1761.9026450368842</v>
      </c>
      <c r="R480" s="13">
        <v>5363.531182865308</v>
      </c>
      <c r="S480" s="56">
        <v>-0.6519526667078066</v>
      </c>
      <c r="T480" s="52">
        <v>280235.69559610984</v>
      </c>
      <c r="U480" s="50">
        <v>34920.910424631045</v>
      </c>
      <c r="V480" s="50">
        <v>-262754.764393715</v>
      </c>
    </row>
    <row r="481">
      <c r="A481" s="54">
        <v>45175.95996228009</v>
      </c>
      <c r="B481" s="47">
        <v>0.6736787742548036</v>
      </c>
      <c r="C481" s="7">
        <v>-0.009483683148108435</v>
      </c>
      <c r="D481" s="48">
        <v>-0.8786164370712065</v>
      </c>
      <c r="E481" s="49">
        <v>19.62</v>
      </c>
      <c r="F481" s="7">
        <v>-0.01239418439349027</v>
      </c>
      <c r="G481" s="48">
        <v>-0.6315547003026087</v>
      </c>
      <c r="H481" s="50">
        <v>-54755.0</v>
      </c>
      <c r="I481" s="56">
        <v>0.014371350820241335</v>
      </c>
      <c r="J481" s="56">
        <v>-1.6096833379676916</v>
      </c>
      <c r="K481" s="50">
        <v>88771.0071912846</v>
      </c>
      <c r="L481" s="56">
        <v>-0.023299411688651583</v>
      </c>
      <c r="M481" s="56">
        <v>2.6096833379676916</v>
      </c>
      <c r="N481" s="51">
        <v>0.0029105012453818357</v>
      </c>
      <c r="O481" s="7">
        <v>-0.24706173676859777</v>
      </c>
      <c r="P481" s="52">
        <v>53.25078109590257</v>
      </c>
      <c r="Q481" s="34">
        <v>1733.7414470583385</v>
      </c>
      <c r="R481" s="13">
        <v>5363.531182865308</v>
      </c>
      <c r="S481" s="56">
        <v>-0.6575156470951486</v>
      </c>
      <c r="T481" s="52">
        <v>280235.69559610984</v>
      </c>
      <c r="U481" s="50">
        <v>34016.0071912846</v>
      </c>
      <c r="V481" s="50">
        <v>-263659.6676270614</v>
      </c>
    </row>
    <row r="482">
      <c r="A482" s="54">
        <v>45174.959971331016</v>
      </c>
      <c r="B482" s="47">
        <v>0.7263132157268055</v>
      </c>
      <c r="C482" s="7">
        <v>0.015283211419388931</v>
      </c>
      <c r="D482" s="48">
        <v>-0.8691327539230981</v>
      </c>
      <c r="E482" s="49">
        <v>20.28</v>
      </c>
      <c r="F482" s="7">
        <v>0.017840113899720844</v>
      </c>
      <c r="G482" s="48">
        <v>-0.6191605159091185</v>
      </c>
      <c r="H482" s="50">
        <v>-54755.0</v>
      </c>
      <c r="I482" s="56">
        <v>-0.021481474785862452</v>
      </c>
      <c r="J482" s="56">
        <v>-1.4930328604516865</v>
      </c>
      <c r="K482" s="50">
        <v>91428.67373510788</v>
      </c>
      <c r="L482" s="56">
        <v>0.035869285901663134</v>
      </c>
      <c r="M482" s="56">
        <v>2.4930328604516867</v>
      </c>
      <c r="N482" s="51">
        <v>-0.002556902480331913</v>
      </c>
      <c r="O482" s="7">
        <v>-0.2499722380139796</v>
      </c>
      <c r="P482" s="52">
        <v>53.25078109590257</v>
      </c>
      <c r="Q482" s="34">
        <v>1808.3665549855955</v>
      </c>
      <c r="R482" s="13">
        <v>5363.531182865308</v>
      </c>
      <c r="S482" s="56">
        <v>-0.6427741573290213</v>
      </c>
      <c r="T482" s="52">
        <v>280235.69559610984</v>
      </c>
      <c r="U482" s="50">
        <v>36673.67373510788</v>
      </c>
      <c r="V482" s="50">
        <v>-261002.00108323817</v>
      </c>
    </row>
    <row r="483">
      <c r="A483" s="54">
        <v>45173.959961875</v>
      </c>
      <c r="B483" s="47">
        <v>0.6414913923491969</v>
      </c>
      <c r="C483" s="7">
        <v>-0.002187301442028722</v>
      </c>
      <c r="D483" s="48">
        <v>-0.884415965342487</v>
      </c>
      <c r="E483" s="49">
        <v>19.33</v>
      </c>
      <c r="F483" s="7">
        <v>-0.0026290694168009665</v>
      </c>
      <c r="G483" s="48">
        <v>-0.6370006298088393</v>
      </c>
      <c r="H483" s="50">
        <v>-54755.0</v>
      </c>
      <c r="I483" s="56">
        <v>0.0034808974239345612</v>
      </c>
      <c r="J483" s="56">
        <v>-1.690450582804009</v>
      </c>
      <c r="K483" s="50">
        <v>87145.77235205301</v>
      </c>
      <c r="L483" s="56">
        <v>-0.005540051036198504</v>
      </c>
      <c r="M483" s="56">
        <v>2.6904505828040093</v>
      </c>
      <c r="N483" s="51">
        <v>4.417679747722447E-4</v>
      </c>
      <c r="O483" s="7">
        <v>-0.2474153355336477</v>
      </c>
      <c r="P483" s="52">
        <v>53.25078109590257</v>
      </c>
      <c r="Q483" s="34">
        <v>1675.67368608655</v>
      </c>
      <c r="R483" s="13">
        <v>5363.531182865308</v>
      </c>
      <c r="S483" s="56">
        <v>-0.6689863883494456</v>
      </c>
      <c r="T483" s="52">
        <v>280235.69559610984</v>
      </c>
      <c r="U483" s="50">
        <v>32390.772352053013</v>
      </c>
      <c r="V483" s="50">
        <v>-265284.902466293</v>
      </c>
    </row>
    <row r="484">
      <c r="A484" s="54">
        <v>45172.95996246528</v>
      </c>
      <c r="B484" s="47">
        <v>0.6536309153524564</v>
      </c>
      <c r="C484" s="7">
        <v>0.0013922125232926907</v>
      </c>
      <c r="D484" s="48">
        <v>-0.8822286639004583</v>
      </c>
      <c r="E484" s="49">
        <v>19.47</v>
      </c>
      <c r="F484" s="7">
        <v>3.7558134525728093E-4</v>
      </c>
      <c r="G484" s="48">
        <v>-0.6343715603920383</v>
      </c>
      <c r="H484" s="50">
        <v>-54755.0</v>
      </c>
      <c r="I484" s="56">
        <v>-0.0021744347020813902</v>
      </c>
      <c r="J484" s="56">
        <v>-1.6590547854911524</v>
      </c>
      <c r="K484" s="50">
        <v>87758.73229313831</v>
      </c>
      <c r="L484" s="56">
        <v>0.0034850814155578612</v>
      </c>
      <c r="M484" s="56">
        <v>2.6590547854911524</v>
      </c>
      <c r="N484" s="51">
        <v>0.0010166311780354098</v>
      </c>
      <c r="O484" s="7">
        <v>-0.24785710350841994</v>
      </c>
      <c r="P484" s="52">
        <v>53.25078109590257</v>
      </c>
      <c r="Q484" s="34">
        <v>1695.1069488001187</v>
      </c>
      <c r="R484" s="13">
        <v>5363.531182865308</v>
      </c>
      <c r="S484" s="56">
        <v>-0.6651475296680782</v>
      </c>
      <c r="T484" s="52">
        <v>280235.69559610984</v>
      </c>
      <c r="U484" s="50">
        <v>33003.73229313831</v>
      </c>
      <c r="V484" s="50">
        <v>-264671.94252520776</v>
      </c>
    </row>
    <row r="485">
      <c r="A485" s="54">
        <v>45171.9599591088</v>
      </c>
      <c r="B485" s="47">
        <v>0.6459041358481823</v>
      </c>
      <c r="C485" s="7">
        <v>0.004155519464143387</v>
      </c>
      <c r="D485" s="48">
        <v>-0.883620876423751</v>
      </c>
      <c r="E485" s="49">
        <v>19.45</v>
      </c>
      <c r="F485" s="7">
        <v>0.00394360412520145</v>
      </c>
      <c r="G485" s="48">
        <v>-0.6347471417372956</v>
      </c>
      <c r="H485" s="50">
        <v>-55055.0</v>
      </c>
      <c r="I485" s="56">
        <v>-0.006603948209300615</v>
      </c>
      <c r="J485" s="56">
        <v>-1.6881002377929166</v>
      </c>
      <c r="K485" s="50">
        <v>87668.58464825578</v>
      </c>
      <c r="L485" s="56">
        <v>0.010516007494319645</v>
      </c>
      <c r="M485" s="56">
        <v>2.6881002377929164</v>
      </c>
      <c r="N485" s="51">
        <v>2.1191533894193704E-4</v>
      </c>
      <c r="O485" s="7">
        <v>-0.24887373468645535</v>
      </c>
      <c r="P485" s="52">
        <v>53.25078109590257</v>
      </c>
      <c r="Q485" s="34">
        <v>1676.7909844861585</v>
      </c>
      <c r="R485" s="13">
        <v>5363.531182865308</v>
      </c>
      <c r="S485" s="56">
        <v>-0.6687656765356738</v>
      </c>
      <c r="T485" s="52">
        <v>280235.69559610984</v>
      </c>
      <c r="U485" s="50">
        <v>32613.584648255783</v>
      </c>
      <c r="V485" s="50">
        <v>-265062.09017009026</v>
      </c>
    </row>
    <row r="486">
      <c r="A486" s="54">
        <v>45170.959971828706</v>
      </c>
      <c r="B486" s="47">
        <v>0.6228410028221861</v>
      </c>
      <c r="C486" s="7">
        <v>-0.0062570925059858284</v>
      </c>
      <c r="D486" s="48">
        <v>-0.8877763958878944</v>
      </c>
      <c r="E486" s="49">
        <v>19.24</v>
      </c>
      <c r="F486" s="7">
        <v>-0.007323836232516978</v>
      </c>
      <c r="G486" s="48">
        <v>-0.6386907458624971</v>
      </c>
      <c r="H486" s="50">
        <v>-55054.99999999999</v>
      </c>
      <c r="I486" s="56">
        <v>0.01031197339121056</v>
      </c>
      <c r="J486" s="56">
        <v>-1.7506087755562028</v>
      </c>
      <c r="K486" s="50">
        <v>86504.05976065836</v>
      </c>
      <c r="L486" s="56">
        <v>-0.01620248047377345</v>
      </c>
      <c r="M486" s="56">
        <v>2.7506087755562025</v>
      </c>
      <c r="N486" s="51">
        <v>0.0010667437265311497</v>
      </c>
      <c r="O486" s="7">
        <v>-0.2490856500253973</v>
      </c>
      <c r="P486" s="52">
        <v>53.25078109590257</v>
      </c>
      <c r="Q486" s="34">
        <v>1634.5665156267344</v>
      </c>
      <c r="R486" s="13">
        <v>5363.531182865308</v>
      </c>
      <c r="S486" s="56">
        <v>-0.677106724111486</v>
      </c>
      <c r="T486" s="52">
        <v>280235.69559610984</v>
      </c>
      <c r="U486" s="50">
        <v>31449.05976065837</v>
      </c>
      <c r="V486" s="50">
        <v>-266226.6150576877</v>
      </c>
    </row>
    <row r="487">
      <c r="A487" s="54">
        <v>45169.95995615741</v>
      </c>
      <c r="B487" s="47">
        <v>0.6575678662304074</v>
      </c>
      <c r="C487" s="7">
        <v>-0.020736508958847488</v>
      </c>
      <c r="D487" s="48">
        <v>-0.8815193033819085</v>
      </c>
      <c r="E487" s="49">
        <v>19.63</v>
      </c>
      <c r="F487" s="7">
        <v>-0.021595927352293653</v>
      </c>
      <c r="G487" s="48">
        <v>-0.6313669096299801</v>
      </c>
      <c r="H487" s="50">
        <v>-55055.0</v>
      </c>
      <c r="I487" s="56">
        <v>0.03236990798223246</v>
      </c>
      <c r="J487" s="56">
        <v>-1.6581572508512652</v>
      </c>
      <c r="K487" s="50">
        <v>88257.52043148251</v>
      </c>
      <c r="L487" s="56">
        <v>-0.051891523296832075</v>
      </c>
      <c r="M487" s="56">
        <v>2.658157250851265</v>
      </c>
      <c r="N487" s="51">
        <v>8.594183934461652E-4</v>
      </c>
      <c r="O487" s="7">
        <v>-0.25015239375192844</v>
      </c>
      <c r="P487" s="52">
        <v>53.25078109590257</v>
      </c>
      <c r="Q487" s="34">
        <v>1691.4172405238162</v>
      </c>
      <c r="R487" s="13">
        <v>5363.531182865308</v>
      </c>
      <c r="S487" s="56">
        <v>-0.6658763969127075</v>
      </c>
      <c r="T487" s="52">
        <v>280235.69559610984</v>
      </c>
      <c r="U487" s="50">
        <v>33202.52043148251</v>
      </c>
      <c r="V487" s="50">
        <v>-264473.1543868635</v>
      </c>
    </row>
    <row r="488">
      <c r="A488" s="54">
        <v>45168.95997113426</v>
      </c>
      <c r="B488" s="47">
        <v>0.7726554909520111</v>
      </c>
      <c r="C488" s="7">
        <v>-0.016339466478312636</v>
      </c>
      <c r="D488" s="48">
        <v>-0.860782794423061</v>
      </c>
      <c r="E488" s="49">
        <v>20.78</v>
      </c>
      <c r="F488" s="7">
        <v>-0.019154648608121216</v>
      </c>
      <c r="G488" s="48">
        <v>-0.6097709822776864</v>
      </c>
      <c r="H488" s="50">
        <v>-54270.270000000004</v>
      </c>
      <c r="I488" s="56">
        <v>0.021397527585370266</v>
      </c>
      <c r="J488" s="56">
        <v>-1.3910592114255396</v>
      </c>
      <c r="K488" s="50">
        <v>93283.90044380011</v>
      </c>
      <c r="L488" s="56">
        <v>-0.036779710751708924</v>
      </c>
      <c r="M488" s="56">
        <v>2.3910592114255396</v>
      </c>
      <c r="N488" s="51">
        <v>0.00281518212980858</v>
      </c>
      <c r="O488" s="7">
        <v>-0.2510118121453746</v>
      </c>
      <c r="P488" s="52">
        <v>53.25078109590257</v>
      </c>
      <c r="Q488" s="34">
        <v>1877.4605603368675</v>
      </c>
      <c r="R488" s="13">
        <v>5363.531182865308</v>
      </c>
      <c r="S488" s="56">
        <v>-0.6291252849712168</v>
      </c>
      <c r="T488" s="52">
        <v>280235.69559610984</v>
      </c>
      <c r="U488" s="50">
        <v>39013.63044380011</v>
      </c>
      <c r="V488" s="50">
        <v>-258662.04437454592</v>
      </c>
    </row>
    <row r="489">
      <c r="A489" s="54">
        <v>45167.95996753473</v>
      </c>
      <c r="B489" s="47">
        <v>0.8633395299066463</v>
      </c>
      <c r="C489" s="7">
        <v>0.022754343541239286</v>
      </c>
      <c r="D489" s="48">
        <v>-0.8444433279447484</v>
      </c>
      <c r="E489" s="49">
        <v>21.8</v>
      </c>
      <c r="F489" s="7">
        <v>0.026666275513266835</v>
      </c>
      <c r="G489" s="48">
        <v>-0.5906163336695652</v>
      </c>
      <c r="H489" s="50">
        <v>-54270.270000000004</v>
      </c>
      <c r="I489" s="56">
        <v>-0.026668236797926834</v>
      </c>
      <c r="J489" s="56">
        <v>-1.2449441971729684</v>
      </c>
      <c r="K489" s="50">
        <v>97862.80219801937</v>
      </c>
      <c r="L489" s="56">
        <v>0.048089467451064</v>
      </c>
      <c r="M489" s="56">
        <v>2.2449441971729684</v>
      </c>
      <c r="N489" s="51">
        <v>-0.003911931972027549</v>
      </c>
      <c r="O489" s="7">
        <v>-0.2538269942751832</v>
      </c>
      <c r="P489" s="52">
        <v>53.25078109590257</v>
      </c>
      <c r="Q489" s="34">
        <v>1999.6574402761178</v>
      </c>
      <c r="R489" s="13">
        <v>5363.531182865308</v>
      </c>
      <c r="S489" s="56">
        <v>-0.6049864380722202</v>
      </c>
      <c r="T489" s="52">
        <v>280235.69559610984</v>
      </c>
      <c r="U489" s="50">
        <v>43592.53219801937</v>
      </c>
      <c r="V489" s="50">
        <v>-254083.14262032666</v>
      </c>
    </row>
    <row r="490">
      <c r="A490" s="54">
        <v>45166.959966435184</v>
      </c>
      <c r="B490" s="47">
        <v>0.7370529232527679</v>
      </c>
      <c r="C490" s="7">
        <v>-0.0059269298698072514</v>
      </c>
      <c r="D490" s="48">
        <v>-0.8671976714859877</v>
      </c>
      <c r="E490" s="49">
        <v>20.38</v>
      </c>
      <c r="F490" s="7">
        <v>-0.006948254887259697</v>
      </c>
      <c r="G490" s="48">
        <v>-0.6172826091828321</v>
      </c>
      <c r="H490" s="50">
        <v>-54270.270000000004</v>
      </c>
      <c r="I490" s="56">
        <v>0.008136595647425736</v>
      </c>
      <c r="J490" s="56">
        <v>-1.4582528662988807</v>
      </c>
      <c r="K490" s="50">
        <v>91486.22290790731</v>
      </c>
      <c r="L490" s="56">
        <v>-0.01371628339258123</v>
      </c>
      <c r="M490" s="56">
        <v>2.458252866298881</v>
      </c>
      <c r="N490" s="51">
        <v>0.0010213250174524457</v>
      </c>
      <c r="O490" s="7">
        <v>-0.24991506230315563</v>
      </c>
      <c r="P490" s="52">
        <v>53.25078109590257</v>
      </c>
      <c r="Q490" s="34">
        <v>1826.101712851193</v>
      </c>
      <c r="R490" s="13">
        <v>5363.531182865308</v>
      </c>
      <c r="S490" s="56">
        <v>-0.6392707433248338</v>
      </c>
      <c r="T490" s="52">
        <v>280235.69559610984</v>
      </c>
      <c r="U490" s="50">
        <v>37215.95290790731</v>
      </c>
      <c r="V490" s="50">
        <v>-260459.72191043873</v>
      </c>
    </row>
    <row r="491">
      <c r="A491" s="54">
        <v>45165.95996152778</v>
      </c>
      <c r="B491" s="47">
        <v>0.7699473840301985</v>
      </c>
      <c r="C491" s="7">
        <v>0.006727866338700261</v>
      </c>
      <c r="D491" s="48">
        <v>-0.8612707416161804</v>
      </c>
      <c r="E491" s="49">
        <v>20.75</v>
      </c>
      <c r="F491" s="7">
        <v>0.0078872082504029</v>
      </c>
      <c r="G491" s="48">
        <v>-0.6103343542955724</v>
      </c>
      <c r="H491" s="50">
        <v>-54270.270000000004</v>
      </c>
      <c r="I491" s="56">
        <v>-0.008841540194271608</v>
      </c>
      <c r="J491" s="56">
        <v>-1.3959519315740179</v>
      </c>
      <c r="K491" s="50">
        <v>93147.16022272213</v>
      </c>
      <c r="L491" s="56">
        <v>0.015175239796880598</v>
      </c>
      <c r="M491" s="56">
        <v>2.395951931574018</v>
      </c>
      <c r="N491" s="51">
        <v>-0.0011593419117026382</v>
      </c>
      <c r="O491" s="7">
        <v>-0.2509363873206081</v>
      </c>
      <c r="P491" s="52">
        <v>53.25078109590257</v>
      </c>
      <c r="Q491" s="34">
        <v>1873.5850709745603</v>
      </c>
      <c r="R491" s="13">
        <v>5363.531182865308</v>
      </c>
      <c r="S491" s="56">
        <v>-0.6298908515259597</v>
      </c>
      <c r="T491" s="52">
        <v>280235.69559610984</v>
      </c>
      <c r="U491" s="50">
        <v>38876.890222722126</v>
      </c>
      <c r="V491" s="50">
        <v>-258798.7845956239</v>
      </c>
    </row>
    <row r="492">
      <c r="A492" s="54">
        <v>45164.95995587963</v>
      </c>
      <c r="B492" s="47">
        <v>0.7326077258504123</v>
      </c>
      <c r="C492" s="7">
        <v>6.407491751141414E-4</v>
      </c>
      <c r="D492" s="48">
        <v>-0.8679986079548807</v>
      </c>
      <c r="E492" s="49">
        <v>20.33</v>
      </c>
      <c r="F492" s="7">
        <v>7.511626905145619E-4</v>
      </c>
      <c r="G492" s="48">
        <v>-0.6182215625459753</v>
      </c>
      <c r="H492" s="50">
        <v>-54270.270000000004</v>
      </c>
      <c r="I492" s="56">
        <v>-8.849692489120674E-4</v>
      </c>
      <c r="J492" s="56">
        <v>-1.4671010146660368</v>
      </c>
      <c r="K492" s="50">
        <v>91261.77191941882</v>
      </c>
      <c r="L492" s="56">
        <v>0.0014881787348747753</v>
      </c>
      <c r="M492" s="56">
        <v>2.467101014666037</v>
      </c>
      <c r="N492" s="51">
        <v>-1.1041351540042044E-4</v>
      </c>
      <c r="O492" s="7">
        <v>-0.24977704540890544</v>
      </c>
      <c r="P492" s="52">
        <v>53.25078109590257</v>
      </c>
      <c r="Q492" s="34">
        <v>1819.5524800501144</v>
      </c>
      <c r="R492" s="13">
        <v>5363.531182865308</v>
      </c>
      <c r="S492" s="56">
        <v>-0.6405644828046775</v>
      </c>
      <c r="T492" s="52">
        <v>280235.69559610984</v>
      </c>
      <c r="U492" s="50">
        <v>36991.50191941882</v>
      </c>
      <c r="V492" s="50">
        <v>-260684.17289892724</v>
      </c>
    </row>
    <row r="493">
      <c r="A493" s="54">
        <v>45163.95996028935</v>
      </c>
      <c r="B493" s="47">
        <v>0.7290515679285284</v>
      </c>
      <c r="C493" s="7">
        <v>-0.009611237626714453</v>
      </c>
      <c r="D493" s="48">
        <v>-0.8686393571299948</v>
      </c>
      <c r="E493" s="49">
        <v>20.29</v>
      </c>
      <c r="F493" s="7">
        <v>-0.011267440357718428</v>
      </c>
      <c r="G493" s="48">
        <v>-0.6189727252364898</v>
      </c>
      <c r="H493" s="50">
        <v>-54270.270000000004</v>
      </c>
      <c r="I493" s="56">
        <v>0.013339289099984974</v>
      </c>
      <c r="J493" s="56">
        <v>-1.4742572202419093</v>
      </c>
      <c r="K493" s="50">
        <v>91082.21112862806</v>
      </c>
      <c r="L493" s="56">
        <v>-0.02238743138942626</v>
      </c>
      <c r="M493" s="56">
        <v>2.4742572202419093</v>
      </c>
      <c r="N493" s="51">
        <v>0.001656202731003975</v>
      </c>
      <c r="O493" s="7">
        <v>-0.24966663189350502</v>
      </c>
      <c r="P493" s="52">
        <v>53.25078109590257</v>
      </c>
      <c r="Q493" s="34">
        <v>1814.2898535548572</v>
      </c>
      <c r="R493" s="13">
        <v>5363.531182865308</v>
      </c>
      <c r="S493" s="56">
        <v>-0.6416040652827143</v>
      </c>
      <c r="T493" s="52">
        <v>280235.69559610984</v>
      </c>
      <c r="U493" s="50">
        <v>36811.94112862805</v>
      </c>
      <c r="V493" s="50">
        <v>-260863.733689718</v>
      </c>
    </row>
    <row r="494">
      <c r="A494" s="54">
        <v>45162.95998181713</v>
      </c>
      <c r="B494" s="47">
        <v>0.7823939367567938</v>
      </c>
      <c r="C494" s="7">
        <v>-0.007208428220035867</v>
      </c>
      <c r="D494" s="48">
        <v>-0.8590281195032804</v>
      </c>
      <c r="E494" s="49">
        <v>20.89</v>
      </c>
      <c r="F494" s="7">
        <v>-0.00845058026828871</v>
      </c>
      <c r="G494" s="48">
        <v>-0.6077052848787714</v>
      </c>
      <c r="H494" s="50">
        <v>-54270.270000000004</v>
      </c>
      <c r="I494" s="56">
        <v>0.00932237825778829</v>
      </c>
      <c r="J494" s="56">
        <v>-1.3737447179136577</v>
      </c>
      <c r="K494" s="50">
        <v>93775.6229904899</v>
      </c>
      <c r="L494" s="56">
        <v>-0.0161084849748692</v>
      </c>
      <c r="M494" s="56">
        <v>2.3737447179136577</v>
      </c>
      <c r="N494" s="51">
        <v>0.0012421520482528425</v>
      </c>
      <c r="O494" s="7">
        <v>-0.251322834624509</v>
      </c>
      <c r="P494" s="52">
        <v>53.25078109590257</v>
      </c>
      <c r="Q494" s="34">
        <v>1891.1131158683527</v>
      </c>
      <c r="R494" s="13">
        <v>5363.531182865308</v>
      </c>
      <c r="S494" s="56">
        <v>-0.6264283507457405</v>
      </c>
      <c r="T494" s="52">
        <v>280235.69559610984</v>
      </c>
      <c r="U494" s="50">
        <v>39505.35299048989</v>
      </c>
      <c r="V494" s="50">
        <v>-258170.32182785615</v>
      </c>
    </row>
    <row r="495">
      <c r="A495" s="54">
        <v>45161.959973715275</v>
      </c>
      <c r="B495" s="47">
        <v>0.8224007133779928</v>
      </c>
      <c r="C495" s="7">
        <v>0.021945659247664784</v>
      </c>
      <c r="D495" s="48">
        <v>-0.8518196912832445</v>
      </c>
      <c r="E495" s="49">
        <v>21.34</v>
      </c>
      <c r="F495" s="7">
        <v>0.025727322150123633</v>
      </c>
      <c r="G495" s="48">
        <v>-0.5992547046104827</v>
      </c>
      <c r="H495" s="50">
        <v>-54270.270000000004</v>
      </c>
      <c r="I495" s="56">
        <v>-0.02700080869139674</v>
      </c>
      <c r="J495" s="56">
        <v>-1.3069170788198385</v>
      </c>
      <c r="K495" s="50">
        <v>95795.68188688628</v>
      </c>
      <c r="L495" s="56">
        <v>0.04766073358562093</v>
      </c>
      <c r="M495" s="56">
        <v>2.3069170788198385</v>
      </c>
      <c r="N495" s="51">
        <v>-0.003781662902458849</v>
      </c>
      <c r="O495" s="7">
        <v>-0.25256498667276184</v>
      </c>
      <c r="P495" s="52">
        <v>53.25078109590257</v>
      </c>
      <c r="Q495" s="34">
        <v>1945.8955898259733</v>
      </c>
      <c r="R495" s="13">
        <v>5363.531182865308</v>
      </c>
      <c r="S495" s="56">
        <v>-0.6156065871109514</v>
      </c>
      <c r="T495" s="52">
        <v>280235.69559610984</v>
      </c>
      <c r="U495" s="50">
        <v>41525.41188688627</v>
      </c>
      <c r="V495" s="50">
        <v>-256150.26293145976</v>
      </c>
    </row>
    <row r="496">
      <c r="A496" s="54">
        <v>45160.95999106481</v>
      </c>
      <c r="B496" s="47">
        <v>0.7006023045534533</v>
      </c>
      <c r="C496" s="7">
        <v>-0.012219438729124565</v>
      </c>
      <c r="D496" s="48">
        <v>-0.8737653505309093</v>
      </c>
      <c r="E496" s="49">
        <v>19.97</v>
      </c>
      <c r="F496" s="7">
        <v>-0.025351740804866463</v>
      </c>
      <c r="G496" s="48">
        <v>-0.6249820267606063</v>
      </c>
      <c r="H496" s="50">
        <v>-54270.270000000004</v>
      </c>
      <c r="I496" s="56">
        <v>0.01764783014121554</v>
      </c>
      <c r="J496" s="56">
        <v>-1.5341221845286035</v>
      </c>
      <c r="K496" s="50">
        <v>89645.72480230173</v>
      </c>
      <c r="L496" s="56">
        <v>-0.029151366377892975</v>
      </c>
      <c r="M496" s="56">
        <v>2.5341221845286035</v>
      </c>
      <c r="N496" s="51">
        <v>0.013132302075741897</v>
      </c>
      <c r="O496" s="7">
        <v>-0.248783323770303</v>
      </c>
      <c r="P496" s="52">
        <v>53.25078109590257</v>
      </c>
      <c r="Q496" s="34">
        <v>1771.4298849425002</v>
      </c>
      <c r="R496" s="13">
        <v>5363.531182865308</v>
      </c>
      <c r="S496" s="56">
        <v>-0.6500706498709936</v>
      </c>
      <c r="T496" s="52">
        <v>280235.69559610984</v>
      </c>
      <c r="U496" s="50">
        <v>35375.45480230173</v>
      </c>
      <c r="V496" s="50">
        <v>-262300.22001604433</v>
      </c>
    </row>
    <row r="497">
      <c r="A497" s="54">
        <v>45159.95999107639</v>
      </c>
      <c r="B497" s="47">
        <v>0.7684201895000946</v>
      </c>
      <c r="C497" s="7">
        <v>-0.00394337987478055</v>
      </c>
      <c r="D497" s="48">
        <v>-0.8615459118017847</v>
      </c>
      <c r="E497" s="49">
        <v>21.32</v>
      </c>
      <c r="F497" s="7">
        <v>-0.00920174295880316</v>
      </c>
      <c r="G497" s="48">
        <v>-0.5996302859557399</v>
      </c>
      <c r="H497" s="50">
        <v>-54270.270000000004</v>
      </c>
      <c r="I497" s="56">
        <v>0.00519255932674325</v>
      </c>
      <c r="J497" s="56">
        <v>-1.3987263122882658</v>
      </c>
      <c r="K497" s="50">
        <v>93070.047714352</v>
      </c>
      <c r="L497" s="56">
        <v>-0.008904907683333761</v>
      </c>
      <c r="M497" s="56">
        <v>2.398726312288266</v>
      </c>
      <c r="N497" s="51">
        <v>0.00525836308402261</v>
      </c>
      <c r="O497" s="7">
        <v>-0.2619156258460449</v>
      </c>
      <c r="P497" s="52">
        <v>53.25078109590257</v>
      </c>
      <c r="Q497" s="34">
        <v>1819.8770034874292</v>
      </c>
      <c r="R497" s="13">
        <v>5363.531182865308</v>
      </c>
      <c r="S497" s="56">
        <v>-0.6405003762450634</v>
      </c>
      <c r="T497" s="52">
        <v>280235.69559610984</v>
      </c>
      <c r="U497" s="50">
        <v>38799.77771435199</v>
      </c>
      <c r="V497" s="50">
        <v>-258875.89710399404</v>
      </c>
    </row>
    <row r="498">
      <c r="A498" s="54">
        <v>45158.95996903935</v>
      </c>
      <c r="B498" s="47">
        <v>0.790305947805127</v>
      </c>
      <c r="C498" s="7">
        <v>0.00319318467675489</v>
      </c>
      <c r="D498" s="48">
        <v>-0.8576025319270042</v>
      </c>
      <c r="E498" s="49">
        <v>21.81</v>
      </c>
      <c r="F498" s="7">
        <v>-3.7558134525728093E-4</v>
      </c>
      <c r="G498" s="48">
        <v>-0.5904285429969367</v>
      </c>
      <c r="H498" s="50">
        <v>-54270.27000000001</v>
      </c>
      <c r="I498" s="56">
        <v>-0.004088277856915579</v>
      </c>
      <c r="J498" s="56">
        <v>-1.3599917107195345</v>
      </c>
      <c r="K498" s="50">
        <v>94175.12351656085</v>
      </c>
      <c r="L498" s="56">
        <v>0.007094382838800051</v>
      </c>
      <c r="M498" s="56">
        <v>2.3599917107195347</v>
      </c>
      <c r="N498" s="51">
        <v>0.003568766022012171</v>
      </c>
      <c r="O498" s="7">
        <v>-0.2671739889300675</v>
      </c>
      <c r="P498" s="52">
        <v>53.25078109590257</v>
      </c>
      <c r="Q498" s="34">
        <v>1829.6585748079249</v>
      </c>
      <c r="R498" s="13">
        <v>5363.531182865308</v>
      </c>
      <c r="S498" s="56">
        <v>-0.638568118623965</v>
      </c>
      <c r="T498" s="52">
        <v>280235.69559610984</v>
      </c>
      <c r="U498" s="50">
        <v>39904.85351656084</v>
      </c>
      <c r="V498" s="50">
        <v>-257770.8213017852</v>
      </c>
    </row>
    <row r="499">
      <c r="A499" s="54">
        <v>45157.959970428245</v>
      </c>
      <c r="B499" s="47">
        <v>0.7725837728491372</v>
      </c>
      <c r="C499" s="7">
        <v>0.007014076198688213</v>
      </c>
      <c r="D499" s="48">
        <v>-0.8607957166037591</v>
      </c>
      <c r="E499" s="49">
        <v>21.83</v>
      </c>
      <c r="F499" s="7">
        <v>0.00863837094091724</v>
      </c>
      <c r="G499" s="48">
        <v>-0.5900529616516794</v>
      </c>
      <c r="H499" s="50">
        <v>-54270.270000000004</v>
      </c>
      <c r="I499" s="56">
        <v>-0.009186213103657475</v>
      </c>
      <c r="J499" s="56">
        <v>-1.3911883419239202</v>
      </c>
      <c r="K499" s="50">
        <v>93280.27918750359</v>
      </c>
      <c r="L499" s="56">
        <v>0.015789354336823328</v>
      </c>
      <c r="M499" s="56">
        <v>2.39118834192392</v>
      </c>
      <c r="N499" s="51">
        <v>-0.0016242947422290266</v>
      </c>
      <c r="O499" s="7">
        <v>-0.27074275495207967</v>
      </c>
      <c r="P499" s="52">
        <v>53.25078109590257</v>
      </c>
      <c r="Q499" s="34">
        <v>1786.9908010766646</v>
      </c>
      <c r="R499" s="13">
        <v>5363.531182865308</v>
      </c>
      <c r="S499" s="56">
        <v>-0.6469967369170994</v>
      </c>
      <c r="T499" s="52">
        <v>280235.69559610984</v>
      </c>
      <c r="U499" s="50">
        <v>39010.00918750359</v>
      </c>
      <c r="V499" s="50">
        <v>-258665.66563084244</v>
      </c>
    </row>
    <row r="500">
      <c r="A500" s="54">
        <v>45156.95999974537</v>
      </c>
      <c r="B500" s="47">
        <v>0.7336556499464177</v>
      </c>
      <c r="C500" s="7">
        <v>0.005794236859785862</v>
      </c>
      <c r="D500" s="48">
        <v>-0.8678097928024473</v>
      </c>
      <c r="E500" s="49">
        <v>21.37</v>
      </c>
      <c r="F500" s="7">
        <v>0.007136045559888449</v>
      </c>
      <c r="G500" s="48">
        <v>-0.5986913325925967</v>
      </c>
      <c r="H500" s="50">
        <v>-54270.27000000001</v>
      </c>
      <c r="I500" s="56">
        <v>-0.007991266177948108</v>
      </c>
      <c r="J500" s="56">
        <v>-1.46500546683695</v>
      </c>
      <c r="K500" s="50">
        <v>91314.6846650001</v>
      </c>
      <c r="L500" s="56">
        <v>0.013446035022737345</v>
      </c>
      <c r="M500" s="56">
        <v>2.46500546683695</v>
      </c>
      <c r="N500" s="51">
        <v>-0.001341808700102587</v>
      </c>
      <c r="O500" s="7">
        <v>-0.26911846020985064</v>
      </c>
      <c r="P500" s="52">
        <v>53.25078109590257</v>
      </c>
      <c r="Q500" s="34">
        <v>1733.477522929344</v>
      </c>
      <c r="R500" s="13">
        <v>5363.531182865308</v>
      </c>
      <c r="S500" s="56">
        <v>-0.6575677828300865</v>
      </c>
      <c r="T500" s="52">
        <v>280235.69559610984</v>
      </c>
      <c r="U500" s="50">
        <v>37044.414665000084</v>
      </c>
      <c r="V500" s="50">
        <v>-260631.26015334597</v>
      </c>
    </row>
    <row r="501">
      <c r="A501" s="54">
        <v>45155.95997273148</v>
      </c>
      <c r="B501" s="47">
        <v>0.7014976353746062</v>
      </c>
      <c r="C501" s="7">
        <v>-0.02622654578639949</v>
      </c>
      <c r="D501" s="48">
        <v>-0.8736040296622332</v>
      </c>
      <c r="E501" s="49">
        <v>20.99</v>
      </c>
      <c r="F501" s="7">
        <v>-0.03229999569212605</v>
      </c>
      <c r="G501" s="48">
        <v>-0.6058273781524851</v>
      </c>
      <c r="H501" s="50">
        <v>-54270.27</v>
      </c>
      <c r="I501" s="56">
        <v>0.03782914293487938</v>
      </c>
      <c r="J501" s="56">
        <v>-1.5321641638511858</v>
      </c>
      <c r="K501" s="50">
        <v>89690.93266814937</v>
      </c>
      <c r="L501" s="56">
        <v>-0.06251914928497804</v>
      </c>
      <c r="M501" s="56">
        <v>2.532164163851186</v>
      </c>
      <c r="N501" s="51">
        <v>0.006073449905726558</v>
      </c>
      <c r="O501" s="7">
        <v>-0.26777665150974805</v>
      </c>
      <c r="P501" s="52">
        <v>53.25078109590257</v>
      </c>
      <c r="Q501" s="34">
        <v>1687.501794575959</v>
      </c>
      <c r="R501" s="13">
        <v>5363.531182865308</v>
      </c>
      <c r="S501" s="56">
        <v>-0.6666498565159609</v>
      </c>
      <c r="T501" s="52">
        <v>280235.69559610984</v>
      </c>
      <c r="U501" s="50">
        <v>35420.66266814937</v>
      </c>
      <c r="V501" s="50">
        <v>-262255.01215019665</v>
      </c>
    </row>
    <row r="502">
      <c r="A502" s="54">
        <v>45154.95996320602</v>
      </c>
      <c r="B502" s="47">
        <v>0.847054964489123</v>
      </c>
      <c r="C502" s="7">
        <v>-0.02012734909188796</v>
      </c>
      <c r="D502" s="48">
        <v>-0.8473774838758337</v>
      </c>
      <c r="E502" s="49">
        <v>22.71</v>
      </c>
      <c r="F502" s="7">
        <v>-0.02478836878698054</v>
      </c>
      <c r="G502" s="48">
        <v>-0.5735273824603591</v>
      </c>
      <c r="H502" s="50">
        <v>-54270.27</v>
      </c>
      <c r="I502" s="56">
        <v>0.024042886459718502</v>
      </c>
      <c r="J502" s="56">
        <v>-1.2688781519574215</v>
      </c>
      <c r="K502" s="50">
        <v>97040.54696968423</v>
      </c>
      <c r="L502" s="56">
        <v>-0.04299103086793374</v>
      </c>
      <c r="M502" s="56">
        <v>2.2688781519574213</v>
      </c>
      <c r="N502" s="51">
        <v>0.004661019695092583</v>
      </c>
      <c r="O502" s="7">
        <v>-0.2738501014154746</v>
      </c>
      <c r="P502" s="52">
        <v>53.25078109590257</v>
      </c>
      <c r="Q502" s="34">
        <v>1883.3235125356334</v>
      </c>
      <c r="R502" s="13">
        <v>5363.531182865308</v>
      </c>
      <c r="S502" s="56">
        <v>-0.6279671137840923</v>
      </c>
      <c r="T502" s="52">
        <v>280235.69559610984</v>
      </c>
      <c r="U502" s="50">
        <v>42770.27696968424</v>
      </c>
      <c r="V502" s="50">
        <v>-254905.3978486618</v>
      </c>
    </row>
    <row r="503">
      <c r="A503" s="54">
        <v>45153.95998789352</v>
      </c>
      <c r="B503" s="47">
        <v>0.9587617519491011</v>
      </c>
      <c r="C503" s="7">
        <v>-0.01300664883701641</v>
      </c>
      <c r="D503" s="48">
        <v>-0.8272501347839457</v>
      </c>
      <c r="E503" s="49">
        <v>24.03</v>
      </c>
      <c r="F503" s="7">
        <v>-0.017276741881834812</v>
      </c>
      <c r="G503" s="48">
        <v>-0.5487390136733785</v>
      </c>
      <c r="H503" s="50">
        <v>-54270.270000000004</v>
      </c>
      <c r="I503" s="56">
        <v>0.013726706038030447</v>
      </c>
      <c r="J503" s="56">
        <v>-1.1210392318657882</v>
      </c>
      <c r="K503" s="50">
        <v>102680.94864295519</v>
      </c>
      <c r="L503" s="56">
        <v>-0.02597133195998375</v>
      </c>
      <c r="M503" s="56">
        <v>2.1210392318657885</v>
      </c>
      <c r="N503" s="51">
        <v>0.004270093044818402</v>
      </c>
      <c r="O503" s="7">
        <v>-0.2785111211105672</v>
      </c>
      <c r="P503" s="52">
        <v>53.25078109590257</v>
      </c>
      <c r="Q503" s="34">
        <v>2014.5933684126169</v>
      </c>
      <c r="R503" s="13">
        <v>5363.531182865308</v>
      </c>
      <c r="S503" s="56">
        <v>-0.6020359856321857</v>
      </c>
      <c r="T503" s="52">
        <v>280235.69559610984</v>
      </c>
      <c r="U503" s="50">
        <v>48410.67864295519</v>
      </c>
      <c r="V503" s="50">
        <v>-249264.99617539084</v>
      </c>
    </row>
    <row r="504">
      <c r="A504" s="54">
        <v>45152.9599681713</v>
      </c>
      <c r="B504" s="47">
        <v>1.0309486529945424</v>
      </c>
      <c r="C504" s="7">
        <v>0.007907665849101853</v>
      </c>
      <c r="D504" s="48">
        <v>-0.8142434859469293</v>
      </c>
      <c r="E504" s="49">
        <v>24.95</v>
      </c>
      <c r="F504" s="7">
        <v>0.009765114976689193</v>
      </c>
      <c r="G504" s="48">
        <v>-0.5314622717915437</v>
      </c>
      <c r="H504" s="50">
        <v>-54270.27000000001</v>
      </c>
      <c r="I504" s="56">
        <v>-0.007761093083766685</v>
      </c>
      <c r="J504" s="56">
        <v>-1.042544199291958</v>
      </c>
      <c r="K504" s="50">
        <v>106325.87592717084</v>
      </c>
      <c r="L504" s="56">
        <v>0.015205471067009618</v>
      </c>
      <c r="M504" s="56">
        <v>2.042544199291958</v>
      </c>
      <c r="N504" s="51">
        <v>-0.0018574491275873406</v>
      </c>
      <c r="O504" s="7">
        <v>-0.2827812141553856</v>
      </c>
      <c r="P504" s="52">
        <v>53.25078109590257</v>
      </c>
      <c r="Q504" s="34">
        <v>2086.3970311491316</v>
      </c>
      <c r="R504" s="13">
        <v>5363.531182865308</v>
      </c>
      <c r="S504" s="56">
        <v>-0.5878518458861824</v>
      </c>
      <c r="T504" s="52">
        <v>280235.69559610984</v>
      </c>
      <c r="U504" s="50">
        <v>52055.60592717083</v>
      </c>
      <c r="V504" s="50">
        <v>-245620.0688911752</v>
      </c>
    </row>
    <row r="505">
      <c r="A505" s="54">
        <v>45151.95996248843</v>
      </c>
      <c r="B505" s="47">
        <v>0.9870611075320268</v>
      </c>
      <c r="C505" s="7">
        <v>-0.002271024885762696</v>
      </c>
      <c r="D505" s="48">
        <v>-0.8221511517960312</v>
      </c>
      <c r="E505" s="49">
        <v>24.43</v>
      </c>
      <c r="F505" s="7">
        <v>-0.006009301524116384</v>
      </c>
      <c r="G505" s="48">
        <v>-0.5412273867682329</v>
      </c>
      <c r="H505" s="50">
        <v>-54270.27000000001</v>
      </c>
      <c r="I505" s="56">
        <v>0.002328034820104019</v>
      </c>
      <c r="J505" s="56">
        <v>-1.0888986808878436</v>
      </c>
      <c r="K505" s="50">
        <v>104109.86568740616</v>
      </c>
      <c r="L505" s="56">
        <v>-0.004466006755386221</v>
      </c>
      <c r="M505" s="56">
        <v>2.088898680887844</v>
      </c>
      <c r="N505" s="51">
        <v>0.003738276638353688</v>
      </c>
      <c r="O505" s="7">
        <v>-0.28092376502779826</v>
      </c>
      <c r="P505" s="52">
        <v>53.25078109590257</v>
      </c>
      <c r="Q505" s="34">
        <v>2040.0980633404072</v>
      </c>
      <c r="R505" s="13">
        <v>5363.531182865308</v>
      </c>
      <c r="S505" s="56">
        <v>-0.596997772493081</v>
      </c>
      <c r="T505" s="52">
        <v>280235.69559610984</v>
      </c>
      <c r="U505" s="50">
        <v>49839.595687406145</v>
      </c>
      <c r="V505" s="50">
        <v>-247836.0791309399</v>
      </c>
    </row>
    <row r="506">
      <c r="A506" s="54">
        <v>45150.95999567129</v>
      </c>
      <c r="B506" s="47">
        <v>0.9996652956480103</v>
      </c>
      <c r="C506" s="7">
        <v>0.0035855571664904495</v>
      </c>
      <c r="D506" s="48">
        <v>-0.8198801269102685</v>
      </c>
      <c r="E506" s="49">
        <v>24.75</v>
      </c>
      <c r="F506" s="7">
        <v>0.00450697614308726</v>
      </c>
      <c r="G506" s="48">
        <v>-0.5352180852441165</v>
      </c>
      <c r="H506" s="50">
        <v>-54304.54637050815</v>
      </c>
      <c r="I506" s="56">
        <v>-0.003631515165605391</v>
      </c>
      <c r="J506" s="56">
        <v>-1.0758484643170185</v>
      </c>
      <c r="K506" s="50">
        <v>104780.56429649211</v>
      </c>
      <c r="L506" s="56">
        <v>0.007007004638382385</v>
      </c>
      <c r="M506" s="56">
        <v>2.0758484643170187</v>
      </c>
      <c r="N506" s="51">
        <v>-9.214189765968106E-4</v>
      </c>
      <c r="O506" s="7">
        <v>-0.28466204166615194</v>
      </c>
      <c r="P506" s="52">
        <v>53.25078109590257</v>
      </c>
      <c r="Q506" s="34">
        <v>2039.435067716524</v>
      </c>
      <c r="R506" s="13">
        <v>5363.531182865308</v>
      </c>
      <c r="S506" s="56">
        <v>-0.5971287410568247</v>
      </c>
      <c r="T506" s="52">
        <v>280235.69559610984</v>
      </c>
      <c r="U506" s="50">
        <v>50476.017925983964</v>
      </c>
      <c r="V506" s="50">
        <v>-247199.65689236208</v>
      </c>
    </row>
    <row r="507">
      <c r="A507" s="54">
        <v>45149.95997675926</v>
      </c>
      <c r="B507" s="47">
        <v>0.9797654533739877</v>
      </c>
      <c r="C507" s="7">
        <v>-0.0024807289576180835</v>
      </c>
      <c r="D507" s="48">
        <v>-0.8234656840767589</v>
      </c>
      <c r="E507" s="49">
        <v>24.51</v>
      </c>
      <c r="F507" s="7">
        <v>-0.003192441434686777</v>
      </c>
      <c r="G507" s="48">
        <v>-0.5397250613872038</v>
      </c>
      <c r="H507" s="50">
        <v>-54293.29352034481</v>
      </c>
      <c r="I507" s="56">
        <v>0.0025630260357066025</v>
      </c>
      <c r="J507" s="56">
        <v>-1.0974723690064467</v>
      </c>
      <c r="K507" s="50">
        <v>103764.51033967767</v>
      </c>
      <c r="L507" s="56">
        <v>-0.004898416072019714</v>
      </c>
      <c r="M507" s="56">
        <v>2.0974723690064465</v>
      </c>
      <c r="N507" s="51">
        <v>7.117124770686933E-4</v>
      </c>
      <c r="O507" s="7">
        <v>-0.28374062268955513</v>
      </c>
      <c r="P507" s="52">
        <v>53.25078109590257</v>
      </c>
      <c r="Q507" s="34">
        <v>2018.409498952789</v>
      </c>
      <c r="R507" s="13">
        <v>5363.531182865308</v>
      </c>
      <c r="S507" s="56">
        <v>-0.6012821448557142</v>
      </c>
      <c r="T507" s="52">
        <v>280235.69559610984</v>
      </c>
      <c r="U507" s="50">
        <v>49471.21681933286</v>
      </c>
      <c r="V507" s="50">
        <v>-248204.4579990132</v>
      </c>
    </row>
    <row r="508">
      <c r="A508" s="54">
        <v>45148.96159784722</v>
      </c>
      <c r="B508" s="47">
        <v>0.9935334990887686</v>
      </c>
      <c r="C508" s="7">
        <v>0.006022985089778277</v>
      </c>
      <c r="D508" s="48">
        <v>-0.8209849551191408</v>
      </c>
      <c r="E508" s="49">
        <v>24.68</v>
      </c>
      <c r="F508" s="7">
        <v>0.007511626905145508</v>
      </c>
      <c r="G508" s="48">
        <v>-0.536532619952517</v>
      </c>
      <c r="H508" s="50">
        <v>-54317.809601398156</v>
      </c>
      <c r="I508" s="56">
        <v>-0.006139332541966226</v>
      </c>
      <c r="J508" s="56">
        <v>-1.0827526693486325</v>
      </c>
      <c r="K508" s="50">
        <v>104484.21522575457</v>
      </c>
      <c r="L508" s="56">
        <v>0.011809447902346318</v>
      </c>
      <c r="M508" s="56">
        <v>2.0827526693486327</v>
      </c>
      <c r="N508" s="51">
        <v>-0.001488641815367231</v>
      </c>
      <c r="O508" s="7">
        <v>-0.2844523351666238</v>
      </c>
      <c r="P508" s="52">
        <v>53.25078109590257</v>
      </c>
      <c r="Q508" s="34">
        <v>2032.6744580371317</v>
      </c>
      <c r="R508" s="13">
        <v>5363.531182865308</v>
      </c>
      <c r="S508" s="56">
        <v>-0.5984642360553538</v>
      </c>
      <c r="T508" s="52">
        <v>280235.69559610984</v>
      </c>
      <c r="U508" s="50">
        <v>50166.40562435641</v>
      </c>
      <c r="V508" s="50">
        <v>-247509.26919398963</v>
      </c>
    </row>
    <row r="509">
      <c r="A509" s="54">
        <v>45147.95999310185</v>
      </c>
      <c r="B509" s="47">
        <v>0.9601059318404991</v>
      </c>
      <c r="C509" s="7">
        <v>-0.001708676682542709</v>
      </c>
      <c r="D509" s="48">
        <v>-0.8270079402089191</v>
      </c>
      <c r="E509" s="49">
        <v>24.28</v>
      </c>
      <c r="F509" s="7">
        <v>-0.002065697398915045</v>
      </c>
      <c r="G509" s="48">
        <v>-0.5440442468576625</v>
      </c>
      <c r="H509" s="50">
        <v>-54312.24175623975</v>
      </c>
      <c r="I509" s="56">
        <v>0.001802138252072466</v>
      </c>
      <c r="J509" s="56">
        <v>-1.1203355199987137</v>
      </c>
      <c r="K509" s="50">
        <v>102790.79196439714</v>
      </c>
      <c r="L509" s="56">
        <v>-0.00341070838120176</v>
      </c>
      <c r="M509" s="56">
        <v>2.1203355199987137</v>
      </c>
      <c r="N509" s="51">
        <v>3.57020716372336E-4</v>
      </c>
      <c r="O509" s="7">
        <v>-0.2829636933512566</v>
      </c>
      <c r="P509" s="52">
        <v>53.25078109590257</v>
      </c>
      <c r="Q509" s="34">
        <v>1996.6453957231213</v>
      </c>
      <c r="R509" s="13">
        <v>5363.531182865308</v>
      </c>
      <c r="S509" s="56">
        <v>-0.6055814392077147</v>
      </c>
      <c r="T509" s="52">
        <v>280235.69559610984</v>
      </c>
      <c r="U509" s="50">
        <v>48478.55020815739</v>
      </c>
      <c r="V509" s="50">
        <v>-249197.12461018865</v>
      </c>
    </row>
    <row r="510">
      <c r="A510" s="54">
        <v>45146.95997710648</v>
      </c>
      <c r="B510" s="47">
        <v>0.9695890874286112</v>
      </c>
      <c r="C510" s="7">
        <v>0.020815208409382557</v>
      </c>
      <c r="D510" s="48">
        <v>-0.8252992635263764</v>
      </c>
      <c r="E510" s="49">
        <v>24.39</v>
      </c>
      <c r="F510" s="7">
        <v>0.025727322150123744</v>
      </c>
      <c r="G510" s="48">
        <v>-0.5419785494587475</v>
      </c>
      <c r="H510" s="50">
        <v>-54299.100954431815</v>
      </c>
      <c r="I510" s="56">
        <v>-0.021733782663630578</v>
      </c>
      <c r="J510" s="56">
        <v>-1.1091095619288474</v>
      </c>
      <c r="K510" s="50">
        <v>103256.48336127041</v>
      </c>
      <c r="L510" s="56">
        <v>0.041329486649658305</v>
      </c>
      <c r="M510" s="56">
        <v>2.1091095619288476</v>
      </c>
      <c r="N510" s="51">
        <v>-0.004912113740741186</v>
      </c>
      <c r="O510" s="7">
        <v>-0.28332071406762893</v>
      </c>
      <c r="P510" s="52">
        <v>53.25078109590257</v>
      </c>
      <c r="Q510" s="34">
        <v>2007.2727514078965</v>
      </c>
      <c r="R510" s="13">
        <v>5363.531182865308</v>
      </c>
      <c r="S510" s="56">
        <v>-0.6034821048225528</v>
      </c>
      <c r="T510" s="52">
        <v>280235.69559610984</v>
      </c>
      <c r="U510" s="50">
        <v>48957.382406838595</v>
      </c>
      <c r="V510" s="50">
        <v>-248718.29241150746</v>
      </c>
    </row>
    <row r="511">
      <c r="A511" s="54">
        <v>45145.95997090278</v>
      </c>
      <c r="B511" s="47">
        <v>0.8540646807565375</v>
      </c>
      <c r="C511" s="7">
        <v>-0.0018986694058484854</v>
      </c>
      <c r="D511" s="48">
        <v>-0.846114471935759</v>
      </c>
      <c r="E511" s="49">
        <v>23.02</v>
      </c>
      <c r="F511" s="7">
        <v>-0.0037558134525728093</v>
      </c>
      <c r="G511" s="48">
        <v>-0.5677058716088712</v>
      </c>
      <c r="H511" s="50">
        <v>-54332.2906918639</v>
      </c>
      <c r="I511" s="56">
        <v>0.0022519888819382263</v>
      </c>
      <c r="J511" s="56">
        <v>-1.25990205069457</v>
      </c>
      <c r="K511" s="50">
        <v>97456.50869112115</v>
      </c>
      <c r="L511" s="56">
        <v>-0.004039420595932762</v>
      </c>
      <c r="M511" s="56">
        <v>2.2599020506945697</v>
      </c>
      <c r="N511" s="51">
        <v>0.0018571440467243239</v>
      </c>
      <c r="O511" s="7">
        <v>-0.27840860032688775</v>
      </c>
      <c r="P511" s="52">
        <v>53.25078109590257</v>
      </c>
      <c r="Q511" s="34">
        <v>1873.3370112622613</v>
      </c>
      <c r="R511" s="13">
        <v>5363.531182865308</v>
      </c>
      <c r="S511" s="56">
        <v>-0.6299398533942558</v>
      </c>
      <c r="T511" s="52">
        <v>280235.69559610984</v>
      </c>
      <c r="U511" s="50">
        <v>43124.21799925726</v>
      </c>
      <c r="V511" s="50">
        <v>-254551.45681908878</v>
      </c>
    </row>
    <row r="512">
      <c r="A512" s="54">
        <v>45144.960097476855</v>
      </c>
      <c r="B512" s="47">
        <v>0.8646022959589967</v>
      </c>
      <c r="C512" s="7">
        <v>0.009180386995355505</v>
      </c>
      <c r="D512" s="48">
        <v>-0.8442158025299105</v>
      </c>
      <c r="E512" s="49">
        <v>23.22</v>
      </c>
      <c r="F512" s="7">
        <v>0.011455231030347068</v>
      </c>
      <c r="G512" s="48">
        <v>-0.5639500581562984</v>
      </c>
      <c r="H512" s="50">
        <v>-54646.92738088761</v>
      </c>
      <c r="I512" s="56">
        <v>-0.010818324120804471</v>
      </c>
      <c r="J512" s="56">
        <v>-1.2517537266586263</v>
      </c>
      <c r="K512" s="50">
        <v>98303.22032179988</v>
      </c>
      <c r="L512" s="56">
        <v>0.019460858103653004</v>
      </c>
      <c r="M512" s="56">
        <v>2.2517537266586265</v>
      </c>
      <c r="N512" s="51">
        <v>-0.0022748440349915633</v>
      </c>
      <c r="O512" s="7">
        <v>-0.28026574437361207</v>
      </c>
      <c r="P512" s="52">
        <v>53.25078109590257</v>
      </c>
      <c r="Q512" s="34">
        <v>1880.1159750608213</v>
      </c>
      <c r="R512" s="13">
        <v>5363.531182865308</v>
      </c>
      <c r="S512" s="56">
        <v>-0.6286007327117259</v>
      </c>
      <c r="T512" s="52">
        <v>280235.69559610984</v>
      </c>
      <c r="U512" s="50">
        <v>43656.292940912266</v>
      </c>
      <c r="V512" s="50">
        <v>-254019.38187743377</v>
      </c>
    </row>
    <row r="513">
      <c r="A513" s="54">
        <v>45143.959971435186</v>
      </c>
      <c r="B513" s="47">
        <v>0.8136511481347738</v>
      </c>
      <c r="C513" s="7">
        <v>-0.003002934389643941</v>
      </c>
      <c r="D513" s="48">
        <v>-0.853396189525266</v>
      </c>
      <c r="E513" s="49">
        <v>22.61</v>
      </c>
      <c r="F513" s="7">
        <v>-0.0037558134525728093</v>
      </c>
      <c r="G513" s="48">
        <v>-0.5754052891866455</v>
      </c>
      <c r="H513" s="50">
        <v>-54637.12904280241</v>
      </c>
      <c r="I513" s="56">
        <v>0.003759630023212896</v>
      </c>
      <c r="J513" s="56">
        <v>-1.3299005290104464</v>
      </c>
      <c r="K513" s="50">
        <v>95720.74984822975</v>
      </c>
      <c r="L513" s="56">
        <v>-0.006586630946364919</v>
      </c>
      <c r="M513" s="56">
        <v>2.3299005290104464</v>
      </c>
      <c r="N513" s="51">
        <v>7.528790629288684E-4</v>
      </c>
      <c r="O513" s="7">
        <v>-0.2779909003386205</v>
      </c>
      <c r="P513" s="52">
        <v>53.25078109590257</v>
      </c>
      <c r="Q513" s="34">
        <v>1817.0553208946194</v>
      </c>
      <c r="R513" s="13">
        <v>5363.531182865308</v>
      </c>
      <c r="S513" s="56">
        <v>-0.6410577731617381</v>
      </c>
      <c r="T513" s="52">
        <v>280235.69559610984</v>
      </c>
      <c r="U513" s="50">
        <v>41083.620805427345</v>
      </c>
      <c r="V513" s="50">
        <v>-256592.0540129187</v>
      </c>
    </row>
    <row r="514">
      <c r="A514" s="54">
        <v>45142.95998597222</v>
      </c>
      <c r="B514" s="47">
        <v>0.8303174339972977</v>
      </c>
      <c r="C514" s="7">
        <v>-1.835178684216343E-4</v>
      </c>
      <c r="D514" s="48">
        <v>-0.850393255135622</v>
      </c>
      <c r="E514" s="49">
        <v>22.81</v>
      </c>
      <c r="F514" s="7">
        <v>0.0</v>
      </c>
      <c r="G514" s="48">
        <v>-0.5716494757340727</v>
      </c>
      <c r="H514" s="50">
        <v>-54642.311265969794</v>
      </c>
      <c r="I514" s="56">
        <v>2.2517122814877508E-4</v>
      </c>
      <c r="J514" s="56">
        <v>-1.3033301249593712</v>
      </c>
      <c r="K514" s="50">
        <v>96567.46147890849</v>
      </c>
      <c r="L514" s="56">
        <v>-3.9793730163748106E-4</v>
      </c>
      <c r="M514" s="56">
        <v>2.303330124959371</v>
      </c>
      <c r="N514" s="51">
        <v>-1.835178684216343E-4</v>
      </c>
      <c r="O514" s="7">
        <v>-0.2787437794015494</v>
      </c>
      <c r="P514" s="52">
        <v>53.25078109590257</v>
      </c>
      <c r="Q514" s="34">
        <v>1838.0162302910433</v>
      </c>
      <c r="R514" s="13">
        <v>5363.531182865308</v>
      </c>
      <c r="S514" s="56">
        <v>-0.6369171422140776</v>
      </c>
      <c r="T514" s="52">
        <v>280235.69559610984</v>
      </c>
      <c r="U514" s="50">
        <v>41925.15021293869</v>
      </c>
      <c r="V514" s="50">
        <v>-255750.52460540735</v>
      </c>
    </row>
    <row r="515">
      <c r="A515" s="54">
        <v>45141.95995877315</v>
      </c>
      <c r="B515" s="47">
        <v>0.8313359581670381</v>
      </c>
      <c r="C515" s="7">
        <v>-0.0049856072322350675</v>
      </c>
      <c r="D515" s="48">
        <v>-0.8502097372672004</v>
      </c>
      <c r="E515" s="49">
        <v>22.81</v>
      </c>
      <c r="F515" s="7">
        <v>-0.006197092196745135</v>
      </c>
      <c r="G515" s="48">
        <v>-0.5716494757340727</v>
      </c>
      <c r="H515" s="50">
        <v>-54590.883008458324</v>
      </c>
      <c r="I515" s="56">
        <v>0.006103953990263689</v>
      </c>
      <c r="J515" s="56">
        <v>-1.3005081642585072</v>
      </c>
      <c r="K515" s="50">
        <v>96567.46147890849</v>
      </c>
      <c r="L515" s="56">
        <v>-0.010797468539435242</v>
      </c>
      <c r="M515" s="56">
        <v>2.3005081642585075</v>
      </c>
      <c r="N515" s="51">
        <v>0.0012114849645100678</v>
      </c>
      <c r="O515" s="7">
        <v>-0.27856026153312774</v>
      </c>
      <c r="P515" s="52">
        <v>53.25078109590257</v>
      </c>
      <c r="Q515" s="34">
        <v>1840.270866744856</v>
      </c>
      <c r="R515" s="13">
        <v>5363.531182865308</v>
      </c>
      <c r="S515" s="56">
        <v>-0.6364717599408269</v>
      </c>
      <c r="T515" s="52">
        <v>280235.69559610984</v>
      </c>
      <c r="U515" s="50">
        <v>41976.578470450164</v>
      </c>
      <c r="V515" s="50">
        <v>-255699.0963478959</v>
      </c>
    </row>
    <row r="516">
      <c r="A516" s="54">
        <v>45140.959958437496</v>
      </c>
      <c r="B516" s="47">
        <v>0.8590060783059424</v>
      </c>
      <c r="C516" s="7">
        <v>-0.007060172283469224</v>
      </c>
      <c r="D516" s="48">
        <v>-0.8452241300349653</v>
      </c>
      <c r="E516" s="49">
        <v>23.14</v>
      </c>
      <c r="F516" s="7">
        <v>-0.008826161613546102</v>
      </c>
      <c r="G516" s="48">
        <v>-0.5654523835373275</v>
      </c>
      <c r="H516" s="50">
        <v>-54590.812088383864</v>
      </c>
      <c r="I516" s="56">
        <v>0.008365429685995138</v>
      </c>
      <c r="J516" s="56">
        <v>-1.2586148382269773</v>
      </c>
      <c r="K516" s="50">
        <v>97964.5356695284</v>
      </c>
      <c r="L516" s="56">
        <v>-0.015011966364189397</v>
      </c>
      <c r="M516" s="56">
        <v>2.2586148382269773</v>
      </c>
      <c r="N516" s="51">
        <v>0.001765989330076878</v>
      </c>
      <c r="O516" s="7">
        <v>-0.2797717464976378</v>
      </c>
      <c r="P516" s="52">
        <v>53.25078109590257</v>
      </c>
      <c r="Q516" s="34">
        <v>1874.404649141942</v>
      </c>
      <c r="R516" s="13">
        <v>5363.531182865308</v>
      </c>
      <c r="S516" s="56">
        <v>-0.6297289515501663</v>
      </c>
      <c r="T516" s="52">
        <v>280235.69559610984</v>
      </c>
      <c r="U516" s="50">
        <v>43373.723581144535</v>
      </c>
      <c r="V516" s="50">
        <v>-254301.95123720152</v>
      </c>
    </row>
    <row r="517">
      <c r="A517" s="54">
        <v>45139.95999899306</v>
      </c>
      <c r="B517" s="47">
        <v>0.8981900344791968</v>
      </c>
      <c r="C517" s="7">
        <v>-0.0043723818832528405</v>
      </c>
      <c r="D517" s="48">
        <v>-0.8381639577514961</v>
      </c>
      <c r="E517" s="49">
        <v>23.61</v>
      </c>
      <c r="F517" s="7">
        <v>-0.0026290694168009665</v>
      </c>
      <c r="G517" s="48">
        <v>-0.5566262219237814</v>
      </c>
      <c r="H517" s="50">
        <v>-54602.07212959247</v>
      </c>
      <c r="I517" s="56">
        <v>0.004955741155832451</v>
      </c>
      <c r="J517" s="56">
        <v>-1.2039554628279308</v>
      </c>
      <c r="K517" s="50">
        <v>99954.30800162339</v>
      </c>
      <c r="L517" s="56">
        <v>-0.009071957501736207</v>
      </c>
      <c r="M517" s="56">
        <v>2.2039554628279308</v>
      </c>
      <c r="N517" s="51">
        <v>-0.001743312466451874</v>
      </c>
      <c r="O517" s="7">
        <v>-0.2815377358277147</v>
      </c>
      <c r="P517" s="52">
        <v>53.25078109590257</v>
      </c>
      <c r="Q517" s="34">
        <v>1920.8909729788616</v>
      </c>
      <c r="R517" s="13">
        <v>5363.531182865308</v>
      </c>
      <c r="S517" s="56">
        <v>-0.6205460145181043</v>
      </c>
      <c r="T517" s="52">
        <v>280235.69559610984</v>
      </c>
      <c r="U517" s="50">
        <v>45352.23587203092</v>
      </c>
      <c r="V517" s="50">
        <v>-252323.43894631512</v>
      </c>
    </row>
    <row r="518">
      <c r="A518" s="54">
        <v>45138.95997484954</v>
      </c>
      <c r="B518" s="47">
        <v>0.92245675393125</v>
      </c>
      <c r="C518" s="7">
        <v>-0.007226608398174461</v>
      </c>
      <c r="D518" s="48">
        <v>-0.8337915758682433</v>
      </c>
      <c r="E518" s="49">
        <v>23.75</v>
      </c>
      <c r="F518" s="7">
        <v>-0.009201742958803272</v>
      </c>
      <c r="G518" s="48">
        <v>-0.5539971525069805</v>
      </c>
      <c r="H518" s="50">
        <v>-54634.11455068988</v>
      </c>
      <c r="I518" s="56">
        <v>0.007979984570841685</v>
      </c>
      <c r="J518" s="56">
        <v>-1.1729714010307926</v>
      </c>
      <c r="K518" s="50">
        <v>101211.64790118599</v>
      </c>
      <c r="L518" s="56">
        <v>-0.014783206340638438</v>
      </c>
      <c r="M518" s="56">
        <v>2.1729714010307926</v>
      </c>
      <c r="N518" s="51">
        <v>0.0019751345606288107</v>
      </c>
      <c r="O518" s="7">
        <v>-0.2797944233612628</v>
      </c>
      <c r="P518" s="52">
        <v>53.25078109590257</v>
      </c>
      <c r="Q518" s="34">
        <v>1961.1592989682572</v>
      </c>
      <c r="R518" s="13">
        <v>5363.531182865308</v>
      </c>
      <c r="S518" s="56">
        <v>-0.6125913846092217</v>
      </c>
      <c r="T518" s="52">
        <v>280235.69559610984</v>
      </c>
      <c r="U518" s="50">
        <v>46577.53335049611</v>
      </c>
      <c r="V518" s="50">
        <v>-251098.14146784993</v>
      </c>
    </row>
    <row r="519">
      <c r="A519" s="54">
        <v>45137.95996912037</v>
      </c>
      <c r="B519" s="47">
        <v>0.9625644305411182</v>
      </c>
      <c r="C519" s="7">
        <v>-0.014885828822901903</v>
      </c>
      <c r="D519" s="48">
        <v>-0.8265649674700688</v>
      </c>
      <c r="E519" s="49">
        <v>24.24</v>
      </c>
      <c r="F519" s="7">
        <v>-0.018403485917606655</v>
      </c>
      <c r="G519" s="48">
        <v>-0.5447954095481772</v>
      </c>
      <c r="H519" s="50">
        <v>-54636.28802600752</v>
      </c>
      <c r="I519" s="56">
        <v>0.01575339031532074</v>
      </c>
      <c r="J519" s="56">
        <v>-1.1241413061486238</v>
      </c>
      <c r="K519" s="50">
        <v>103238.97500776673</v>
      </c>
      <c r="L519" s="56">
        <v>-0.029767100361518414</v>
      </c>
      <c r="M519" s="56">
        <v>2.124141306148624</v>
      </c>
      <c r="N519" s="51">
        <v>0.0035176570947047514</v>
      </c>
      <c r="O519" s="7">
        <v>-0.2817695579218916</v>
      </c>
      <c r="P519" s="52">
        <v>53.25078109590257</v>
      </c>
      <c r="Q519" s="34">
        <v>2005.0613441319806</v>
      </c>
      <c r="R519" s="13">
        <v>5363.531182865308</v>
      </c>
      <c r="S519" s="56">
        <v>-0.6039189475773858</v>
      </c>
      <c r="T519" s="52">
        <v>280235.69559610984</v>
      </c>
      <c r="U519" s="50">
        <v>48602.68698175921</v>
      </c>
      <c r="V519" s="50">
        <v>-249072.98783658684</v>
      </c>
    </row>
    <row r="520">
      <c r="A520" s="54">
        <v>45136.96010081019</v>
      </c>
      <c r="B520" s="47">
        <v>1.045180780508224</v>
      </c>
      <c r="C520" s="7">
        <v>0.0032743490674864706</v>
      </c>
      <c r="D520" s="48">
        <v>-0.8116791386471669</v>
      </c>
      <c r="E520" s="49">
        <v>25.22</v>
      </c>
      <c r="F520" s="7">
        <v>0.0037558134525726983</v>
      </c>
      <c r="G520" s="48">
        <v>-0.5263919236305705</v>
      </c>
      <c r="H520" s="50">
        <v>-54638.60038128092</v>
      </c>
      <c r="I520" s="56">
        <v>-0.003191411189962411</v>
      </c>
      <c r="J520" s="56">
        <v>-1.0353273347697922</v>
      </c>
      <c r="K520" s="50">
        <v>107412.82795775069</v>
      </c>
      <c r="L520" s="56">
        <v>0.006273925369569222</v>
      </c>
      <c r="M520" s="56">
        <v>2.0353273347697924</v>
      </c>
      <c r="N520" s="51">
        <v>-4.814643850862277E-4</v>
      </c>
      <c r="O520" s="7">
        <v>-0.2852872150165964</v>
      </c>
      <c r="P520" s="52">
        <v>53.25078109590257</v>
      </c>
      <c r="Q520" s="34">
        <v>2092.554622381831</v>
      </c>
      <c r="R520" s="13">
        <v>5363.531182865308</v>
      </c>
      <c r="S520" s="56">
        <v>-0.5866354715228874</v>
      </c>
      <c r="T520" s="52">
        <v>280235.69559610984</v>
      </c>
      <c r="U520" s="50">
        <v>52774.22757646977</v>
      </c>
      <c r="V520" s="50">
        <v>-244901.44724187627</v>
      </c>
    </row>
    <row r="521">
      <c r="A521" s="54">
        <v>45135.95996231481</v>
      </c>
      <c r="B521" s="47">
        <v>1.0270081431836737</v>
      </c>
      <c r="C521" s="7">
        <v>8.540212796325219E-4</v>
      </c>
      <c r="D521" s="48">
        <v>-0.8149534877146534</v>
      </c>
      <c r="E521" s="49">
        <v>25.02</v>
      </c>
      <c r="F521" s="7">
        <v>0.0011267440357718428</v>
      </c>
      <c r="G521" s="48">
        <v>-0.5301477370831432</v>
      </c>
      <c r="H521" s="50">
        <v>-54641.33137920395</v>
      </c>
      <c r="I521" s="56">
        <v>-8.471605312183244E-4</v>
      </c>
      <c r="J521" s="56">
        <v>-1.0536998423724377</v>
      </c>
      <c r="K521" s="50">
        <v>106497.96946712214</v>
      </c>
      <c r="L521" s="56">
        <v>0.001651147109892301</v>
      </c>
      <c r="M521" s="56">
        <v>2.053699842372438</v>
      </c>
      <c r="N521" s="51">
        <v>-2.7272275613932084E-4</v>
      </c>
      <c r="O521" s="7">
        <v>-0.28480575063151015</v>
      </c>
      <c r="P521" s="52">
        <v>53.25078109590257</v>
      </c>
      <c r="Q521" s="34">
        <v>2072.6074375666744</v>
      </c>
      <c r="R521" s="13">
        <v>5363.531182865308</v>
      </c>
      <c r="S521" s="56">
        <v>-0.590575850692621</v>
      </c>
      <c r="T521" s="52">
        <v>280235.69559610984</v>
      </c>
      <c r="U521" s="50">
        <v>51856.63808791819</v>
      </c>
      <c r="V521" s="50">
        <v>-245819.03673042785</v>
      </c>
    </row>
    <row r="522">
      <c r="A522" s="54">
        <v>45134.96002053241</v>
      </c>
      <c r="B522" s="47">
        <v>1.0222683250817135</v>
      </c>
      <c r="C522" s="7">
        <v>-0.004749906435932649</v>
      </c>
      <c r="D522" s="48">
        <v>-0.8158075089942859</v>
      </c>
      <c r="E522" s="49">
        <v>24.96</v>
      </c>
      <c r="F522" s="7">
        <v>-0.006384882869373776</v>
      </c>
      <c r="G522" s="48">
        <v>-0.5312744811189151</v>
      </c>
      <c r="H522" s="50">
        <v>-54625.26781248579</v>
      </c>
      <c r="I522" s="56">
        <v>0.004732202994484029</v>
      </c>
      <c r="J522" s="56">
        <v>-1.0582741898587111</v>
      </c>
      <c r="K522" s="50">
        <v>106242.5786530523</v>
      </c>
      <c r="L522" s="56">
        <v>-0.0092038257930291</v>
      </c>
      <c r="M522" s="56">
        <v>2.058274189858711</v>
      </c>
      <c r="N522" s="51">
        <v>0.0016349764334411265</v>
      </c>
      <c r="O522" s="7">
        <v>-0.2845330278753708</v>
      </c>
      <c r="P522" s="52">
        <v>53.25078109590257</v>
      </c>
      <c r="Q522" s="34">
        <v>2068.0012355996196</v>
      </c>
      <c r="R522" s="13">
        <v>5363.531182865308</v>
      </c>
      <c r="S522" s="56">
        <v>-0.5914857626652006</v>
      </c>
      <c r="T522" s="52">
        <v>280235.69559610984</v>
      </c>
      <c r="U522" s="50">
        <v>51617.31084056651</v>
      </c>
      <c r="V522" s="50">
        <v>-246058.36397777952</v>
      </c>
    </row>
    <row r="523">
      <c r="A523" s="54">
        <v>45133.95997402778</v>
      </c>
      <c r="B523" s="47">
        <v>1.0486303058011393</v>
      </c>
      <c r="C523" s="7">
        <v>0.03028895106647156</v>
      </c>
      <c r="D523" s="48">
        <v>-0.8110576025583532</v>
      </c>
      <c r="E523" s="49">
        <v>25.3</v>
      </c>
      <c r="F523" s="7">
        <v>0.03755813452572798</v>
      </c>
      <c r="G523" s="48">
        <v>-0.5248895982495413</v>
      </c>
      <c r="H523" s="50">
        <v>-54677.7688611505</v>
      </c>
      <c r="I523" s="56">
        <v>-0.029445724866040905</v>
      </c>
      <c r="J523" s="56">
        <v>-1.032661318380616</v>
      </c>
      <c r="K523" s="50">
        <v>107626.173035807</v>
      </c>
      <c r="L523" s="56">
        <v>0.05796013161482538</v>
      </c>
      <c r="M523" s="56">
        <v>2.032661318380616</v>
      </c>
      <c r="N523" s="51">
        <v>-0.007269183459256423</v>
      </c>
      <c r="O523" s="7">
        <v>-0.28616800430881195</v>
      </c>
      <c r="P523" s="52">
        <v>53.25078109590257</v>
      </c>
      <c r="Q523" s="34">
        <v>2092.822299393538</v>
      </c>
      <c r="R523" s="13">
        <v>5363.531182865308</v>
      </c>
      <c r="S523" s="56">
        <v>-0.586582594441188</v>
      </c>
      <c r="T523" s="52">
        <v>280235.69559610984</v>
      </c>
      <c r="U523" s="50">
        <v>52948.404174656505</v>
      </c>
      <c r="V523" s="50">
        <v>-244727.27064368955</v>
      </c>
    </row>
    <row r="524">
      <c r="A524" s="54">
        <v>45132.959975543985</v>
      </c>
      <c r="B524" s="47">
        <v>0.880526627382222</v>
      </c>
      <c r="C524" s="7">
        <v>-0.0018358747409046305</v>
      </c>
      <c r="D524" s="48">
        <v>-0.8413465536248248</v>
      </c>
      <c r="E524" s="49">
        <v>23.3</v>
      </c>
      <c r="F524" s="7">
        <v>-0.0026290694168009665</v>
      </c>
      <c r="G524" s="48">
        <v>-0.5624477327752693</v>
      </c>
      <c r="H524" s="50">
        <v>-54657.81626369646</v>
      </c>
      <c r="I524" s="56">
        <v>0.0021247237164892328</v>
      </c>
      <c r="J524" s="56">
        <v>-1.2293606622052708</v>
      </c>
      <c r="K524" s="50">
        <v>99118.17516736378</v>
      </c>
      <c r="L524" s="56">
        <v>-0.0038530397280637594</v>
      </c>
      <c r="M524" s="56">
        <v>2.229360662205271</v>
      </c>
      <c r="N524" s="51">
        <v>7.93194675896336E-4</v>
      </c>
      <c r="O524" s="7">
        <v>-0.27889882084955553</v>
      </c>
      <c r="P524" s="52">
        <v>53.25078109590257</v>
      </c>
      <c r="Q524" s="34">
        <v>1908.16991002864</v>
      </c>
      <c r="R524" s="13">
        <v>5363.531182865308</v>
      </c>
      <c r="S524" s="56">
        <v>-0.6230589411255639</v>
      </c>
      <c r="T524" s="52">
        <v>280235.69559610984</v>
      </c>
      <c r="U524" s="50">
        <v>44460.358903667315</v>
      </c>
      <c r="V524" s="50">
        <v>-253215.31591467874</v>
      </c>
    </row>
    <row r="525">
      <c r="A525" s="54">
        <v>45131.95996736111</v>
      </c>
      <c r="B525" s="47">
        <v>0.8907157321942434</v>
      </c>
      <c r="C525" s="7">
        <v>-0.01900953915098813</v>
      </c>
      <c r="D525" s="48">
        <v>-0.8395106788839202</v>
      </c>
      <c r="E525" s="49">
        <v>23.44</v>
      </c>
      <c r="F525" s="7">
        <v>-0.023661624751208588</v>
      </c>
      <c r="G525" s="48">
        <v>-0.5598186633584683</v>
      </c>
      <c r="H525" s="50">
        <v>-54683.866025901356</v>
      </c>
      <c r="I525" s="56">
        <v>0.021759119244712244</v>
      </c>
      <c r="J525" s="56">
        <v>-1.2158769266194491</v>
      </c>
      <c r="K525" s="50">
        <v>99658.70256461344</v>
      </c>
      <c r="L525" s="56">
        <v>-0.03965494304754563</v>
      </c>
      <c r="M525" s="56">
        <v>2.2158769266194493</v>
      </c>
      <c r="N525" s="51">
        <v>0.004652085600220457</v>
      </c>
      <c r="O525" s="7">
        <v>-0.27969201552545186</v>
      </c>
      <c r="P525" s="52">
        <v>53.25078109590257</v>
      </c>
      <c r="Q525" s="34">
        <v>1918.7216953375462</v>
      </c>
      <c r="R525" s="13">
        <v>5363.531182865308</v>
      </c>
      <c r="S525" s="56">
        <v>-0.6209745349589794</v>
      </c>
      <c r="T525" s="52">
        <v>280235.69559610984</v>
      </c>
      <c r="U525" s="50">
        <v>44974.83653871209</v>
      </c>
      <c r="V525" s="50">
        <v>-252700.83827963396</v>
      </c>
    </row>
    <row r="526">
      <c r="A526" s="54">
        <v>45130.959973749996</v>
      </c>
      <c r="B526" s="47">
        <v>0.9962186744822275</v>
      </c>
      <c r="C526" s="7">
        <v>-0.009018498691401922</v>
      </c>
      <c r="D526" s="48">
        <v>-0.820501139732932</v>
      </c>
      <c r="E526" s="49">
        <v>24.7</v>
      </c>
      <c r="F526" s="7">
        <v>-0.011455231030346957</v>
      </c>
      <c r="G526" s="48">
        <v>-0.5361570386072597</v>
      </c>
      <c r="H526" s="50">
        <v>-54713.79502692401</v>
      </c>
      <c r="I526" s="56">
        <v>0.00923476915140763</v>
      </c>
      <c r="J526" s="56">
        <v>-1.0877064155851244</v>
      </c>
      <c r="K526" s="50">
        <v>105015.78299257474</v>
      </c>
      <c r="L526" s="56">
        <v>-0.017724899409984663</v>
      </c>
      <c r="M526" s="56">
        <v>2.0877064155851244</v>
      </c>
      <c r="N526" s="51">
        <v>0.0024367323389450357</v>
      </c>
      <c r="O526" s="7">
        <v>-0.2843441011256723</v>
      </c>
      <c r="P526" s="52">
        <v>53.25078109590257</v>
      </c>
      <c r="Q526" s="34">
        <v>2036.5177314028635</v>
      </c>
      <c r="R526" s="13">
        <v>5363.531182865308</v>
      </c>
      <c r="S526" s="56">
        <v>-0.5977050334684095</v>
      </c>
      <c r="T526" s="52">
        <v>280235.69559610984</v>
      </c>
      <c r="U526" s="50">
        <v>50301.987965650726</v>
      </c>
      <c r="V526" s="50">
        <v>-247373.6868526953</v>
      </c>
    </row>
    <row r="527">
      <c r="A527" s="54">
        <v>45129.959965393515</v>
      </c>
      <c r="B527" s="47">
        <v>1.0462713422195076</v>
      </c>
      <c r="C527" s="7">
        <v>-0.004851129279824451</v>
      </c>
      <c r="D527" s="48">
        <v>-0.8114826410415301</v>
      </c>
      <c r="E527" s="49">
        <v>25.31</v>
      </c>
      <c r="F527" s="7">
        <v>-0.006009301524116495</v>
      </c>
      <c r="G527" s="48">
        <v>-0.5247018075769128</v>
      </c>
      <c r="H527" s="50">
        <v>-54716.47306745269</v>
      </c>
      <c r="I527" s="56">
        <v>0.004730055651966192</v>
      </c>
      <c r="J527" s="56">
        <v>-1.0357222240308481</v>
      </c>
      <c r="K527" s="50">
        <v>107545.76628712102</v>
      </c>
      <c r="L527" s="56">
        <v>-0.00929697093312879</v>
      </c>
      <c r="M527" s="56">
        <v>2.035722224030848</v>
      </c>
      <c r="N527" s="51">
        <v>0.001158172244292044</v>
      </c>
      <c r="O527" s="7">
        <v>-0.28678083346461736</v>
      </c>
      <c r="P527" s="52">
        <v>53.25078109590257</v>
      </c>
      <c r="Q527" s="34">
        <v>2087.2893409588437</v>
      </c>
      <c r="R527" s="13">
        <v>5363.531182865308</v>
      </c>
      <c r="S527" s="56">
        <v>-0.5876755784569827</v>
      </c>
      <c r="T527" s="52">
        <v>280235.69559610984</v>
      </c>
      <c r="U527" s="50">
        <v>52829.29321966833</v>
      </c>
      <c r="V527" s="50">
        <v>-244846.38159867772</v>
      </c>
    </row>
    <row r="528">
      <c r="A528" s="54">
        <v>45128.95996020833</v>
      </c>
      <c r="B528" s="47">
        <v>1.0731951097225336</v>
      </c>
      <c r="C528" s="7">
        <v>0.0015153071218373393</v>
      </c>
      <c r="D528" s="48">
        <v>-0.8066315117617057</v>
      </c>
      <c r="E528" s="49">
        <v>25.63</v>
      </c>
      <c r="F528" s="7">
        <v>0.0018779067262862936</v>
      </c>
      <c r="G528" s="48">
        <v>-0.5186925060527963</v>
      </c>
      <c r="H528" s="50">
        <v>-54717.63983107956</v>
      </c>
      <c r="I528" s="56">
        <v>-0.0014404526008783224</v>
      </c>
      <c r="J528" s="56">
        <v>-1.0097600885026563</v>
      </c>
      <c r="K528" s="50">
        <v>108906.39263890617</v>
      </c>
      <c r="L528" s="56">
        <v>0.00286698214713354</v>
      </c>
      <c r="M528" s="56">
        <v>2.0097600885026563</v>
      </c>
      <c r="N528" s="51">
        <v>-3.6259960444895434E-4</v>
      </c>
      <c r="O528" s="7">
        <v>-0.2879390057089094</v>
      </c>
      <c r="P528" s="52">
        <v>53.25078109590257</v>
      </c>
      <c r="Q528" s="34">
        <v>2114.2704958184395</v>
      </c>
      <c r="R528" s="13">
        <v>5363.531182865308</v>
      </c>
      <c r="S528" s="56">
        <v>-0.5823457045139027</v>
      </c>
      <c r="T528" s="52">
        <v>280235.69559610984</v>
      </c>
      <c r="U528" s="50">
        <v>54188.752807826604</v>
      </c>
      <c r="V528" s="50">
        <v>-243486.92201051943</v>
      </c>
    </row>
    <row r="529">
      <c r="A529" s="54">
        <v>45127.959972662036</v>
      </c>
      <c r="B529" s="47">
        <v>1.0647851551963365</v>
      </c>
      <c r="C529" s="7">
        <v>-0.017356761710962232</v>
      </c>
      <c r="D529" s="48">
        <v>-0.808146818883543</v>
      </c>
      <c r="E529" s="49">
        <v>25.53</v>
      </c>
      <c r="F529" s="7">
        <v>-0.021971508697550823</v>
      </c>
      <c r="G529" s="48">
        <v>-0.5205704127790826</v>
      </c>
      <c r="H529" s="50">
        <v>-54717.36533052988</v>
      </c>
      <c r="I529" s="56">
        <v>0.016629589444549408</v>
      </c>
      <c r="J529" s="56">
        <v>-1.0177303348649709</v>
      </c>
      <c r="K529" s="50">
        <v>108481.47499302667</v>
      </c>
      <c r="L529" s="56">
        <v>-0.03296946738162178</v>
      </c>
      <c r="M529" s="56">
        <v>2.017730334864971</v>
      </c>
      <c r="N529" s="51">
        <v>0.0046147469865885915</v>
      </c>
      <c r="O529" s="7">
        <v>-0.28757640610446045</v>
      </c>
      <c r="P529" s="52">
        <v>53.25078109590257</v>
      </c>
      <c r="Q529" s="34">
        <v>2105.9189056990517</v>
      </c>
      <c r="R529" s="13">
        <v>5363.531182865308</v>
      </c>
      <c r="S529" s="56">
        <v>-0.5839954827681043</v>
      </c>
      <c r="T529" s="52">
        <v>280235.69559610984</v>
      </c>
      <c r="U529" s="50">
        <v>53764.10966249679</v>
      </c>
      <c r="V529" s="50">
        <v>-243911.56515584927</v>
      </c>
    </row>
    <row r="530">
      <c r="A530" s="54">
        <v>45126.95997520833</v>
      </c>
      <c r="B530" s="47">
        <v>1.1611151826921768</v>
      </c>
      <c r="C530" s="7">
        <v>0.020875056612965737</v>
      </c>
      <c r="D530" s="48">
        <v>-0.7907900571725808</v>
      </c>
      <c r="E530" s="49">
        <v>26.7</v>
      </c>
      <c r="F530" s="7">
        <v>0.025727322150123744</v>
      </c>
      <c r="G530" s="48">
        <v>-0.49859890408153174</v>
      </c>
      <c r="H530" s="50">
        <v>-54758.38898223288</v>
      </c>
      <c r="I530" s="56">
        <v>-0.01835492679909554</v>
      </c>
      <c r="J530" s="56">
        <v>-0.9339957242806338</v>
      </c>
      <c r="K530" s="50">
        <v>113386.48283609709</v>
      </c>
      <c r="L530" s="56">
        <v>0.03800697265105333</v>
      </c>
      <c r="M530" s="56">
        <v>1.9339957242806338</v>
      </c>
      <c r="N530" s="51">
        <v>-0.004852265537158007</v>
      </c>
      <c r="O530" s="7">
        <v>-0.29219115309104904</v>
      </c>
      <c r="P530" s="52">
        <v>53.25078109590257</v>
      </c>
      <c r="Q530" s="34">
        <v>2195.808758571693</v>
      </c>
      <c r="R530" s="13">
        <v>5363.531182865308</v>
      </c>
      <c r="S530" s="56">
        <v>-0.566238585887065</v>
      </c>
      <c r="T530" s="52">
        <v>280235.69559610984</v>
      </c>
      <c r="U530" s="50">
        <v>58628.09385386421</v>
      </c>
      <c r="V530" s="50">
        <v>-239047.58096448184</v>
      </c>
    </row>
    <row r="531">
      <c r="A531" s="54">
        <v>45125.95996021991</v>
      </c>
      <c r="B531" s="47">
        <v>1.045258618490217</v>
      </c>
      <c r="C531" s="7">
        <v>-0.016597390155600134</v>
      </c>
      <c r="D531" s="48">
        <v>-0.8116651137855465</v>
      </c>
      <c r="E531" s="49">
        <v>25.33</v>
      </c>
      <c r="F531" s="7">
        <v>-0.02084476466177909</v>
      </c>
      <c r="G531" s="48">
        <v>-0.5243262262316555</v>
      </c>
      <c r="H531" s="50">
        <v>-54790.36688470609</v>
      </c>
      <c r="I531" s="56">
        <v>0.01622071115476234</v>
      </c>
      <c r="J531" s="56">
        <v>-1.0381257914942388</v>
      </c>
      <c r="K531" s="50">
        <v>107568.52472802768</v>
      </c>
      <c r="L531" s="56">
        <v>-0.03184570697671842</v>
      </c>
      <c r="M531" s="56">
        <v>2.0381257914942386</v>
      </c>
      <c r="N531" s="51">
        <v>0.004247374506178958</v>
      </c>
      <c r="O531" s="7">
        <v>-0.28733888755389103</v>
      </c>
      <c r="P531" s="52">
        <v>53.25078109590257</v>
      </c>
      <c r="Q531" s="34">
        <v>2083.6224967754283</v>
      </c>
      <c r="R531" s="13">
        <v>5363.531182865308</v>
      </c>
      <c r="S531" s="56">
        <v>-0.5883999291146259</v>
      </c>
      <c r="T531" s="52">
        <v>280235.69559610984</v>
      </c>
      <c r="U531" s="50">
        <v>52778.15784332159</v>
      </c>
      <c r="V531" s="50">
        <v>-244897.51697502445</v>
      </c>
    </row>
    <row r="532">
      <c r="A532" s="54">
        <v>45124.95999974537</v>
      </c>
      <c r="B532" s="47">
        <v>1.1373741338537975</v>
      </c>
      <c r="C532" s="7">
        <v>-0.01713955545731083</v>
      </c>
      <c r="D532" s="48">
        <v>-0.7950677236299464</v>
      </c>
      <c r="E532" s="49">
        <v>26.44</v>
      </c>
      <c r="F532" s="7">
        <v>-0.021220346007036373</v>
      </c>
      <c r="G532" s="48">
        <v>-0.5034814615698764</v>
      </c>
      <c r="H532" s="50">
        <v>-54787.13404916442</v>
      </c>
      <c r="I532" s="56">
        <v>0.015393040972935274</v>
      </c>
      <c r="J532" s="56">
        <v>-0.9539920706969404</v>
      </c>
      <c r="K532" s="50">
        <v>112216.47306782063</v>
      </c>
      <c r="L532" s="56">
        <v>-0.031528438158878194</v>
      </c>
      <c r="M532" s="56">
        <v>1.9539920706969403</v>
      </c>
      <c r="N532" s="51">
        <v>0.004080790549725544</v>
      </c>
      <c r="O532" s="7">
        <v>-0.29158626206007</v>
      </c>
      <c r="P532" s="52">
        <v>53.25078109590257</v>
      </c>
      <c r="Q532" s="34">
        <v>2172.062746545242</v>
      </c>
      <c r="R532" s="13">
        <v>5363.531182865308</v>
      </c>
      <c r="S532" s="56">
        <v>-0.57092938772303</v>
      </c>
      <c r="T532" s="52">
        <v>280235.69559610984</v>
      </c>
      <c r="U532" s="50">
        <v>57429.3390186562</v>
      </c>
      <c r="V532" s="50">
        <v>-240246.33579968984</v>
      </c>
    </row>
    <row r="533">
      <c r="A533" s="54">
        <v>45123.959980960644</v>
      </c>
      <c r="B533" s="47">
        <v>1.2324986666418725</v>
      </c>
      <c r="C533" s="7">
        <v>0.001184522265684551</v>
      </c>
      <c r="D533" s="48">
        <v>-0.7779281681726355</v>
      </c>
      <c r="E533" s="49">
        <v>27.57</v>
      </c>
      <c r="F533" s="7">
        <v>0.0011267440357718428</v>
      </c>
      <c r="G533" s="48">
        <v>-0.48226111556284</v>
      </c>
      <c r="H533" s="50">
        <v>-54779.850056590825</v>
      </c>
      <c r="I533" s="56">
        <v>-9.815834921407614E-4</v>
      </c>
      <c r="J533" s="56">
        <v>-0.880245696623426</v>
      </c>
      <c r="K533" s="50">
        <v>117012.30432103462</v>
      </c>
      <c r="L533" s="56">
        <v>0.0020967079351298743</v>
      </c>
      <c r="M533" s="56">
        <v>1.880245696623426</v>
      </c>
      <c r="N533" s="51">
        <v>5.777822991270831E-5</v>
      </c>
      <c r="O533" s="7">
        <v>-0.29566705260979553</v>
      </c>
      <c r="P533" s="52">
        <v>53.25078109590257</v>
      </c>
      <c r="Q533" s="34">
        <v>2257.2526029903443</v>
      </c>
      <c r="R533" s="13">
        <v>5363.531182865308</v>
      </c>
      <c r="S533" s="56">
        <v>-0.5541009310300429</v>
      </c>
      <c r="T533" s="52">
        <v>280235.69559610984</v>
      </c>
      <c r="U533" s="50">
        <v>62232.4542644438</v>
      </c>
      <c r="V533" s="50">
        <v>-235443.22055390224</v>
      </c>
    </row>
    <row r="534">
      <c r="A534" s="54">
        <v>45122.95997295139</v>
      </c>
      <c r="B534" s="47">
        <v>1.2259245680673232</v>
      </c>
      <c r="C534" s="7">
        <v>0.01620941646287022</v>
      </c>
      <c r="D534" s="48">
        <v>-0.7791126904383201</v>
      </c>
      <c r="E534" s="49">
        <v>27.51</v>
      </c>
      <c r="F534" s="7">
        <v>0.02009360197126453</v>
      </c>
      <c r="G534" s="48">
        <v>-0.48338785959861186</v>
      </c>
      <c r="H534" s="50">
        <v>-54788.6834609222</v>
      </c>
      <c r="I534" s="56">
        <v>-0.013506540743791812</v>
      </c>
      <c r="J534" s="56">
        <v>-0.8851087734925775</v>
      </c>
      <c r="K534" s="50">
        <v>116689.1923042928</v>
      </c>
      <c r="L534" s="56">
        <v>0.028766293158736182</v>
      </c>
      <c r="M534" s="56">
        <v>1.8851087734925775</v>
      </c>
      <c r="N534" s="51">
        <v>-0.003884185508394311</v>
      </c>
      <c r="O534" s="7">
        <v>-0.29572483083970824</v>
      </c>
      <c r="P534" s="52">
        <v>53.25078109590257</v>
      </c>
      <c r="Q534" s="34">
        <v>2250.1093727143075</v>
      </c>
      <c r="R534" s="13">
        <v>5363.531182865308</v>
      </c>
      <c r="S534" s="56">
        <v>-0.5555120091368101</v>
      </c>
      <c r="T534" s="52">
        <v>280235.69559610984</v>
      </c>
      <c r="U534" s="50">
        <v>61900.5088433706</v>
      </c>
      <c r="V534" s="50">
        <v>-235775.16597497545</v>
      </c>
    </row>
    <row r="535">
      <c r="A535" s="54">
        <v>45121.96007939815</v>
      </c>
      <c r="B535" s="47">
        <v>1.1359623066983935</v>
      </c>
      <c r="C535" s="7">
        <v>0.011620000555462195</v>
      </c>
      <c r="D535" s="48">
        <v>-0.7953221069011903</v>
      </c>
      <c r="E535" s="49">
        <v>26.44</v>
      </c>
      <c r="F535" s="7">
        <v>0.014272091119776675</v>
      </c>
      <c r="G535" s="48">
        <v>-0.5034814615698764</v>
      </c>
      <c r="H535" s="50">
        <v>-54792.520574392554</v>
      </c>
      <c r="I535" s="56">
        <v>-0.010449924279787217</v>
      </c>
      <c r="J535" s="56">
        <v>-0.955271647254105</v>
      </c>
      <c r="K535" s="50">
        <v>112150.57232008368</v>
      </c>
      <c r="L535" s="56">
        <v>0.021389141736753683</v>
      </c>
      <c r="M535" s="56">
        <v>1.955271647254105</v>
      </c>
      <c r="N535" s="51">
        <v>-0.00265209056431448</v>
      </c>
      <c r="O535" s="7">
        <v>-0.29184064533131393</v>
      </c>
      <c r="P535" s="52">
        <v>53.25078109590257</v>
      </c>
      <c r="Q535" s="34">
        <v>2169.366556191041</v>
      </c>
      <c r="R535" s="13">
        <v>5363.531182865308</v>
      </c>
      <c r="S535" s="56">
        <v>-0.5714619948256251</v>
      </c>
      <c r="T535" s="52">
        <v>280235.69559610984</v>
      </c>
      <c r="U535" s="50">
        <v>57358.051745691126</v>
      </c>
      <c r="V535" s="50">
        <v>-240317.6230726549</v>
      </c>
    </row>
    <row r="536">
      <c r="A536" s="54">
        <v>45120.95997784722</v>
      </c>
      <c r="B536" s="47">
        <v>1.0714713036155783</v>
      </c>
      <c r="C536" s="7">
        <v>0.05488972211097154</v>
      </c>
      <c r="D536" s="48">
        <v>-0.8069421074566525</v>
      </c>
      <c r="E536" s="49">
        <v>25.68</v>
      </c>
      <c r="F536" s="7">
        <v>0.06835580483682491</v>
      </c>
      <c r="G536" s="48">
        <v>-0.5177535526896531</v>
      </c>
      <c r="H536" s="50">
        <v>-54761.30723187564</v>
      </c>
      <c r="I536" s="56">
        <v>-0.05230388291577035</v>
      </c>
      <c r="J536" s="56">
        <v>-1.012191747551915</v>
      </c>
      <c r="K536" s="50">
        <v>108863.02003907964</v>
      </c>
      <c r="L536" s="56">
        <v>0.10397777083500347</v>
      </c>
      <c r="M536" s="56">
        <v>2.012191747551915</v>
      </c>
      <c r="N536" s="51">
        <v>-0.013466082725853368</v>
      </c>
      <c r="O536" s="7">
        <v>-0.28918855476699945</v>
      </c>
      <c r="P536" s="52">
        <v>53.25078109590257</v>
      </c>
      <c r="Q536" s="34">
        <v>2106.764517414486</v>
      </c>
      <c r="R536" s="13">
        <v>5363.531182865308</v>
      </c>
      <c r="S536" s="56">
        <v>-0.5838284401092</v>
      </c>
      <c r="T536" s="52">
        <v>280235.69559610984</v>
      </c>
      <c r="U536" s="50">
        <v>54101.712807204</v>
      </c>
      <c r="V536" s="50">
        <v>-243573.96201114205</v>
      </c>
    </row>
    <row r="537">
      <c r="A537" s="54">
        <v>45119.95997054398</v>
      </c>
      <c r="B537" s="47">
        <v>0.7668333458996863</v>
      </c>
      <c r="C537" s="7">
        <v>0.0028532073045476336</v>
      </c>
      <c r="D537" s="48">
        <v>-0.861831829567624</v>
      </c>
      <c r="E537" s="49">
        <v>22.04</v>
      </c>
      <c r="F537" s="7">
        <v>0.00394360412520145</v>
      </c>
      <c r="G537" s="48">
        <v>-0.586109357526478</v>
      </c>
      <c r="H537" s="50">
        <v>-54712.62708816601</v>
      </c>
      <c r="I537" s="56">
        <v>-0.003795504773020272</v>
      </c>
      <c r="J537" s="56">
        <v>-1.4130453749958256</v>
      </c>
      <c r="K537" s="50">
        <v>93432.28043852473</v>
      </c>
      <c r="L537" s="56">
        <v>0.006481550699203982</v>
      </c>
      <c r="M537" s="56">
        <v>2.4130453749958254</v>
      </c>
      <c r="N537" s="51">
        <v>-0.0010903968206538162</v>
      </c>
      <c r="O537" s="7">
        <v>-0.2757224720411461</v>
      </c>
      <c r="P537" s="52">
        <v>53.25078109590257</v>
      </c>
      <c r="Q537" s="34">
        <v>1756.790079417365</v>
      </c>
      <c r="R537" s="13">
        <v>5363.531182865308</v>
      </c>
      <c r="S537" s="56">
        <v>-0.6529626060680588</v>
      </c>
      <c r="T537" s="52">
        <v>280235.69559610984</v>
      </c>
      <c r="U537" s="50">
        <v>38719.65335035872</v>
      </c>
      <c r="V537" s="50">
        <v>-258956.02146798733</v>
      </c>
    </row>
    <row r="538">
      <c r="A538" s="54">
        <v>45118.959973171295</v>
      </c>
      <c r="B538" s="47">
        <v>0.7509980453594468</v>
      </c>
      <c r="C538" s="7">
        <v>0.003390251089979035</v>
      </c>
      <c r="D538" s="48">
        <v>-0.8646850368721717</v>
      </c>
      <c r="E538" s="49">
        <v>21.83</v>
      </c>
      <c r="F538" s="7">
        <v>0.003943604125201339</v>
      </c>
      <c r="G538" s="48">
        <v>-0.5900529616516794</v>
      </c>
      <c r="H538" s="50">
        <v>-54621.96264488073</v>
      </c>
      <c r="I538" s="56">
        <v>-0.004597375687611822</v>
      </c>
      <c r="J538" s="56">
        <v>-1.440449455475377</v>
      </c>
      <c r="K538" s="50">
        <v>92542.04546156964</v>
      </c>
      <c r="L538" s="56">
        <v>0.007789001516714307</v>
      </c>
      <c r="M538" s="56">
        <v>2.440449455475377</v>
      </c>
      <c r="N538" s="51">
        <v>-5.533530352223037E-4</v>
      </c>
      <c r="O538" s="7">
        <v>-0.27463207522049227</v>
      </c>
      <c r="P538" s="52">
        <v>53.25078109590257</v>
      </c>
      <c r="Q538" s="34">
        <v>1737.0628867012783</v>
      </c>
      <c r="R538" s="13">
        <v>5363.531182865308</v>
      </c>
      <c r="S538" s="56">
        <v>-0.6568595278630943</v>
      </c>
      <c r="T538" s="52">
        <v>280235.69559610984</v>
      </c>
      <c r="U538" s="50">
        <v>37920.082816688904</v>
      </c>
      <c r="V538" s="50">
        <v>-259755.59200165715</v>
      </c>
    </row>
    <row r="539">
      <c r="A539" s="54">
        <v>45117.95997707176</v>
      </c>
      <c r="B539" s="47">
        <v>0.7321821518100632</v>
      </c>
      <c r="C539" s="7">
        <v>0.005966667239987622</v>
      </c>
      <c r="D539" s="48">
        <v>-0.8680752879621507</v>
      </c>
      <c r="E539" s="49">
        <v>21.62</v>
      </c>
      <c r="F539" s="7">
        <v>0.007511626905145619</v>
      </c>
      <c r="G539" s="48">
        <v>-0.5939965657768808</v>
      </c>
      <c r="H539" s="50">
        <v>-54627.86776604062</v>
      </c>
      <c r="I539" s="56">
        <v>-0.008299970824031304</v>
      </c>
      <c r="J539" s="56">
        <v>-1.4776263970914802</v>
      </c>
      <c r="K539" s="50">
        <v>91597.88121028378</v>
      </c>
      <c r="L539" s="56">
        <v>0.01391706783879007</v>
      </c>
      <c r="M539" s="56">
        <v>2.4776263970914805</v>
      </c>
      <c r="N539" s="51">
        <v>-0.0015449596651579967</v>
      </c>
      <c r="O539" s="7">
        <v>-0.27407872218526996</v>
      </c>
      <c r="P539" s="52">
        <v>53.25078109590257</v>
      </c>
      <c r="Q539" s="34">
        <v>1709.9913711490826</v>
      </c>
      <c r="R539" s="13">
        <v>5363.531182865308</v>
      </c>
      <c r="S539" s="56">
        <v>-0.6622072517130251</v>
      </c>
      <c r="T539" s="52">
        <v>280235.69559610984</v>
      </c>
      <c r="U539" s="50">
        <v>36970.013444243166</v>
      </c>
      <c r="V539" s="50">
        <v>-260705.66137410287</v>
      </c>
    </row>
    <row r="540">
      <c r="A540" s="54">
        <v>45116.95996163195</v>
      </c>
      <c r="B540" s="47">
        <v>0.6990671486281324</v>
      </c>
      <c r="C540" s="7">
        <v>-0.008750397208545868</v>
      </c>
      <c r="D540" s="48">
        <v>-0.8740419552021383</v>
      </c>
      <c r="E540" s="49">
        <v>21.22</v>
      </c>
      <c r="F540" s="7">
        <v>-0.011079649685089676</v>
      </c>
      <c r="G540" s="48">
        <v>-0.6015081926820264</v>
      </c>
      <c r="H540" s="50">
        <v>-54605.253006445964</v>
      </c>
      <c r="I540" s="56">
        <v>0.012743623547836746</v>
      </c>
      <c r="J540" s="56">
        <v>-1.5469812839666082</v>
      </c>
      <c r="K540" s="50">
        <v>89903.1933063007</v>
      </c>
      <c r="L540" s="56">
        <v>-0.02098135963418478</v>
      </c>
      <c r="M540" s="56">
        <v>2.546981283966608</v>
      </c>
      <c r="N540" s="51">
        <v>0.0023292524765438083</v>
      </c>
      <c r="O540" s="7">
        <v>-0.27253376252011197</v>
      </c>
      <c r="P540" s="52">
        <v>53.25078109590257</v>
      </c>
      <c r="Q540" s="34">
        <v>1663.4279123399972</v>
      </c>
      <c r="R540" s="13">
        <v>5363.531182865308</v>
      </c>
      <c r="S540" s="56">
        <v>-0.6714054260349802</v>
      </c>
      <c r="T540" s="52">
        <v>280235.69559610984</v>
      </c>
      <c r="U540" s="50">
        <v>35297.94029985474</v>
      </c>
      <c r="V540" s="50">
        <v>-262377.7345184913</v>
      </c>
    </row>
    <row r="541">
      <c r="A541" s="54">
        <v>45115.960075509254</v>
      </c>
      <c r="B541" s="47">
        <v>0.7476318531355615</v>
      </c>
      <c r="C541" s="7">
        <v>0.00621762251039526</v>
      </c>
      <c r="D541" s="48">
        <v>-0.8652915579935925</v>
      </c>
      <c r="E541" s="49">
        <v>21.81</v>
      </c>
      <c r="F541" s="7">
        <v>0.007699417577774148</v>
      </c>
      <c r="G541" s="48">
        <v>-0.5904285429969367</v>
      </c>
      <c r="H541" s="50">
        <v>-54598.46397773418</v>
      </c>
      <c r="I541" s="56">
        <v>-0.008465772938022262</v>
      </c>
      <c r="J541" s="56">
        <v>-1.4463125608696077</v>
      </c>
      <c r="K541" s="50">
        <v>92348.577926068</v>
      </c>
      <c r="L541" s="56">
        <v>0.014319122460847496</v>
      </c>
      <c r="M541" s="56">
        <v>2.4463125608696075</v>
      </c>
      <c r="N541" s="51">
        <v>-0.0014817950673788882</v>
      </c>
      <c r="O541" s="7">
        <v>-0.2748630149966558</v>
      </c>
      <c r="P541" s="52">
        <v>53.25078109590257</v>
      </c>
      <c r="Q541" s="34">
        <v>1730.8626294513444</v>
      </c>
      <c r="R541" s="13">
        <v>5363.531182865308</v>
      </c>
      <c r="S541" s="56">
        <v>-0.658084330497703</v>
      </c>
      <c r="T541" s="52">
        <v>280235.69559610984</v>
      </c>
      <c r="U541" s="50">
        <v>37750.11394833382</v>
      </c>
      <c r="V541" s="50">
        <v>-259925.5608700122</v>
      </c>
    </row>
    <row r="542">
      <c r="A542" s="54">
        <v>45114.9599678588</v>
      </c>
      <c r="B542" s="47">
        <v>0.7131240482028682</v>
      </c>
      <c r="C542" s="7">
        <v>0.014635727385784891</v>
      </c>
      <c r="D542" s="48">
        <v>-0.8715091805039877</v>
      </c>
      <c r="E542" s="49">
        <v>21.4</v>
      </c>
      <c r="F542" s="7">
        <v>0.018215695244978014</v>
      </c>
      <c r="G542" s="48">
        <v>-0.5981279605747108</v>
      </c>
      <c r="H542" s="50">
        <v>-54604.82904034648</v>
      </c>
      <c r="I542" s="56">
        <v>-0.02089440061711281</v>
      </c>
      <c r="J542" s="56">
        <v>-1.516475852052856</v>
      </c>
      <c r="K542" s="50">
        <v>90612.54321952567</v>
      </c>
      <c r="L542" s="56">
        <v>0.034672661964847445</v>
      </c>
      <c r="M542" s="56">
        <v>2.516475852052856</v>
      </c>
      <c r="N542" s="51">
        <v>-0.0035799678591931228</v>
      </c>
      <c r="O542" s="7">
        <v>-0.2733812199292769</v>
      </c>
      <c r="P542" s="52">
        <v>53.25078109590257</v>
      </c>
      <c r="Q542" s="34">
        <v>1682.603466316785</v>
      </c>
      <c r="R542" s="13">
        <v>5363.531182865308</v>
      </c>
      <c r="S542" s="56">
        <v>-0.667617475296146</v>
      </c>
      <c r="T542" s="52">
        <v>280235.69559610984</v>
      </c>
      <c r="U542" s="50">
        <v>36007.714179179195</v>
      </c>
      <c r="V542" s="50">
        <v>-261667.96063916685</v>
      </c>
    </row>
    <row r="543">
      <c r="A543" s="54">
        <v>45113.95997199074</v>
      </c>
      <c r="B543" s="47">
        <v>0.6318957612117619</v>
      </c>
      <c r="C543" s="7">
        <v>0.026805884896320964</v>
      </c>
      <c r="D543" s="48">
        <v>-0.8861449078897726</v>
      </c>
      <c r="E543" s="49">
        <v>20.43</v>
      </c>
      <c r="F543" s="7">
        <v>0.03136104232898285</v>
      </c>
      <c r="G543" s="48">
        <v>-0.6163436558196889</v>
      </c>
      <c r="H543" s="50">
        <v>-54548.02515682835</v>
      </c>
      <c r="I543" s="56">
        <v>-0.04314330137196661</v>
      </c>
      <c r="J543" s="56">
        <v>-1.7096338950064034</v>
      </c>
      <c r="K543" s="50">
        <v>86454.28609149708</v>
      </c>
      <c r="L543" s="56">
        <v>0.06837870498556017</v>
      </c>
      <c r="M543" s="56">
        <v>2.7096338950064034</v>
      </c>
      <c r="N543" s="51">
        <v>-0.004555157432661883</v>
      </c>
      <c r="O543" s="7">
        <v>-0.26980125207008376</v>
      </c>
      <c r="P543" s="52">
        <v>53.25078109590257</v>
      </c>
      <c r="Q543" s="34">
        <v>1561.7357285691987</v>
      </c>
      <c r="R543" s="13">
        <v>5363.531182865308</v>
      </c>
      <c r="S543" s="56">
        <v>-0.6914937626282572</v>
      </c>
      <c r="T543" s="52">
        <v>280235.69559610984</v>
      </c>
      <c r="U543" s="50">
        <v>31906.26093466873</v>
      </c>
      <c r="V543" s="50">
        <v>-265769.41388367733</v>
      </c>
    </row>
    <row r="544">
      <c r="A544" s="54">
        <v>45112.96007108796</v>
      </c>
      <c r="B544" s="47">
        <v>0.4831231000371806</v>
      </c>
      <c r="C544" s="7">
        <v>-0.00977521606484677</v>
      </c>
      <c r="D544" s="48">
        <v>-0.9129507927860936</v>
      </c>
      <c r="E544" s="49">
        <v>18.76</v>
      </c>
      <c r="F544" s="7">
        <v>-0.01276976573874744</v>
      </c>
      <c r="G544" s="48">
        <v>-0.6477046981486717</v>
      </c>
      <c r="H544" s="50">
        <v>-54755.23582298538</v>
      </c>
      <c r="I544" s="56">
        <v>0.020655887150359355</v>
      </c>
      <c r="J544" s="56">
        <v>-2.24459184086632</v>
      </c>
      <c r="K544" s="50">
        <v>79149.53095766435</v>
      </c>
      <c r="L544" s="56">
        <v>-0.029858400843177126</v>
      </c>
      <c r="M544" s="56">
        <v>3.24459184086632</v>
      </c>
      <c r="N544" s="51">
        <v>0.0029945496739006705</v>
      </c>
      <c r="O544" s="7">
        <v>-0.2652460946374219</v>
      </c>
      <c r="P544" s="52">
        <v>53.25078109590257</v>
      </c>
      <c r="Q544" s="34">
        <v>1300.3355615500516</v>
      </c>
      <c r="R544" s="13">
        <v>5363.531182865308</v>
      </c>
      <c r="S544" s="56">
        <v>-0.7431309125635441</v>
      </c>
      <c r="T544" s="52">
        <v>280235.69559610984</v>
      </c>
      <c r="U544" s="50">
        <v>24394.29513467897</v>
      </c>
      <c r="V544" s="50">
        <v>-273281.3796836671</v>
      </c>
    </row>
    <row r="545">
      <c r="A545" s="54">
        <v>45111.95996807871</v>
      </c>
      <c r="B545" s="47">
        <v>0.53737554919708</v>
      </c>
      <c r="C545" s="7">
        <v>0.005185142574383295</v>
      </c>
      <c r="D545" s="48">
        <v>-0.9031755767212468</v>
      </c>
      <c r="E545" s="49">
        <v>19.44</v>
      </c>
      <c r="F545" s="7">
        <v>0.006384882869373665</v>
      </c>
      <c r="G545" s="48">
        <v>-0.6349349324099243</v>
      </c>
      <c r="H545" s="50">
        <v>-55082.719137218905</v>
      </c>
      <c r="I545" s="56">
        <v>-0.00990941023135611</v>
      </c>
      <c r="J545" s="56">
        <v>-2.0300512327701257</v>
      </c>
      <c r="K545" s="50">
        <v>82216.37874543246</v>
      </c>
      <c r="L545" s="56">
        <v>0.014790769909079184</v>
      </c>
      <c r="M545" s="56">
        <v>3.0300512327701257</v>
      </c>
      <c r="N545" s="51">
        <v>-0.0011997402949903702</v>
      </c>
      <c r="O545" s="7">
        <v>-0.26824064431132255</v>
      </c>
      <c r="P545" s="52">
        <v>53.25078109590257</v>
      </c>
      <c r="Q545" s="34">
        <v>1395.7643831385574</v>
      </c>
      <c r="R545" s="13">
        <v>5363.531182865308</v>
      </c>
      <c r="S545" s="56">
        <v>-0.724279844392067</v>
      </c>
      <c r="T545" s="52">
        <v>280235.69559610984</v>
      </c>
      <c r="U545" s="50">
        <v>27133.65960821356</v>
      </c>
      <c r="V545" s="50">
        <v>-270542.01521013246</v>
      </c>
    </row>
    <row r="546">
      <c r="A546" s="54">
        <v>45110.95996045139</v>
      </c>
      <c r="B546" s="47">
        <v>0.5085980079092528</v>
      </c>
      <c r="C546" s="7">
        <v>-0.005769144829444128</v>
      </c>
      <c r="D546" s="48">
        <v>-0.9083607192956301</v>
      </c>
      <c r="E546" s="49">
        <v>19.1</v>
      </c>
      <c r="F546" s="7">
        <v>-0.007136045559888227</v>
      </c>
      <c r="G546" s="48">
        <v>-0.6413198152792979</v>
      </c>
      <c r="H546" s="50">
        <v>-55097.8403927891</v>
      </c>
      <c r="I546" s="56">
        <v>0.01165255066298028</v>
      </c>
      <c r="J546" s="56">
        <v>-2.1455046066612478</v>
      </c>
      <c r="K546" s="50">
        <v>80778.43796490536</v>
      </c>
      <c r="L546" s="56">
        <v>-0.017083697548800084</v>
      </c>
      <c r="M546" s="56">
        <v>3.1455046066612478</v>
      </c>
      <c r="N546" s="51">
        <v>0.0013669007304440983</v>
      </c>
      <c r="O546" s="7">
        <v>-0.2670409040163322</v>
      </c>
      <c r="P546" s="52">
        <v>53.25078109590257</v>
      </c>
      <c r="Q546" s="34">
        <v>1344.5339042992805</v>
      </c>
      <c r="R546" s="13">
        <v>5363.531182865308</v>
      </c>
      <c r="S546" s="56">
        <v>-0.7343999447242391</v>
      </c>
      <c r="T546" s="52">
        <v>280235.69559610984</v>
      </c>
      <c r="U546" s="50">
        <v>25680.59757211626</v>
      </c>
      <c r="V546" s="50">
        <v>-271995.0772462298</v>
      </c>
    </row>
    <row r="547">
      <c r="A547" s="54">
        <v>45109.95996047454</v>
      </c>
      <c r="B547" s="47">
        <v>0.5406167617126677</v>
      </c>
      <c r="C547" s="7">
        <v>0.016778517558517225</v>
      </c>
      <c r="D547" s="48">
        <v>-0.902591574466186</v>
      </c>
      <c r="E547" s="49">
        <v>19.48</v>
      </c>
      <c r="F547" s="7">
        <v>0.02065697398915034</v>
      </c>
      <c r="G547" s="48">
        <v>-0.6341837697194097</v>
      </c>
      <c r="H547" s="50">
        <v>-55088.1364420149</v>
      </c>
      <c r="I547" s="56">
        <v>-0.03187658564973678</v>
      </c>
      <c r="J547" s="56">
        <v>-2.018078723751848</v>
      </c>
      <c r="K547" s="50">
        <v>82385.45432840513</v>
      </c>
      <c r="L547" s="56">
        <v>0.04767209713031689</v>
      </c>
      <c r="M547" s="56">
        <v>3.018078723751848</v>
      </c>
      <c r="N547" s="51">
        <v>-0.003878456430633115</v>
      </c>
      <c r="O547" s="7">
        <v>-0.2684078047467763</v>
      </c>
      <c r="P547" s="52">
        <v>53.25078109590257</v>
      </c>
      <c r="Q547" s="34">
        <v>1401.299686159663</v>
      </c>
      <c r="R547" s="13">
        <v>5363.531182865308</v>
      </c>
      <c r="S547" s="56">
        <v>-0.7231863972252291</v>
      </c>
      <c r="T547" s="52">
        <v>280235.69559610984</v>
      </c>
      <c r="U547" s="50">
        <v>27297.317886390236</v>
      </c>
      <c r="V547" s="50">
        <v>-270378.3569319558</v>
      </c>
    </row>
    <row r="548">
      <c r="A548" s="54">
        <v>45108.95997243056</v>
      </c>
      <c r="B548" s="47">
        <v>0.44749598926289724</v>
      </c>
      <c r="C548" s="7">
        <v>-0.010994620620937812</v>
      </c>
      <c r="D548" s="48">
        <v>-0.9193700920247032</v>
      </c>
      <c r="E548" s="49">
        <v>18.38</v>
      </c>
      <c r="F548" s="7">
        <v>-0.013708719101890643</v>
      </c>
      <c r="G548" s="48">
        <v>-0.65484074370856</v>
      </c>
      <c r="H548" s="50">
        <v>-55092.090342393545</v>
      </c>
      <c r="I548" s="56">
        <v>0.025236550262381887</v>
      </c>
      <c r="J548" s="56">
        <v>-2.438201719643172</v>
      </c>
      <c r="K548" s="50">
        <v>77687.46868970117</v>
      </c>
      <c r="L548" s="56">
        <v>-0.035587027033465134</v>
      </c>
      <c r="M548" s="56">
        <v>3.438201719643172</v>
      </c>
      <c r="N548" s="51">
        <v>0.0027140984809528312</v>
      </c>
      <c r="O548" s="7">
        <v>-0.26452934831614316</v>
      </c>
      <c r="P548" s="52">
        <v>53.25078109590257</v>
      </c>
      <c r="Q548" s="34">
        <v>1229.3459383736467</v>
      </c>
      <c r="R548" s="13">
        <v>5363.531182865308</v>
      </c>
      <c r="S548" s="56">
        <v>-0.7571542464336446</v>
      </c>
      <c r="T548" s="52">
        <v>280235.69559610984</v>
      </c>
      <c r="U548" s="50">
        <v>22595.378347307626</v>
      </c>
      <c r="V548" s="50">
        <v>-275080.2964710384</v>
      </c>
    </row>
    <row r="549">
      <c r="A549" s="54">
        <v>45107.95997548611</v>
      </c>
      <c r="B549" s="47">
        <v>0.5085161337091019</v>
      </c>
      <c r="C549" s="7">
        <v>0.021492900899843903</v>
      </c>
      <c r="D549" s="48">
        <v>-0.9083754714037654</v>
      </c>
      <c r="E549" s="49">
        <v>19.11</v>
      </c>
      <c r="F549" s="7">
        <v>0.026666275513266724</v>
      </c>
      <c r="G549" s="48">
        <v>-0.6411320246066694</v>
      </c>
      <c r="H549" s="50">
        <v>-55096.52488799713</v>
      </c>
      <c r="I549" s="56">
        <v>-0.04341743307921421</v>
      </c>
      <c r="J549" s="56">
        <v>-2.1457988121156095</v>
      </c>
      <c r="K549" s="50">
        <v>80772.98839282859</v>
      </c>
      <c r="L549" s="56">
        <v>0.06365112546177622</v>
      </c>
      <c r="M549" s="56">
        <v>3.1457988121156095</v>
      </c>
      <c r="N549" s="51">
        <v>-0.005173374613422821</v>
      </c>
      <c r="O549" s="7">
        <v>-0.267243446797096</v>
      </c>
      <c r="P549" s="52">
        <v>53.25078109590257</v>
      </c>
      <c r="Q549" s="34">
        <v>1343.6139981596784</v>
      </c>
      <c r="R549" s="13">
        <v>5363.531182865308</v>
      </c>
      <c r="S549" s="56">
        <v>-0.7345816635494361</v>
      </c>
      <c r="T549" s="52">
        <v>280235.69559610984</v>
      </c>
      <c r="U549" s="50">
        <v>25676.463504831452</v>
      </c>
      <c r="V549" s="50">
        <v>-271999.2113135146</v>
      </c>
    </row>
    <row r="550">
      <c r="A550" s="54">
        <v>45106.96008258102</v>
      </c>
      <c r="B550" s="47">
        <v>0.3892305337149686</v>
      </c>
      <c r="C550" s="7">
        <v>0.02494048910238955</v>
      </c>
      <c r="D550" s="48">
        <v>-0.9298683723036093</v>
      </c>
      <c r="E550" s="49">
        <v>17.69</v>
      </c>
      <c r="F550" s="7">
        <v>0.030985460983725677</v>
      </c>
      <c r="G550" s="48">
        <v>-0.6677983001199361</v>
      </c>
      <c r="H550" s="50">
        <v>-55073.60336889698</v>
      </c>
      <c r="I550" s="56">
        <v>-0.06579474274052005</v>
      </c>
      <c r="J550" s="56">
        <v>-2.8022451119560685</v>
      </c>
      <c r="K550" s="50">
        <v>74726.98883968244</v>
      </c>
      <c r="L550" s="56">
        <v>0.08927403884484725</v>
      </c>
      <c r="M550" s="56">
        <v>3.8022451119560685</v>
      </c>
      <c r="N550" s="51">
        <v>-0.006044971881336125</v>
      </c>
      <c r="O550" s="7">
        <v>-0.2620700721836732</v>
      </c>
      <c r="P550" s="52">
        <v>53.25078109590257</v>
      </c>
      <c r="Q550" s="34">
        <v>1110.9884381450233</v>
      </c>
      <c r="R550" s="13">
        <v>5363.531182865308</v>
      </c>
      <c r="S550" s="56">
        <v>-0.7805346599007237</v>
      </c>
      <c r="T550" s="52">
        <v>280235.69559610984</v>
      </c>
      <c r="U550" s="50">
        <v>19653.385470785463</v>
      </c>
      <c r="V550" s="50">
        <v>-278022.2893475606</v>
      </c>
    </row>
    <row r="551">
      <c r="A551" s="54">
        <v>45105.95996284722</v>
      </c>
      <c r="B551" s="47">
        <v>0.25081081919670634</v>
      </c>
      <c r="C551" s="7">
        <v>-0.012389208418011166</v>
      </c>
      <c r="D551" s="48">
        <v>-0.9548088614059989</v>
      </c>
      <c r="E551" s="49">
        <v>16.04</v>
      </c>
      <c r="F551" s="7">
        <v>-0.0157744165008058</v>
      </c>
      <c r="G551" s="48">
        <v>-0.6987837611036618</v>
      </c>
      <c r="H551" s="50">
        <v>-55092.78358311563</v>
      </c>
      <c r="I551" s="56">
        <v>0.05073896971689701</v>
      </c>
      <c r="J551" s="56">
        <v>-4.350287692983826</v>
      </c>
      <c r="K551" s="50">
        <v>67756.95374178575</v>
      </c>
      <c r="L551" s="56">
        <v>-0.062402329314637905</v>
      </c>
      <c r="M551" s="56">
        <v>5.350287692983826</v>
      </c>
      <c r="N551" s="51">
        <v>0.003385208082794633</v>
      </c>
      <c r="O551" s="7">
        <v>-0.25602510030233705</v>
      </c>
      <c r="P551" s="52">
        <v>53.25078109590257</v>
      </c>
      <c r="Q551" s="34">
        <v>789.5367929345459</v>
      </c>
      <c r="R551" s="13">
        <v>5363.531182865308</v>
      </c>
      <c r="S551" s="56">
        <v>-0.8440344158112172</v>
      </c>
      <c r="T551" s="52">
        <v>280235.69559610984</v>
      </c>
      <c r="U551" s="50">
        <v>12664.170158670117</v>
      </c>
      <c r="V551" s="50">
        <v>-285011.50465967593</v>
      </c>
    </row>
    <row r="552">
      <c r="A552" s="54">
        <v>45104.95995645833</v>
      </c>
      <c r="B552" s="47">
        <v>0.3195709259166684</v>
      </c>
      <c r="C552" s="7">
        <v>0.010601301554744813</v>
      </c>
      <c r="D552" s="48">
        <v>-0.9424196529879877</v>
      </c>
      <c r="E552" s="49">
        <v>16.88</v>
      </c>
      <c r="F552" s="7">
        <v>0.013145347084004833</v>
      </c>
      <c r="G552" s="48">
        <v>-0.683009344602856</v>
      </c>
      <c r="H552" s="50">
        <v>-55127.14694369166</v>
      </c>
      <c r="I552" s="56">
        <v>-0.03409628637868234</v>
      </c>
      <c r="J552" s="56">
        <v>-3.4163926987748887</v>
      </c>
      <c r="K552" s="50">
        <v>71263.21554126832</v>
      </c>
      <c r="L552" s="56">
        <v>0.04407648753966398</v>
      </c>
      <c r="M552" s="56">
        <v>4.416392698774889</v>
      </c>
      <c r="N552" s="51">
        <v>-0.0025440455292600195</v>
      </c>
      <c r="O552" s="7">
        <v>-0.2594103083851317</v>
      </c>
      <c r="P552" s="52">
        <v>53.25078109590257</v>
      </c>
      <c r="Q552" s="34">
        <v>955.9282344535937</v>
      </c>
      <c r="R552" s="13">
        <v>5363.531182865308</v>
      </c>
      <c r="S552" s="56">
        <v>-0.811165348007453</v>
      </c>
      <c r="T552" s="52">
        <v>280235.69559610984</v>
      </c>
      <c r="U552" s="50">
        <v>16136.068597576661</v>
      </c>
      <c r="V552" s="50">
        <v>-281539.6062207694</v>
      </c>
    </row>
    <row r="553">
      <c r="A553" s="54">
        <v>45103.95997707176</v>
      </c>
      <c r="B553" s="47">
        <v>0.2607337022878347</v>
      </c>
      <c r="C553" s="7">
        <v>-0.011530792416358904</v>
      </c>
      <c r="D553" s="48">
        <v>-0.9530209545427325</v>
      </c>
      <c r="E553" s="49">
        <v>16.18</v>
      </c>
      <c r="F553" s="7">
        <v>-0.014272091119776675</v>
      </c>
      <c r="G553" s="48">
        <v>-0.6961546916868608</v>
      </c>
      <c r="H553" s="50">
        <v>-55099.15543975015</v>
      </c>
      <c r="I553" s="56">
        <v>0.0454314460883822</v>
      </c>
      <c r="J553" s="56">
        <v>-4.185210440841204</v>
      </c>
      <c r="K553" s="50">
        <v>68264.36092190878</v>
      </c>
      <c r="L553" s="56">
        <v>-0.0562866818598123</v>
      </c>
      <c r="M553" s="56">
        <v>5.185210440841204</v>
      </c>
      <c r="N553" s="51">
        <v>0.0027412987034177716</v>
      </c>
      <c r="O553" s="7">
        <v>-0.25686626285587166</v>
      </c>
      <c r="P553" s="52">
        <v>53.25078109590257</v>
      </c>
      <c r="Q553" s="34">
        <v>813.6715378342786</v>
      </c>
      <c r="R553" s="13">
        <v>5363.531182865308</v>
      </c>
      <c r="S553" s="56">
        <v>-0.8392668234441238</v>
      </c>
      <c r="T553" s="52">
        <v>280235.69559610984</v>
      </c>
      <c r="U553" s="50">
        <v>13165.205482158628</v>
      </c>
      <c r="V553" s="50">
        <v>-284510.4693361874</v>
      </c>
    </row>
    <row r="554">
      <c r="A554" s="54">
        <v>45102.959961307875</v>
      </c>
      <c r="B554" s="47">
        <v>0.3247296001986268</v>
      </c>
      <c r="C554" s="7">
        <v>0.005664940252693373</v>
      </c>
      <c r="D554" s="48">
        <v>-0.9414901621263736</v>
      </c>
      <c r="E554" s="49">
        <v>16.94</v>
      </c>
      <c r="F554" s="7">
        <v>0.006760464214631057</v>
      </c>
      <c r="G554" s="48">
        <v>-0.6818826005670842</v>
      </c>
      <c r="H554" s="50">
        <v>-55074.300002756616</v>
      </c>
      <c r="I554" s="56">
        <v>-0.017913154768429793</v>
      </c>
      <c r="J554" s="56">
        <v>-3.3588966220644085</v>
      </c>
      <c r="K554" s="50">
        <v>71470.84511848794</v>
      </c>
      <c r="L554" s="56">
        <v>0.023246202130101853</v>
      </c>
      <c r="M554" s="56">
        <v>4.3588966220644085</v>
      </c>
      <c r="N554" s="51">
        <v>-0.0010955239619376833</v>
      </c>
      <c r="O554" s="7">
        <v>-0.25960756155928943</v>
      </c>
      <c r="P554" s="52">
        <v>53.25078109590257</v>
      </c>
      <c r="Q554" s="34">
        <v>967.9188380006683</v>
      </c>
      <c r="R554" s="13">
        <v>5363.531182865308</v>
      </c>
      <c r="S554" s="56">
        <v>-0.8087967168002301</v>
      </c>
      <c r="T554" s="52">
        <v>280235.69559610984</v>
      </c>
      <c r="U554" s="50">
        <v>16396.545115731322</v>
      </c>
      <c r="V554" s="50">
        <v>-281279.12970261474</v>
      </c>
    </row>
    <row r="555">
      <c r="A555" s="54">
        <v>45101.959958472224</v>
      </c>
      <c r="B555" s="47">
        <v>0.29328918179617836</v>
      </c>
      <c r="C555" s="7">
        <v>-0.008356748020632687</v>
      </c>
      <c r="D555" s="48">
        <v>-0.947155102379067</v>
      </c>
      <c r="E555" s="49">
        <v>16.58</v>
      </c>
      <c r="F555" s="7">
        <v>-0.010328486994575226</v>
      </c>
      <c r="G555" s="48">
        <v>-0.6886430647817152</v>
      </c>
      <c r="H555" s="50">
        <v>-55101.507539758844</v>
      </c>
      <c r="I555" s="56">
        <v>0.029272133725890253</v>
      </c>
      <c r="J555" s="56">
        <v>-3.720805483452663</v>
      </c>
      <c r="K555" s="50">
        <v>69910.53418326622</v>
      </c>
      <c r="L555" s="56">
        <v>-0.03713928342131793</v>
      </c>
      <c r="M555" s="56">
        <v>4.720805483452663</v>
      </c>
      <c r="N555" s="51">
        <v>0.0019717389739425384</v>
      </c>
      <c r="O555" s="7">
        <v>-0.25851203759735175</v>
      </c>
      <c r="P555" s="52">
        <v>53.25078109590257</v>
      </c>
      <c r="Q555" s="34">
        <v>893.1861666771641</v>
      </c>
      <c r="R555" s="13">
        <v>5363.531182865308</v>
      </c>
      <c r="S555" s="56">
        <v>-0.8235594547058782</v>
      </c>
      <c r="T555" s="52">
        <v>280235.69559610984</v>
      </c>
      <c r="U555" s="50">
        <v>14809.026643507379</v>
      </c>
      <c r="V555" s="50">
        <v>-282866.6481748387</v>
      </c>
    </row>
    <row r="556">
      <c r="A556" s="54">
        <v>45100.95996666666</v>
      </c>
      <c r="B556" s="47">
        <v>0.33966913331068954</v>
      </c>
      <c r="C556" s="7">
        <v>0.005833845942873839</v>
      </c>
      <c r="D556" s="48">
        <v>-0.9387983543584343</v>
      </c>
      <c r="E556" s="49">
        <v>17.13</v>
      </c>
      <c r="F556" s="7">
        <v>0.006572673542002416</v>
      </c>
      <c r="G556" s="48">
        <v>-0.67831457778714</v>
      </c>
      <c r="H556" s="50">
        <v>-55078.75542964194</v>
      </c>
      <c r="I556" s="56">
        <v>-0.01854711375790266</v>
      </c>
      <c r="J556" s="56">
        <v>-3.2114233790058693</v>
      </c>
      <c r="K556" s="50">
        <v>72229.64116763273</v>
      </c>
      <c r="L556" s="56">
        <v>0.024322469906565974</v>
      </c>
      <c r="M556" s="56">
        <v>4.211423379005869</v>
      </c>
      <c r="N556" s="51">
        <v>-7.388275991285775E-4</v>
      </c>
      <c r="O556" s="7">
        <v>-0.2604837765712943</v>
      </c>
      <c r="P556" s="52">
        <v>53.25078109590257</v>
      </c>
      <c r="Q556" s="34">
        <v>1001.2192491529939</v>
      </c>
      <c r="R556" s="13">
        <v>5363.531182865308</v>
      </c>
      <c r="S556" s="56">
        <v>-0.8022185330783604</v>
      </c>
      <c r="T556" s="52">
        <v>280235.69559610984</v>
      </c>
      <c r="U556" s="50">
        <v>17150.885737990786</v>
      </c>
      <c r="V556" s="50">
        <v>-280524.78908035526</v>
      </c>
    </row>
    <row r="557">
      <c r="A557" s="54">
        <v>45099.9599831713</v>
      </c>
      <c r="B557" s="47">
        <v>0.3072912883277399</v>
      </c>
      <c r="C557" s="7">
        <v>-0.0028700329795622315</v>
      </c>
      <c r="D557" s="48">
        <v>-0.9446322003013081</v>
      </c>
      <c r="E557" s="49">
        <v>16.78</v>
      </c>
      <c r="F557" s="7">
        <v>-0.0050703481609732926</v>
      </c>
      <c r="G557" s="48">
        <v>-0.6848872513291424</v>
      </c>
      <c r="H557" s="50">
        <v>-55111.315207154155</v>
      </c>
      <c r="I557" s="7">
        <v>-0.0010062474663299229</v>
      </c>
      <c r="J557" s="7">
        <v>-3.551894491636477</v>
      </c>
      <c r="K557" s="50">
        <v>70627.34906934315</v>
      </c>
      <c r="L557" s="7">
        <v>0.0012895462717137254</v>
      </c>
      <c r="M557" s="7">
        <v>4.551894491636477</v>
      </c>
      <c r="N557" s="51">
        <v>0.002200315181411061</v>
      </c>
      <c r="O557" s="7">
        <v>-0.2597449489721657</v>
      </c>
      <c r="P557" s="52">
        <v>53.25078109590257</v>
      </c>
      <c r="Q557" s="53">
        <v>926.3303798321789</v>
      </c>
      <c r="R557" s="13">
        <v>5363.531182865308</v>
      </c>
      <c r="S557" s="7">
        <v>-0.8170121264325675</v>
      </c>
      <c r="T557" s="52">
        <v>280235.69559610984</v>
      </c>
      <c r="U557" s="52">
        <v>15516.033862188997</v>
      </c>
      <c r="V557" s="52">
        <v>-282159.64095615706</v>
      </c>
    </row>
    <row r="558">
      <c r="A558" s="54">
        <v>45098.95997369213</v>
      </c>
      <c r="B558" s="47">
        <v>0.3232199713643106</v>
      </c>
      <c r="C558" s="7">
        <v>0.025931220925163867</v>
      </c>
      <c r="D558" s="48">
        <v>-0.9417621673217459</v>
      </c>
      <c r="E558" s="49">
        <v>17.05</v>
      </c>
      <c r="F558" s="7">
        <v>0.030609879638468285</v>
      </c>
      <c r="G558" s="48">
        <v>-0.6798169031681691</v>
      </c>
      <c r="H558" s="50">
        <v>-55576.44137912203</v>
      </c>
      <c r="I558" s="56">
        <v>-0.08313141045417101</v>
      </c>
      <c r="J558" s="56">
        <v>-3.4053525243062666</v>
      </c>
      <c r="K558" s="50">
        <v>71896.76092972244</v>
      </c>
      <c r="L558" s="56">
        <v>0.10754339419471089</v>
      </c>
      <c r="M558" s="56">
        <v>4.405352524306267</v>
      </c>
      <c r="N558" s="51">
        <v>-0.004678658713304418</v>
      </c>
      <c r="O558" s="7">
        <v>-0.2619452641535768</v>
      </c>
      <c r="P558" s="52">
        <v>53.25078109590257</v>
      </c>
      <c r="Q558" s="34">
        <v>957.2034927038364</v>
      </c>
      <c r="R558" s="13">
        <v>5363.531182865308</v>
      </c>
      <c r="S558" s="56">
        <v>-0.8109134327075321</v>
      </c>
      <c r="T558" s="52">
        <v>280235.69559610984</v>
      </c>
      <c r="U558" s="50">
        <v>16320.319550600412</v>
      </c>
      <c r="V558" s="50">
        <v>-281355.3552677456</v>
      </c>
    </row>
    <row r="559">
      <c r="A559" s="54">
        <v>45097.95996954861</v>
      </c>
      <c r="B559" s="47">
        <v>0.17930169522965095</v>
      </c>
      <c r="C559" s="7">
        <v>2.109406920092205E-5</v>
      </c>
      <c r="D559" s="48">
        <v>-0.9676933882469098</v>
      </c>
      <c r="E559" s="49">
        <v>15.42</v>
      </c>
      <c r="F559" s="7">
        <v>0.0</v>
      </c>
      <c r="G559" s="48">
        <v>-0.7104267828066374</v>
      </c>
      <c r="H559" s="50">
        <v>-55930.883560639384</v>
      </c>
      <c r="I559" s="56">
        <v>-1.2268099428748358E-4</v>
      </c>
      <c r="J559" s="56">
        <v>-6.177842241999219</v>
      </c>
      <c r="K559" s="50">
        <v>64984.34937762009</v>
      </c>
      <c r="L559" s="56">
        <v>1.4253922139685415E-4</v>
      </c>
      <c r="M559" s="56">
        <v>7.177842241999219</v>
      </c>
      <c r="N559" s="51">
        <v>2.109406920092205E-5</v>
      </c>
      <c r="O559" s="7">
        <v>-0.25726660544027236</v>
      </c>
      <c r="P559" s="52">
        <v>53.25078109590257</v>
      </c>
      <c r="Q559" s="34">
        <v>587.12489085478</v>
      </c>
      <c r="R559" s="13">
        <v>5363.531182865308</v>
      </c>
      <c r="S559" s="56">
        <v>-0.8840189875717008</v>
      </c>
      <c r="T559" s="52">
        <v>280235.69559610984</v>
      </c>
      <c r="U559" s="50">
        <v>9053.465816980708</v>
      </c>
      <c r="V559" s="50">
        <v>-288622.20900136535</v>
      </c>
    </row>
    <row r="560">
      <c r="A560" s="54">
        <v>45096.959973414356</v>
      </c>
      <c r="B560" s="47">
        <v>0.17918462314558564</v>
      </c>
      <c r="C560" s="7">
        <v>-5.346429491515092E-5</v>
      </c>
      <c r="D560" s="48">
        <v>-0.9677144823161107</v>
      </c>
      <c r="E560" s="49">
        <v>15.42</v>
      </c>
      <c r="F560" s="7">
        <v>-7.511626905145619E-4</v>
      </c>
      <c r="G560" s="48">
        <v>-0.7104267828066374</v>
      </c>
      <c r="H560" s="50">
        <v>-55936.794871794875</v>
      </c>
      <c r="I560" s="56">
        <v>3.111790283994052E-4</v>
      </c>
      <c r="J560" s="56">
        <v>-6.182531957755019</v>
      </c>
      <c r="K560" s="50">
        <v>64984.3493776201</v>
      </c>
      <c r="L560" s="56">
        <v>-3.6151100088667714E-4</v>
      </c>
      <c r="M560" s="56">
        <v>7.182531957755019</v>
      </c>
      <c r="N560" s="51">
        <v>6.976983955994109E-4</v>
      </c>
      <c r="O560" s="7">
        <v>-0.2572876995094733</v>
      </c>
      <c r="P560" s="52">
        <v>53.25078109590257</v>
      </c>
      <c r="Q560" s="34">
        <v>586.7415373427513</v>
      </c>
      <c r="R560" s="13">
        <v>5363.531182865308</v>
      </c>
      <c r="S560" s="56">
        <v>-0.884094715460495</v>
      </c>
      <c r="T560" s="52">
        <v>280235.69559610984</v>
      </c>
      <c r="U560" s="50">
        <v>9047.554505825225</v>
      </c>
      <c r="V560" s="50">
        <v>-288628.1203125208</v>
      </c>
    </row>
    <row r="561">
      <c r="A561" s="54">
        <v>45095.959968483796</v>
      </c>
      <c r="B561" s="47">
        <v>0.17948134998236462</v>
      </c>
      <c r="C561" s="7">
        <v>-0.0031278155101925886</v>
      </c>
      <c r="D561" s="48">
        <v>-0.9676610180211955</v>
      </c>
      <c r="E561" s="49">
        <v>15.46</v>
      </c>
      <c r="F561" s="7">
        <v>-0.003943604125201339</v>
      </c>
      <c r="G561" s="48">
        <v>-0.7096756201161228</v>
      </c>
      <c r="H561" s="50">
        <v>-56051.8952725545</v>
      </c>
      <c r="I561" s="56">
        <v>0.018212171849126473</v>
      </c>
      <c r="J561" s="56">
        <v>-6.185011392952852</v>
      </c>
      <c r="K561" s="50">
        <v>65114.432382254825</v>
      </c>
      <c r="L561" s="56">
        <v>-0.021156737459769853</v>
      </c>
      <c r="M561" s="56">
        <v>7.185011392952852</v>
      </c>
      <c r="N561" s="51">
        <v>8.157886150087501E-4</v>
      </c>
      <c r="O561" s="7">
        <v>-0.2579853979050727</v>
      </c>
      <c r="P561" s="52">
        <v>53.25078109590257</v>
      </c>
      <c r="Q561" s="34">
        <v>586.1925685446521</v>
      </c>
      <c r="R561" s="13">
        <v>5363.531182865308</v>
      </c>
      <c r="S561" s="56">
        <v>-0.8842031590948679</v>
      </c>
      <c r="T561" s="52">
        <v>280235.69559610984</v>
      </c>
      <c r="U561" s="50">
        <v>9062.537109700323</v>
      </c>
      <c r="V561" s="50">
        <v>-288613.1377086457</v>
      </c>
    </row>
    <row r="562">
      <c r="A562" s="54">
        <v>45094.95996096065</v>
      </c>
      <c r="B562" s="47">
        <v>0.1968407260639339</v>
      </c>
      <c r="C562" s="7">
        <v>0.005212096374524577</v>
      </c>
      <c r="D562" s="48">
        <v>-0.9645332025110029</v>
      </c>
      <c r="E562" s="49">
        <v>15.67</v>
      </c>
      <c r="F562" s="7">
        <v>0.006384882869373665</v>
      </c>
      <c r="G562" s="48">
        <v>-0.7057320159909215</v>
      </c>
      <c r="H562" s="50">
        <v>-56059.84777688545</v>
      </c>
      <c r="I562" s="56">
        <v>-0.027675726467554992</v>
      </c>
      <c r="J562" s="56">
        <v>-5.640355601629067</v>
      </c>
      <c r="K562" s="50">
        <v>65998.91044178091</v>
      </c>
      <c r="L562" s="56">
        <v>0.03258246079819925</v>
      </c>
      <c r="M562" s="56">
        <v>6.640355601629067</v>
      </c>
      <c r="N562" s="51">
        <v>-0.0011727864948490874</v>
      </c>
      <c r="O562" s="7">
        <v>-0.25880118652008144</v>
      </c>
      <c r="P562" s="52">
        <v>53.25078109590257</v>
      </c>
      <c r="Q562" s="34">
        <v>634.2733034394042</v>
      </c>
      <c r="R562" s="13">
        <v>5363.531182865308</v>
      </c>
      <c r="S562" s="56">
        <v>-0.8747052611207735</v>
      </c>
      <c r="T562" s="52">
        <v>280235.69559610984</v>
      </c>
      <c r="U562" s="50">
        <v>9939.062664895464</v>
      </c>
      <c r="V562" s="50">
        <v>-287736.6121534506</v>
      </c>
    </row>
    <row r="563">
      <c r="A563" s="54">
        <v>45093.95996628472</v>
      </c>
      <c r="B563" s="47">
        <v>0.1679135911853221</v>
      </c>
      <c r="C563" s="7">
        <v>0.007070152648195216</v>
      </c>
      <c r="D563" s="48">
        <v>-0.9697452988855275</v>
      </c>
      <c r="E563" s="49">
        <v>15.33</v>
      </c>
      <c r="F563" s="7">
        <v>0.008826161613546102</v>
      </c>
      <c r="G563" s="48">
        <v>-0.7121168988602952</v>
      </c>
      <c r="H563" s="50">
        <v>-56050.05739562769</v>
      </c>
      <c r="I563" s="56">
        <v>-0.04400161719677157</v>
      </c>
      <c r="J563" s="56">
        <v>-6.610887111165713</v>
      </c>
      <c r="K563" s="50">
        <v>64528.50460749428</v>
      </c>
      <c r="L563" s="56">
        <v>0.05065754951823768</v>
      </c>
      <c r="M563" s="56">
        <v>7.610887111165713</v>
      </c>
      <c r="N563" s="51">
        <v>-0.001756008965350886</v>
      </c>
      <c r="O563" s="7">
        <v>-0.25762840002523235</v>
      </c>
      <c r="P563" s="52">
        <v>53.25078109590257</v>
      </c>
      <c r="Q563" s="34">
        <v>553.062440434872</v>
      </c>
      <c r="R563" s="13">
        <v>5363.531182865308</v>
      </c>
      <c r="S563" s="56">
        <v>-0.8907477049996709</v>
      </c>
      <c r="T563" s="52">
        <v>280235.69559610984</v>
      </c>
      <c r="U563" s="50">
        <v>8478.447211866587</v>
      </c>
      <c r="V563" s="50">
        <v>-289197.2276064794</v>
      </c>
    </row>
    <row r="564">
      <c r="A564" s="54">
        <v>45092.95996841435</v>
      </c>
      <c r="B564" s="47">
        <v>0.1286742439878387</v>
      </c>
      <c r="C564" s="7">
        <v>0.006080794321322469</v>
      </c>
      <c r="D564" s="48">
        <v>-0.9768154515337227</v>
      </c>
      <c r="E564" s="49">
        <v>14.86</v>
      </c>
      <c r="F564" s="7">
        <v>0.007887208250402789</v>
      </c>
      <c r="G564" s="48">
        <v>-0.7209430604738413</v>
      </c>
      <c r="H564" s="50">
        <v>-56052.9975151648</v>
      </c>
      <c r="I564" s="56">
        <v>-0.049387514141589726</v>
      </c>
      <c r="J564" s="56">
        <v>-8.62733667365498</v>
      </c>
      <c r="K564" s="50">
        <v>62550.13558169373</v>
      </c>
      <c r="L564" s="56">
        <v>0.05511205185348902</v>
      </c>
      <c r="M564" s="56">
        <v>9.62733667365498</v>
      </c>
      <c r="N564" s="51">
        <v>-0.0018064139290803194</v>
      </c>
      <c r="O564" s="7">
        <v>-0.25587239105988147</v>
      </c>
      <c r="P564" s="52">
        <v>53.25078109590257</v>
      </c>
      <c r="Q564" s="34">
        <v>437.22328846089675</v>
      </c>
      <c r="R564" s="13">
        <v>5363.531182865308</v>
      </c>
      <c r="S564" s="56">
        <v>-0.9136306424019968</v>
      </c>
      <c r="T564" s="52">
        <v>280235.69559610984</v>
      </c>
      <c r="U564" s="50">
        <v>6497.138066528925</v>
      </c>
      <c r="V564" s="50">
        <v>-291178.5367518171</v>
      </c>
    </row>
    <row r="565">
      <c r="A565" s="54">
        <v>45091.959970358796</v>
      </c>
      <c r="B565" s="47">
        <v>0.09492583550449882</v>
      </c>
      <c r="C565" s="7">
        <v>-0.008093695664507461</v>
      </c>
      <c r="D565" s="48">
        <v>-0.9828962458550452</v>
      </c>
      <c r="E565" s="49">
        <v>14.44</v>
      </c>
      <c r="F565" s="7">
        <v>-0.010140696321946474</v>
      </c>
      <c r="G565" s="48">
        <v>-0.7288302687242441</v>
      </c>
      <c r="H565" s="50">
        <v>-55989.148905755734</v>
      </c>
      <c r="I565" s="56">
        <v>0.0890053154994334</v>
      </c>
      <c r="J565" s="56">
        <v>-11.681240538895867</v>
      </c>
      <c r="K565" s="50">
        <v>60782.23134587197</v>
      </c>
      <c r="L565" s="56">
        <v>-0.09662482433525148</v>
      </c>
      <c r="M565" s="56">
        <v>12.681240538895867</v>
      </c>
      <c r="N565" s="51">
        <v>0.002047000657439013</v>
      </c>
      <c r="O565" s="7">
        <v>-0.25406597713080115</v>
      </c>
      <c r="P565" s="52">
        <v>53.25078109590257</v>
      </c>
      <c r="Q565" s="34">
        <v>331.9309169055567</v>
      </c>
      <c r="R565" s="13">
        <v>5363.531182865308</v>
      </c>
      <c r="S565" s="56">
        <v>-0.9344301623068435</v>
      </c>
      <c r="T565" s="52">
        <v>280235.69559610984</v>
      </c>
      <c r="U565" s="50">
        <v>4793.082440116239</v>
      </c>
      <c r="V565" s="50">
        <v>-292882.59237822983</v>
      </c>
    </row>
    <row r="566">
      <c r="A566" s="54">
        <v>45090.95997271991</v>
      </c>
      <c r="B566" s="47">
        <v>0.1398458464425156</v>
      </c>
      <c r="C566" s="7">
        <v>-0.004131174752146416</v>
      </c>
      <c r="D566" s="48">
        <v>-0.9748025501905377</v>
      </c>
      <c r="E566" s="49">
        <v>14.98</v>
      </c>
      <c r="F566" s="7">
        <v>-0.0050703481609732926</v>
      </c>
      <c r="G566" s="48">
        <v>-0.7186895724022976</v>
      </c>
      <c r="H566" s="50">
        <v>-55956.545718230765</v>
      </c>
      <c r="I566" s="56">
        <v>0.030819424712347117</v>
      </c>
      <c r="J566" s="56">
        <v>-7.924481476222489</v>
      </c>
      <c r="K566" s="50">
        <v>63017.77059283349</v>
      </c>
      <c r="L566" s="56">
        <v>-0.03470856557346481</v>
      </c>
      <c r="M566" s="56">
        <v>8.924481476222489</v>
      </c>
      <c r="N566" s="51">
        <v>9.391734088268766E-4</v>
      </c>
      <c r="O566" s="7">
        <v>-0.25611297778824016</v>
      </c>
      <c r="P566" s="52">
        <v>53.25078109590257</v>
      </c>
      <c r="Q566" s="34">
        <v>471.37682741006176</v>
      </c>
      <c r="R566" s="13">
        <v>5363.531182865308</v>
      </c>
      <c r="S566" s="56">
        <v>-0.9068839312898743</v>
      </c>
      <c r="T566" s="52">
        <v>280235.69559610984</v>
      </c>
      <c r="U566" s="50">
        <v>7061.224874602725</v>
      </c>
      <c r="V566" s="50">
        <v>-290614.4499437433</v>
      </c>
    </row>
    <row r="567">
      <c r="A567" s="54">
        <v>45089.96008287037</v>
      </c>
      <c r="B567" s="47">
        <v>0.16277386631692822</v>
      </c>
      <c r="C567" s="7">
        <v>-0.006485921347919699</v>
      </c>
      <c r="D567" s="48">
        <v>-0.9706713754383913</v>
      </c>
      <c r="E567" s="49">
        <v>15.25</v>
      </c>
      <c r="F567" s="7">
        <v>-0.00826278959566007</v>
      </c>
      <c r="G567" s="48">
        <v>-0.7136192242413243</v>
      </c>
      <c r="H567" s="50">
        <v>-55934.677404360154</v>
      </c>
      <c r="I567" s="56">
        <v>0.04155447239564386</v>
      </c>
      <c r="J567" s="56">
        <v>-6.805593232330584</v>
      </c>
      <c r="K567" s="50">
        <v>64153.60490925972</v>
      </c>
      <c r="L567" s="56">
        <v>-0.047660401882912595</v>
      </c>
      <c r="M567" s="56">
        <v>7.805593232330584</v>
      </c>
      <c r="N567" s="51">
        <v>0.0017768682477403708</v>
      </c>
      <c r="O567" s="7">
        <v>-0.25705215119706704</v>
      </c>
      <c r="P567" s="52">
        <v>53.25078109590257</v>
      </c>
      <c r="Q567" s="34">
        <v>538.9460658950533</v>
      </c>
      <c r="R567" s="13">
        <v>5363.531182865308</v>
      </c>
      <c r="S567" s="56">
        <v>-0.8935362623176236</v>
      </c>
      <c r="T567" s="52">
        <v>280235.69559610984</v>
      </c>
      <c r="U567" s="50">
        <v>8218.927504899562</v>
      </c>
      <c r="V567" s="50">
        <v>-289456.7473134465</v>
      </c>
    </row>
    <row r="568">
      <c r="A568" s="54">
        <v>45088.959959201384</v>
      </c>
      <c r="B568" s="47">
        <v>0.19877072979788274</v>
      </c>
      <c r="C568" s="7">
        <v>0.003171169811358565</v>
      </c>
      <c r="D568" s="48">
        <v>-0.9641854540904716</v>
      </c>
      <c r="E568" s="49">
        <v>15.69</v>
      </c>
      <c r="F568" s="7">
        <v>0.003943604125201339</v>
      </c>
      <c r="G568" s="48">
        <v>-0.7053564346456642</v>
      </c>
      <c r="H568" s="50">
        <v>-55928.711978115025</v>
      </c>
      <c r="I568" s="56">
        <v>-0.01663609992391084</v>
      </c>
      <c r="J568" s="56">
        <v>-5.572523581881391</v>
      </c>
      <c r="K568" s="50">
        <v>65965.22616353053</v>
      </c>
      <c r="L568" s="56">
        <v>0.019621479829345746</v>
      </c>
      <c r="M568" s="56">
        <v>6.572523581881391</v>
      </c>
      <c r="N568" s="51">
        <v>-7.724343138427736E-4</v>
      </c>
      <c r="O568" s="7">
        <v>-0.2588290194448074</v>
      </c>
      <c r="P568" s="52">
        <v>53.25078109590257</v>
      </c>
      <c r="Q568" s="34">
        <v>639.6758563043663</v>
      </c>
      <c r="R568" s="13">
        <v>5363.531182865308</v>
      </c>
      <c r="S568" s="56">
        <v>-0.8736380375015134</v>
      </c>
      <c r="T568" s="52">
        <v>280235.69559610984</v>
      </c>
      <c r="U568" s="50">
        <v>10036.514185415508</v>
      </c>
      <c r="V568" s="50">
        <v>-287639.1606329305</v>
      </c>
    </row>
    <row r="569">
      <c r="A569" s="54">
        <v>45087.95996652778</v>
      </c>
      <c r="B569" s="47">
        <v>0.18117073734484226</v>
      </c>
      <c r="C569" s="7">
        <v>-0.03580829722708945</v>
      </c>
      <c r="D569" s="48">
        <v>-0.9673566239018302</v>
      </c>
      <c r="E569" s="49">
        <v>15.48</v>
      </c>
      <c r="F569" s="7">
        <v>-0.04018720394252895</v>
      </c>
      <c r="G569" s="48">
        <v>-0.7093000387708656</v>
      </c>
      <c r="H569" s="50">
        <v>-55934.48717948718</v>
      </c>
      <c r="I569" s="56">
        <v>0.2061222691619715</v>
      </c>
      <c r="J569" s="56">
        <v>-6.114502661325195</v>
      </c>
      <c r="K569" s="50">
        <v>65082.326386963214</v>
      </c>
      <c r="L569" s="56">
        <v>-0.23983265912806215</v>
      </c>
      <c r="M569" s="56">
        <v>7.114502661325195</v>
      </c>
      <c r="N569" s="51">
        <v>0.004378906715439501</v>
      </c>
      <c r="O569" s="7">
        <v>-0.25805658513096463</v>
      </c>
      <c r="P569" s="52">
        <v>53.25078109590257</v>
      </c>
      <c r="Q569" s="34">
        <v>590.9456852374699</v>
      </c>
      <c r="R569" s="13">
        <v>5363.531182865308</v>
      </c>
      <c r="S569" s="56">
        <v>-0.8832642254969068</v>
      </c>
      <c r="T569" s="52">
        <v>280235.69559610984</v>
      </c>
      <c r="U569" s="50">
        <v>9147.839207476034</v>
      </c>
      <c r="V569" s="50">
        <v>-288527.83561087004</v>
      </c>
    </row>
    <row r="570">
      <c r="A570" s="54">
        <v>45086.96001270833</v>
      </c>
      <c r="B570" s="47">
        <v>0.37990678695518865</v>
      </c>
      <c r="C570" s="7">
        <v>-0.01888767027900451</v>
      </c>
      <c r="D570" s="48">
        <v>-0.9315483266747407</v>
      </c>
      <c r="E570" s="49">
        <v>17.62</v>
      </c>
      <c r="F570" s="7">
        <v>-0.023849415423837228</v>
      </c>
      <c r="G570" s="48">
        <v>-0.6691128348283366</v>
      </c>
      <c r="H570" s="50">
        <v>-54873.42447432945</v>
      </c>
      <c r="I570" s="56">
        <v>0.050864296331034696</v>
      </c>
      <c r="J570" s="56">
        <v>-2.8605829202711357</v>
      </c>
      <c r="K570" s="50">
        <v>74056.02676335114</v>
      </c>
      <c r="L570" s="56">
        <v>-0.06864539121578414</v>
      </c>
      <c r="M570" s="56">
        <v>3.8605829202711357</v>
      </c>
      <c r="N570" s="51">
        <v>0.004961745144832719</v>
      </c>
      <c r="O570" s="7">
        <v>-0.26243549184640413</v>
      </c>
      <c r="P570" s="52">
        <v>53.25078109590257</v>
      </c>
      <c r="Q570" s="34">
        <v>1088.6834443258622</v>
      </c>
      <c r="R570" s="13">
        <v>5363.531182865308</v>
      </c>
      <c r="S570" s="56">
        <v>-0.7849408021127954</v>
      </c>
      <c r="T570" s="52">
        <v>280235.69559610984</v>
      </c>
      <c r="U570" s="50">
        <v>19182.602289021692</v>
      </c>
      <c r="V570" s="50">
        <v>-278493.07252932433</v>
      </c>
    </row>
    <row r="571">
      <c r="A571" s="54">
        <v>45085.95996594908</v>
      </c>
      <c r="B571" s="47">
        <v>0.4847333570036641</v>
      </c>
      <c r="C571" s="7">
        <v>0.0028305245981611327</v>
      </c>
      <c r="D571" s="48">
        <v>-0.9126606563957362</v>
      </c>
      <c r="E571" s="49">
        <v>18.89</v>
      </c>
      <c r="F571" s="7">
        <v>0.0037558134525728093</v>
      </c>
      <c r="G571" s="48">
        <v>-0.6452634194044994</v>
      </c>
      <c r="H571" s="50">
        <v>-54883.80516444989</v>
      </c>
      <c r="I571" s="56">
        <v>-0.0059752747140941545</v>
      </c>
      <c r="J571" s="56">
        <v>-2.242388392308675</v>
      </c>
      <c r="K571" s="50">
        <v>79359.40687229841</v>
      </c>
      <c r="L571" s="56">
        <v>0.008639966849760379</v>
      </c>
      <c r="M571" s="56">
        <v>3.242388392308675</v>
      </c>
      <c r="N571" s="51">
        <v>-9.252888544116766E-4</v>
      </c>
      <c r="O571" s="7">
        <v>-0.26739723699123685</v>
      </c>
      <c r="P571" s="52">
        <v>53.25078109590257</v>
      </c>
      <c r="Q571" s="34">
        <v>1295.6909321253847</v>
      </c>
      <c r="R571" s="13">
        <v>5363.531182865308</v>
      </c>
      <c r="S571" s="56">
        <v>-0.74404841551976</v>
      </c>
      <c r="T571" s="52">
        <v>280235.69559610984</v>
      </c>
      <c r="U571" s="50">
        <v>24475.601707848517</v>
      </c>
      <c r="V571" s="50">
        <v>-273200.07311049756</v>
      </c>
    </row>
    <row r="572">
      <c r="A572" s="54">
        <v>45084.95996309028</v>
      </c>
      <c r="B572" s="47">
        <v>0.4690239454838695</v>
      </c>
      <c r="C572" s="7">
        <v>-0.025943900514317608</v>
      </c>
      <c r="D572" s="48">
        <v>-0.9154911809938974</v>
      </c>
      <c r="E572" s="49">
        <v>18.69</v>
      </c>
      <c r="F572" s="7">
        <v>-0.03211220501949741</v>
      </c>
      <c r="G572" s="48">
        <v>-0.6490192328570722</v>
      </c>
      <c r="H572" s="50">
        <v>-54822.368362014975</v>
      </c>
      <c r="I572" s="56">
        <v>0.05653894290356759</v>
      </c>
      <c r="J572" s="56">
        <v>-2.314900385340959</v>
      </c>
      <c r="K572" s="50">
        <v>78504.75604019589</v>
      </c>
      <c r="L572" s="56">
        <v>-0.0809628633718516</v>
      </c>
      <c r="M572" s="56">
        <v>3.314900385340959</v>
      </c>
      <c r="N572" s="51">
        <v>0.0061683045051798</v>
      </c>
      <c r="O572" s="7">
        <v>-0.2664719481368252</v>
      </c>
      <c r="P572" s="52">
        <v>53.25078109590257</v>
      </c>
      <c r="Q572" s="34">
        <v>1267.1154455955545</v>
      </c>
      <c r="R572" s="13">
        <v>5363.531182865308</v>
      </c>
      <c r="S572" s="56">
        <v>-0.7496932347225974</v>
      </c>
      <c r="T572" s="52">
        <v>280235.69559610984</v>
      </c>
      <c r="U572" s="50">
        <v>23682.387678180916</v>
      </c>
      <c r="V572" s="50">
        <v>-273993.2871401651</v>
      </c>
    </row>
    <row r="573">
      <c r="A573" s="54">
        <v>45083.95996357639</v>
      </c>
      <c r="B573" s="47">
        <v>0.6130125933383321</v>
      </c>
      <c r="C573" s="7">
        <v>0.008226972094376062</v>
      </c>
      <c r="D573" s="48">
        <v>-0.8895472804795798</v>
      </c>
      <c r="E573" s="49">
        <v>20.4</v>
      </c>
      <c r="F573" s="7">
        <v>0.010140696321946585</v>
      </c>
      <c r="G573" s="48">
        <v>-0.6169070278375748</v>
      </c>
      <c r="H573" s="50">
        <v>-54817.322866683506</v>
      </c>
      <c r="I573" s="56">
        <v>-0.013716335075915803</v>
      </c>
      <c r="J573" s="56">
        <v>-1.7709975278174228</v>
      </c>
      <c r="K573" s="50">
        <v>85770.11755197048</v>
      </c>
      <c r="L573" s="56">
        <v>0.021461312051021926</v>
      </c>
      <c r="M573" s="56">
        <v>2.770997527817423</v>
      </c>
      <c r="N573" s="51">
        <v>-0.0019137242275705235</v>
      </c>
      <c r="O573" s="7">
        <v>-0.272640252642005</v>
      </c>
      <c r="P573" s="52">
        <v>53.25078109590257</v>
      </c>
      <c r="Q573" s="34">
        <v>1517.2938571219108</v>
      </c>
      <c r="R573" s="13">
        <v>5363.531182865308</v>
      </c>
      <c r="S573" s="56">
        <v>-0.7002728372765158</v>
      </c>
      <c r="T573" s="52">
        <v>280235.69559610984</v>
      </c>
      <c r="U573" s="50">
        <v>30952.79468528698</v>
      </c>
      <c r="V573" s="50">
        <v>-266722.88013305905</v>
      </c>
    </row>
    <row r="574">
      <c r="A574" s="54">
        <v>45082.95998738426</v>
      </c>
      <c r="B574" s="47">
        <v>0.5673528982145454</v>
      </c>
      <c r="C574" s="7">
        <v>-0.03269829490980314</v>
      </c>
      <c r="D574" s="48">
        <v>-0.8977742525739558</v>
      </c>
      <c r="E574" s="49">
        <v>19.86</v>
      </c>
      <c r="F574" s="7">
        <v>-0.04150173865092943</v>
      </c>
      <c r="G574" s="48">
        <v>-0.6270477241595214</v>
      </c>
      <c r="H574" s="50">
        <v>-54833.179696616106</v>
      </c>
      <c r="I574" s="56">
        <v>0.058920292718135314</v>
      </c>
      <c r="J574" s="56">
        <v>-1.9140782243511927</v>
      </c>
      <c r="K574" s="50">
        <v>83480.48313438584</v>
      </c>
      <c r="L574" s="56">
        <v>-0.08970288664169729</v>
      </c>
      <c r="M574" s="56">
        <v>2.9140782243511927</v>
      </c>
      <c r="N574" s="51">
        <v>0.008803443741126293</v>
      </c>
      <c r="O574" s="7">
        <v>-0.27072652841443445</v>
      </c>
      <c r="P574" s="52">
        <v>53.25078109590257</v>
      </c>
      <c r="Q574" s="34">
        <v>1442.4624087497348</v>
      </c>
      <c r="R574" s="13">
        <v>5363.531182865308</v>
      </c>
      <c r="S574" s="56">
        <v>-0.7150550876611749</v>
      </c>
      <c r="T574" s="52">
        <v>280235.69559610984</v>
      </c>
      <c r="U574" s="50">
        <v>28647.303437769733</v>
      </c>
      <c r="V574" s="50">
        <v>-269028.3713805763</v>
      </c>
    </row>
    <row r="575">
      <c r="A575" s="54">
        <v>45081.959959733795</v>
      </c>
      <c r="B575" s="47">
        <v>0.7488284349639527</v>
      </c>
      <c r="C575" s="7">
        <v>0.015539486281507808</v>
      </c>
      <c r="D575" s="48">
        <v>-0.8650759576641527</v>
      </c>
      <c r="E575" s="49">
        <v>22.07</v>
      </c>
      <c r="F575" s="7">
        <v>0.019342439280749857</v>
      </c>
      <c r="G575" s="48">
        <v>-0.5855459855085919</v>
      </c>
      <c r="H575" s="50">
        <v>-54844.18284020359</v>
      </c>
      <c r="I575" s="56">
        <v>-0.02121947019960747</v>
      </c>
      <c r="J575" s="56">
        <v>-1.4505001304310843</v>
      </c>
      <c r="K575" s="50">
        <v>92654.71569682875</v>
      </c>
      <c r="L575" s="56">
        <v>0.035848541755292965</v>
      </c>
      <c r="M575" s="56">
        <v>2.4505001304310845</v>
      </c>
      <c r="N575" s="51">
        <v>-0.0038029529992420485</v>
      </c>
      <c r="O575" s="7">
        <v>-0.27952997215556075</v>
      </c>
      <c r="P575" s="52">
        <v>53.25078109590257</v>
      </c>
      <c r="Q575" s="34">
        <v>1713.2094633722318</v>
      </c>
      <c r="R575" s="13">
        <v>5363.531182865308</v>
      </c>
      <c r="S575" s="56">
        <v>-0.6615715477939065</v>
      </c>
      <c r="T575" s="52">
        <v>280235.69559610984</v>
      </c>
      <c r="U575" s="50">
        <v>37810.532856625156</v>
      </c>
      <c r="V575" s="50">
        <v>-259865.1419617209</v>
      </c>
    </row>
    <row r="576">
      <c r="A576" s="54">
        <v>45080.95996962963</v>
      </c>
      <c r="B576" s="47">
        <v>0.6625842861015843</v>
      </c>
      <c r="C576" s="7">
        <v>-0.004910411898570777</v>
      </c>
      <c r="D576" s="48">
        <v>-0.8806154439456605</v>
      </c>
      <c r="E576" s="49">
        <v>21.04</v>
      </c>
      <c r="F576" s="7">
        <v>-0.005821510851487854</v>
      </c>
      <c r="G576" s="48">
        <v>-0.6048884247893418</v>
      </c>
      <c r="H576" s="50">
        <v>-54839.31273785538</v>
      </c>
      <c r="I576" s="56">
        <v>0.007577368902204047</v>
      </c>
      <c r="J576" s="56">
        <v>-1.6391564275991557</v>
      </c>
      <c r="K576" s="50">
        <v>88295.12684717598</v>
      </c>
      <c r="L576" s="56">
        <v>-0.012200093600482227</v>
      </c>
      <c r="M576" s="56">
        <v>2.639156427599156</v>
      </c>
      <c r="N576" s="51">
        <v>9.110989529170777E-4</v>
      </c>
      <c r="O576" s="7">
        <v>-0.2757270191563187</v>
      </c>
      <c r="P576" s="52">
        <v>53.25078109590257</v>
      </c>
      <c r="Q576" s="34">
        <v>1590.1052333327282</v>
      </c>
      <c r="R576" s="13">
        <v>5363.531182865308</v>
      </c>
      <c r="S576" s="56">
        <v>-0.6858896331903565</v>
      </c>
      <c r="T576" s="52">
        <v>280235.69559610984</v>
      </c>
      <c r="U576" s="50">
        <v>33455.8141093206</v>
      </c>
      <c r="V576" s="50">
        <v>-264219.86070902547</v>
      </c>
    </row>
    <row r="577">
      <c r="A577" s="54">
        <v>45079.9599737963</v>
      </c>
      <c r="B577" s="47">
        <v>0.6898370721386522</v>
      </c>
      <c r="C577" s="7">
        <v>0.011144818432317849</v>
      </c>
      <c r="D577" s="48">
        <v>-0.8757050320470897</v>
      </c>
      <c r="E577" s="49">
        <v>21.35</v>
      </c>
      <c r="F577" s="7">
        <v>0.013708719101890754</v>
      </c>
      <c r="G577" s="48">
        <v>-0.5990669139378539</v>
      </c>
      <c r="H577" s="50">
        <v>-54832.51409686695</v>
      </c>
      <c r="I577" s="56">
        <v>-0.01651635705154516</v>
      </c>
      <c r="J577" s="56">
        <v>-1.5742045329438237</v>
      </c>
      <c r="K577" s="50">
        <v>89664.40090024695</v>
      </c>
      <c r="L577" s="56">
        <v>0.027008231967353545</v>
      </c>
      <c r="M577" s="56">
        <v>2.5742045329438237</v>
      </c>
      <c r="N577" s="51">
        <v>-0.002563900669572905</v>
      </c>
      <c r="O577" s="7">
        <v>-0.2766381181092358</v>
      </c>
      <c r="P577" s="52">
        <v>53.25078109590257</v>
      </c>
      <c r="Q577" s="34">
        <v>1631.470107886651</v>
      </c>
      <c r="R577" s="13">
        <v>5363.531182865308</v>
      </c>
      <c r="S577" s="56">
        <v>-0.6777183904028995</v>
      </c>
      <c r="T577" s="52">
        <v>280235.69559610984</v>
      </c>
      <c r="U577" s="50">
        <v>34831.88680338</v>
      </c>
      <c r="V577" s="50">
        <v>-262843.78801496606</v>
      </c>
    </row>
    <row r="578">
      <c r="A578" s="54">
        <v>45078.95997247685</v>
      </c>
      <c r="B578" s="47">
        <v>0.6279833298392878</v>
      </c>
      <c r="C578" s="7">
        <v>-5.290656531274918E-4</v>
      </c>
      <c r="D578" s="48">
        <v>-0.8868498504794076</v>
      </c>
      <c r="E578" s="49">
        <v>20.62</v>
      </c>
      <c r="F578" s="7">
        <v>-7.511626905145619E-4</v>
      </c>
      <c r="G578" s="48">
        <v>-0.6127756330397447</v>
      </c>
      <c r="H578" s="50">
        <v>-54870.42213674498</v>
      </c>
      <c r="I578" s="56">
        <v>8.618851350278302E-4</v>
      </c>
      <c r="J578" s="56">
        <v>-1.7304526312336126</v>
      </c>
      <c r="K578" s="50">
        <v>86579.13299445203</v>
      </c>
      <c r="L578" s="56">
        <v>-0.001359954321939584</v>
      </c>
      <c r="M578" s="56">
        <v>2.7304526312336126</v>
      </c>
      <c r="N578" s="51">
        <v>2.220970373870701E-4</v>
      </c>
      <c r="O578" s="7">
        <v>-0.27407421743966287</v>
      </c>
      <c r="P578" s="52">
        <v>53.25078109590257</v>
      </c>
      <c r="Q578" s="34">
        <v>1537.7648330604775</v>
      </c>
      <c r="R578" s="13">
        <v>5363.531182865308</v>
      </c>
      <c r="S578" s="56">
        <v>-0.6962289880857692</v>
      </c>
      <c r="T578" s="52">
        <v>280235.69559610984</v>
      </c>
      <c r="U578" s="50">
        <v>31708.710857707047</v>
      </c>
      <c r="V578" s="50">
        <v>-265966.96396063897</v>
      </c>
    </row>
    <row r="579">
      <c r="A579" s="54">
        <v>45077.959969710646</v>
      </c>
      <c r="B579" s="47">
        <v>0.6309196442141454</v>
      </c>
      <c r="C579" s="7">
        <v>-0.008353034433924544</v>
      </c>
      <c r="D579" s="48">
        <v>-0.8863207848262801</v>
      </c>
      <c r="E579" s="49">
        <v>20.66</v>
      </c>
      <c r="F579" s="7">
        <v>-0.010704068339832506</v>
      </c>
      <c r="G579" s="48">
        <v>-0.6120244703492301</v>
      </c>
      <c r="H579" s="50">
        <v>-54806.021459549076</v>
      </c>
      <c r="I579" s="56">
        <v>0.013528452922541507</v>
      </c>
      <c r="J579" s="56">
        <v>-1.7203775086875874</v>
      </c>
      <c r="K579" s="50">
        <v>86662.99539857631</v>
      </c>
      <c r="L579" s="56">
        <v>-0.021392106599845077</v>
      </c>
      <c r="M579" s="56">
        <v>2.720377508687587</v>
      </c>
      <c r="N579" s="51">
        <v>0.002351033905907962</v>
      </c>
      <c r="O579" s="7">
        <v>-0.27429631447704994</v>
      </c>
      <c r="P579" s="52">
        <v>53.25078109590257</v>
      </c>
      <c r="Q579" s="34">
        <v>1541.9638886266814</v>
      </c>
      <c r="R579" s="13">
        <v>5363.531182865308</v>
      </c>
      <c r="S579" s="56">
        <v>-0.6953995040638911</v>
      </c>
      <c r="T579" s="52">
        <v>280235.69559610984</v>
      </c>
      <c r="U579" s="50">
        <v>31856.973939027237</v>
      </c>
      <c r="V579" s="50">
        <v>-265818.7008793188</v>
      </c>
    </row>
    <row r="580">
      <c r="A580" s="54">
        <v>45076.959970578704</v>
      </c>
      <c r="B580" s="47">
        <v>0.6772789853224267</v>
      </c>
      <c r="C580" s="7">
        <v>0.009535698900839717</v>
      </c>
      <c r="D580" s="48">
        <v>-0.8779677503923555</v>
      </c>
      <c r="E580" s="49">
        <v>21.23</v>
      </c>
      <c r="F580" s="7">
        <v>0.01220639372086163</v>
      </c>
      <c r="G580" s="48">
        <v>-0.6013204020093976</v>
      </c>
      <c r="H580" s="50">
        <v>-54838.057346232425</v>
      </c>
      <c r="I580" s="56">
        <v>-0.014395164314656086</v>
      </c>
      <c r="J580" s="56">
        <v>-1.6035554803843413</v>
      </c>
      <c r="K580" s="50">
        <v>89035.84970018877</v>
      </c>
      <c r="L580" s="56">
        <v>0.023372193479375625</v>
      </c>
      <c r="M580" s="56">
        <v>2.6035554803843413</v>
      </c>
      <c r="N580" s="51">
        <v>-0.0026706948200219127</v>
      </c>
      <c r="O580" s="7">
        <v>-0.2766473483829579</v>
      </c>
      <c r="P580" s="52">
        <v>53.25078109590257</v>
      </c>
      <c r="Q580" s="34">
        <v>1610.8239450756641</v>
      </c>
      <c r="R580" s="13">
        <v>5363.531182865308</v>
      </c>
      <c r="S580" s="56">
        <v>-0.6817968461162853</v>
      </c>
      <c r="T580" s="52">
        <v>280235.69559610984</v>
      </c>
      <c r="U580" s="50">
        <v>34197.79235395635</v>
      </c>
      <c r="V580" s="50">
        <v>-263477.88246438967</v>
      </c>
    </row>
    <row r="581">
      <c r="A581" s="54">
        <v>45075.9599747801</v>
      </c>
      <c r="B581" s="47">
        <v>0.6243558564227665</v>
      </c>
      <c r="C581" s="7">
        <v>-0.0030136549691998082</v>
      </c>
      <c r="D581" s="48">
        <v>-0.8875034492931952</v>
      </c>
      <c r="E581" s="49">
        <v>20.58</v>
      </c>
      <c r="F581" s="7">
        <v>-0.004319185470458731</v>
      </c>
      <c r="G581" s="48">
        <v>-0.6135267957302593</v>
      </c>
      <c r="H581" s="50">
        <v>-54832.51409686695</v>
      </c>
      <c r="I581" s="56">
        <v>0.004934567957478533</v>
      </c>
      <c r="J581" s="56">
        <v>-1.7393040119384133</v>
      </c>
      <c r="K581" s="50">
        <v>86358.06323635143</v>
      </c>
      <c r="L581" s="56">
        <v>-0.007771661371630482</v>
      </c>
      <c r="M581" s="56">
        <v>2.7393040119384136</v>
      </c>
      <c r="N581" s="51">
        <v>0.0013055305012589224</v>
      </c>
      <c r="O581" s="7">
        <v>-0.273976653562936</v>
      </c>
      <c r="P581" s="52">
        <v>53.25078109590257</v>
      </c>
      <c r="Q581" s="34">
        <v>1531.8536996834052</v>
      </c>
      <c r="R581" s="13">
        <v>5363.531182865308</v>
      </c>
      <c r="S581" s="56">
        <v>-0.6973966770125211</v>
      </c>
      <c r="T581" s="52">
        <v>280235.69559610984</v>
      </c>
      <c r="U581" s="50">
        <v>31525.54913948448</v>
      </c>
      <c r="V581" s="50">
        <v>-266150.1256788616</v>
      </c>
    </row>
    <row r="582">
      <c r="A582" s="54">
        <v>45074.959970185184</v>
      </c>
      <c r="B582" s="47">
        <v>0.6410816415018252</v>
      </c>
      <c r="C582" s="7">
        <v>0.01359878516222246</v>
      </c>
      <c r="D582" s="48">
        <v>-0.8844897943239954</v>
      </c>
      <c r="E582" s="49">
        <v>20.81</v>
      </c>
      <c r="F582" s="7">
        <v>0.015586625828177159</v>
      </c>
      <c r="G582" s="48">
        <v>-0.6092076102598005</v>
      </c>
      <c r="H582" s="50">
        <v>-54847.72097053726</v>
      </c>
      <c r="I582" s="56">
        <v>-0.02169177021570569</v>
      </c>
      <c r="J582" s="56">
        <v>-1.6943954468176132</v>
      </c>
      <c r="K582" s="50">
        <v>87217.80380660211</v>
      </c>
      <c r="L582" s="56">
        <v>0.034493840863644945</v>
      </c>
      <c r="M582" s="56">
        <v>2.6943954468176132</v>
      </c>
      <c r="N582" s="51">
        <v>-0.0019878406659546988</v>
      </c>
      <c r="O582" s="7">
        <v>-0.2752821840641949</v>
      </c>
      <c r="P582" s="52">
        <v>53.25078109590257</v>
      </c>
      <c r="Q582" s="34">
        <v>1555.5061430112855</v>
      </c>
      <c r="R582" s="13">
        <v>5363.531182865308</v>
      </c>
      <c r="S582" s="56">
        <v>-0.6927243587948814</v>
      </c>
      <c r="T582" s="52">
        <v>280235.69559610984</v>
      </c>
      <c r="U582" s="50">
        <v>32370.082836064852</v>
      </c>
      <c r="V582" s="50">
        <v>-265305.5919822812</v>
      </c>
    </row>
    <row r="583">
      <c r="A583" s="54">
        <v>45073.959959907406</v>
      </c>
      <c r="B583" s="47">
        <v>0.5656083838514905</v>
      </c>
      <c r="C583" s="7">
        <v>0.007976552872072107</v>
      </c>
      <c r="D583" s="48">
        <v>-0.8980885794862179</v>
      </c>
      <c r="E583" s="49">
        <v>19.98</v>
      </c>
      <c r="F583" s="7">
        <v>0.009952905649317945</v>
      </c>
      <c r="G583" s="48">
        <v>-0.6247942360879777</v>
      </c>
      <c r="H583" s="50">
        <v>-55145.362568738936</v>
      </c>
      <c r="I583" s="56">
        <v>-0.014499667480941196</v>
      </c>
      <c r="J583" s="56">
        <v>-1.9309129165354626</v>
      </c>
      <c r="K583" s="50">
        <v>83704.58038560631</v>
      </c>
      <c r="L583" s="56">
        <v>0.022008896590536255</v>
      </c>
      <c r="M583" s="56">
        <v>2.9309129165354624</v>
      </c>
      <c r="N583" s="51">
        <v>-0.001976352777245838</v>
      </c>
      <c r="O583" s="7">
        <v>-0.2732943433982402</v>
      </c>
      <c r="P583" s="52">
        <v>53.25078109590257</v>
      </c>
      <c r="Q583" s="34">
        <v>1429.3902811244934</v>
      </c>
      <c r="R583" s="13">
        <v>5363.531182865308</v>
      </c>
      <c r="S583" s="56">
        <v>-0.7176373638006861</v>
      </c>
      <c r="T583" s="52">
        <v>280235.69559610984</v>
      </c>
      <c r="U583" s="50">
        <v>28559.217816867378</v>
      </c>
      <c r="V583" s="50">
        <v>-269116.45700147864</v>
      </c>
    </row>
    <row r="584">
      <c r="A584" s="54">
        <v>45072.959970219905</v>
      </c>
      <c r="B584" s="47">
        <v>0.5213385154114906</v>
      </c>
      <c r="C584" s="7">
        <v>0.0033468159988845336</v>
      </c>
      <c r="D584" s="48">
        <v>-0.90606513235829</v>
      </c>
      <c r="E584" s="49">
        <v>19.45</v>
      </c>
      <c r="F584" s="7">
        <v>0.00413139479783009</v>
      </c>
      <c r="G584" s="48">
        <v>-0.6347471417372956</v>
      </c>
      <c r="H584" s="50">
        <v>-55143.51908823941</v>
      </c>
      <c r="I584" s="56">
        <v>-0.006600185471077559</v>
      </c>
      <c r="J584" s="56">
        <v>-2.0948078688053764</v>
      </c>
      <c r="K584" s="50">
        <v>81467.42206254252</v>
      </c>
      <c r="L584" s="56">
        <v>0.009750920948714227</v>
      </c>
      <c r="M584" s="56">
        <v>3.0948078688053764</v>
      </c>
      <c r="N584" s="51">
        <v>-7.845787989455566E-4</v>
      </c>
      <c r="O584" s="7">
        <v>-0.2713179906209944</v>
      </c>
      <c r="P584" s="52">
        <v>53.25078109590257</v>
      </c>
      <c r="Q584" s="34">
        <v>1353.4140346685406</v>
      </c>
      <c r="R584" s="13">
        <v>5363.531182865308</v>
      </c>
      <c r="S584" s="56">
        <v>-0.7326457583036589</v>
      </c>
      <c r="T584" s="52">
        <v>280235.69559610984</v>
      </c>
      <c r="U584" s="50">
        <v>26323.902974303113</v>
      </c>
      <c r="V584" s="50">
        <v>-271351.77184404293</v>
      </c>
    </row>
    <row r="585">
      <c r="A585" s="54">
        <v>45071.959957280094</v>
      </c>
      <c r="B585" s="47">
        <v>0.5027636866176811</v>
      </c>
      <c r="C585" s="7">
        <v>1.3522791710141036E-4</v>
      </c>
      <c r="D585" s="48">
        <v>-0.9094119483571745</v>
      </c>
      <c r="E585" s="49">
        <v>19.23</v>
      </c>
      <c r="F585" s="7">
        <v>0.0</v>
      </c>
      <c r="G585" s="48">
        <v>-0.6388785365351257</v>
      </c>
      <c r="H585" s="50">
        <v>-55143.29781283213</v>
      </c>
      <c r="I585" s="56">
        <v>-2.765316392782011E-4</v>
      </c>
      <c r="J585" s="56">
        <v>-2.1721927640330696</v>
      </c>
      <c r="K585" s="50">
        <v>80529.30347765563</v>
      </c>
      <c r="L585" s="56">
        <v>4.038369336595202E-4</v>
      </c>
      <c r="M585" s="56">
        <v>3.1721927640330696</v>
      </c>
      <c r="N585" s="51">
        <v>1.3522791710141036E-4</v>
      </c>
      <c r="O585" s="7">
        <v>-0.2705334118220488</v>
      </c>
      <c r="P585" s="52">
        <v>53.25078109590257</v>
      </c>
      <c r="Q585" s="34">
        <v>1320.125099574805</v>
      </c>
      <c r="R585" s="13">
        <v>5363.531182865308</v>
      </c>
      <c r="S585" s="56">
        <v>-0.7392216750378489</v>
      </c>
      <c r="T585" s="52">
        <v>280235.69559610984</v>
      </c>
      <c r="U585" s="50">
        <v>25386.005664823504</v>
      </c>
      <c r="V585" s="50">
        <v>-272289.6691535225</v>
      </c>
    </row>
    <row r="586">
      <c r="A586" s="54">
        <v>45070.95996949074</v>
      </c>
      <c r="B586" s="47">
        <v>0.5020131716777686</v>
      </c>
      <c r="C586" s="7">
        <v>-0.013025623787966567</v>
      </c>
      <c r="D586" s="48">
        <v>-0.909547176274276</v>
      </c>
      <c r="E586" s="49">
        <v>19.23</v>
      </c>
      <c r="F586" s="7">
        <v>-0.01652557919132036</v>
      </c>
      <c r="G586" s="48">
        <v>-0.6388785365351257</v>
      </c>
      <c r="H586" s="50">
        <v>-55164.55732629172</v>
      </c>
      <c r="I586" s="56">
        <v>0.026686596681524895</v>
      </c>
      <c r="J586" s="56">
        <v>-2.176278917039776</v>
      </c>
      <c r="K586" s="50">
        <v>80512.66730170231</v>
      </c>
      <c r="L586" s="56">
        <v>-0.03894908586550533</v>
      </c>
      <c r="M586" s="56">
        <v>3.176278917039776</v>
      </c>
      <c r="N586" s="51">
        <v>0.003499955403353794</v>
      </c>
      <c r="O586" s="7">
        <v>-0.27066863973915023</v>
      </c>
      <c r="P586" s="52">
        <v>53.25078109590257</v>
      </c>
      <c r="Q586" s="34">
        <v>1318.154444899147</v>
      </c>
      <c r="R586" s="13">
        <v>5363.531182865308</v>
      </c>
      <c r="S586" s="56">
        <v>-0.7396109593757971</v>
      </c>
      <c r="T586" s="52">
        <v>280235.69559610984</v>
      </c>
      <c r="U586" s="50">
        <v>25348.109975410596</v>
      </c>
      <c r="V586" s="50">
        <v>-272327.5648429354</v>
      </c>
    </row>
    <row r="587">
      <c r="A587" s="54">
        <v>45069.9599678125</v>
      </c>
      <c r="B587" s="47">
        <v>0.5743053837009832</v>
      </c>
      <c r="C587" s="7">
        <v>0.006442990968528073</v>
      </c>
      <c r="D587" s="48">
        <v>-0.8965215524863094</v>
      </c>
      <c r="E587" s="49">
        <v>20.11</v>
      </c>
      <c r="F587" s="7">
        <v>0.0078872082504029</v>
      </c>
      <c r="G587" s="48">
        <v>-0.6223529573438054</v>
      </c>
      <c r="H587" s="50">
        <v>-55181.32213768788</v>
      </c>
      <c r="I587" s="56">
        <v>-0.011542140943869166</v>
      </c>
      <c r="J587" s="56">
        <v>-1.9029121711876307</v>
      </c>
      <c r="K587" s="50">
        <v>84179.67685589253</v>
      </c>
      <c r="L587" s="56">
        <v>0.01760765522173811</v>
      </c>
      <c r="M587" s="56">
        <v>2.902912171187631</v>
      </c>
      <c r="N587" s="51">
        <v>-0.0014442172818748267</v>
      </c>
      <c r="O587" s="7">
        <v>-0.274168595142504</v>
      </c>
      <c r="P587" s="52">
        <v>53.25078109590257</v>
      </c>
      <c r="Q587" s="34">
        <v>1441.986808463682</v>
      </c>
      <c r="R587" s="13">
        <v>5363.531182865308</v>
      </c>
      <c r="S587" s="56">
        <v>-0.7151490380345057</v>
      </c>
      <c r="T587" s="52">
        <v>280235.69559610984</v>
      </c>
      <c r="U587" s="50">
        <v>28998.354718204646</v>
      </c>
      <c r="V587" s="50">
        <v>-268677.3201001414</v>
      </c>
    </row>
    <row r="588">
      <c r="A588" s="54">
        <v>45068.96015263889</v>
      </c>
      <c r="B588" s="47">
        <v>0.5385467838256518</v>
      </c>
      <c r="C588" s="7">
        <v>0.0010347843222056063</v>
      </c>
      <c r="D588" s="48">
        <v>-0.9029645434548375</v>
      </c>
      <c r="E588" s="49">
        <v>19.69</v>
      </c>
      <c r="F588" s="7">
        <v>0.0013145347084004833</v>
      </c>
      <c r="G588" s="48">
        <v>-0.6302401655942083</v>
      </c>
      <c r="H588" s="50">
        <v>-55211.74042034048</v>
      </c>
      <c r="I588" s="56">
        <v>-0.0019779143316670175</v>
      </c>
      <c r="J588" s="56">
        <v>-2.0303809514333957</v>
      </c>
      <c r="K588" s="50">
        <v>82404.53908276018</v>
      </c>
      <c r="L588" s="56">
        <v>0.0029520735554671926</v>
      </c>
      <c r="M588" s="56">
        <v>3.0303809514333957</v>
      </c>
      <c r="N588" s="51">
        <v>-2.797503861948769E-4</v>
      </c>
      <c r="O588" s="7">
        <v>-0.2727243778606292</v>
      </c>
      <c r="P588" s="52">
        <v>53.25078109590257</v>
      </c>
      <c r="Q588" s="34">
        <v>1381.0461484215184</v>
      </c>
      <c r="R588" s="13">
        <v>5363.531182865308</v>
      </c>
      <c r="S588" s="56">
        <v>-0.7271872935399891</v>
      </c>
      <c r="T588" s="52">
        <v>280235.69559610984</v>
      </c>
      <c r="U588" s="50">
        <v>27192.7986624197</v>
      </c>
      <c r="V588" s="50">
        <v>-270482.8761559263</v>
      </c>
    </row>
    <row r="589">
      <c r="A589" s="54">
        <v>45067.95996429399</v>
      </c>
      <c r="B589" s="47">
        <v>0.532803730837411</v>
      </c>
      <c r="C589" s="7">
        <v>-0.009295172501899596</v>
      </c>
      <c r="D589" s="48">
        <v>-0.9039993277770431</v>
      </c>
      <c r="E589" s="49">
        <v>19.62</v>
      </c>
      <c r="F589" s="7">
        <v>-0.01183081237560435</v>
      </c>
      <c r="G589" s="48">
        <v>-0.6315547003026087</v>
      </c>
      <c r="H589" s="50">
        <v>-55208.76720877982</v>
      </c>
      <c r="I589" s="56">
        <v>0.01795758300764387</v>
      </c>
      <c r="J589" s="56">
        <v>-2.0521557645304154</v>
      </c>
      <c r="K589" s="50">
        <v>82111.5823668743</v>
      </c>
      <c r="L589" s="56">
        <v>-0.02670817753756398</v>
      </c>
      <c r="M589" s="56">
        <v>3.0521557645304154</v>
      </c>
      <c r="N589" s="51">
        <v>0.0025356398737047536</v>
      </c>
      <c r="O589" s="7">
        <v>-0.2724446274744343</v>
      </c>
      <c r="P589" s="52">
        <v>53.25078109590257</v>
      </c>
      <c r="Q589" s="34">
        <v>1371.193433134275</v>
      </c>
      <c r="R589" s="13">
        <v>5363.531182865308</v>
      </c>
      <c r="S589" s="56">
        <v>-0.7291336049840818</v>
      </c>
      <c r="T589" s="52">
        <v>280235.69559610984</v>
      </c>
      <c r="U589" s="50">
        <v>26902.815158094476</v>
      </c>
      <c r="V589" s="50">
        <v>-270772.8596602516</v>
      </c>
    </row>
    <row r="590">
      <c r="A590" s="54">
        <v>45066.95996078703</v>
      </c>
      <c r="B590" s="47">
        <v>0.5843919382229538</v>
      </c>
      <c r="C590" s="7">
        <v>-0.0016123195712781646</v>
      </c>
      <c r="D590" s="48">
        <v>-0.8947041552751435</v>
      </c>
      <c r="E590" s="49">
        <v>20.25</v>
      </c>
      <c r="F590" s="7">
        <v>-0.002065697398915045</v>
      </c>
      <c r="G590" s="48">
        <v>-0.6197238879270044</v>
      </c>
      <c r="H590" s="50">
        <v>-55205.50133195206</v>
      </c>
      <c r="I590" s="56">
        <v>0.002839742126150228</v>
      </c>
      <c r="J590" s="56">
        <v>-1.870887492095273</v>
      </c>
      <c r="K590" s="50">
        <v>84713.1556218022</v>
      </c>
      <c r="L590" s="56">
        <v>-0.0043576004357217465</v>
      </c>
      <c r="M590" s="56">
        <v>2.870887492095273</v>
      </c>
      <c r="N590" s="51">
        <v>4.533778276368805E-4</v>
      </c>
      <c r="O590" s="7">
        <v>-0.2749802673481391</v>
      </c>
      <c r="P590" s="52">
        <v>53.25078109590257</v>
      </c>
      <c r="Q590" s="34">
        <v>1457.1681130790193</v>
      </c>
      <c r="R590" s="13">
        <v>5363.531182865308</v>
      </c>
      <c r="S590" s="56">
        <v>-0.7121501137737648</v>
      </c>
      <c r="T590" s="52">
        <v>280235.69559610984</v>
      </c>
      <c r="U590" s="50">
        <v>29507.654289850143</v>
      </c>
      <c r="V590" s="50">
        <v>-268168.0205284959</v>
      </c>
    </row>
    <row r="591">
      <c r="A591" s="54">
        <v>45065.959970497686</v>
      </c>
      <c r="B591" s="47">
        <v>0.5933403118435474</v>
      </c>
      <c r="C591" s="7">
        <v>-0.02306635844561189</v>
      </c>
      <c r="D591" s="48">
        <v>-0.8930918357038653</v>
      </c>
      <c r="E591" s="49">
        <v>20.36</v>
      </c>
      <c r="F591" s="7">
        <v>-0.02891976358481041</v>
      </c>
      <c r="G591" s="48">
        <v>-0.6176581905280893</v>
      </c>
      <c r="H591" s="50">
        <v>-55213.84206344073</v>
      </c>
      <c r="I591" s="56">
        <v>0.040019603914095064</v>
      </c>
      <c r="J591" s="56">
        <v>-1.842950381156055</v>
      </c>
      <c r="K591" s="50">
        <v>85173.32584987122</v>
      </c>
      <c r="L591" s="56">
        <v>-0.061734569397317335</v>
      </c>
      <c r="M591" s="56">
        <v>2.8429503811560553</v>
      </c>
      <c r="N591" s="51">
        <v>0.00585340513919852</v>
      </c>
      <c r="O591" s="7">
        <v>-0.27543364517577595</v>
      </c>
      <c r="P591" s="52">
        <v>53.25078109590257</v>
      </c>
      <c r="Q591" s="34">
        <v>1471.4874158364682</v>
      </c>
      <c r="R591" s="13">
        <v>5363.531182865308</v>
      </c>
      <c r="S591" s="56">
        <v>-0.70932146989076</v>
      </c>
      <c r="T591" s="52">
        <v>280235.69559610984</v>
      </c>
      <c r="U591" s="50">
        <v>29959.483786430494</v>
      </c>
      <c r="V591" s="50">
        <v>-267716.19103191554</v>
      </c>
    </row>
    <row r="592">
      <c r="A592" s="54">
        <v>45064.959974467594</v>
      </c>
      <c r="B592" s="47">
        <v>0.7213586012166937</v>
      </c>
      <c r="C592" s="7">
        <v>2.717466499896348E-4</v>
      </c>
      <c r="D592" s="48">
        <v>-0.8700254772582534</v>
      </c>
      <c r="E592" s="49">
        <v>21.9</v>
      </c>
      <c r="F592" s="7">
        <v>0.0</v>
      </c>
      <c r="G592" s="48">
        <v>-0.5887384269432789</v>
      </c>
      <c r="H592" s="50">
        <v>-55172.25310247455</v>
      </c>
      <c r="I592" s="56">
        <v>-3.8751038035395827E-4</v>
      </c>
      <c r="J592" s="56">
        <v>-1.5147432812707236</v>
      </c>
      <c r="K592" s="50">
        <v>91595.75389278031</v>
      </c>
      <c r="L592" s="56">
        <v>6.433361596430233E-4</v>
      </c>
      <c r="M592" s="56">
        <v>2.5147432812707238</v>
      </c>
      <c r="N592" s="51">
        <v>2.717466499896348E-4</v>
      </c>
      <c r="O592" s="7">
        <v>-0.2812870503149745</v>
      </c>
      <c r="P592" s="52">
        <v>53.25078109590257</v>
      </c>
      <c r="Q592" s="34">
        <v>1663.1735520687564</v>
      </c>
      <c r="R592" s="13">
        <v>5363.531182865308</v>
      </c>
      <c r="S592" s="56">
        <v>-0.6714556725195691</v>
      </c>
      <c r="T592" s="52">
        <v>280235.69559610984</v>
      </c>
      <c r="U592" s="50">
        <v>36423.50079030576</v>
      </c>
      <c r="V592" s="50">
        <v>-261252.1740280403</v>
      </c>
    </row>
    <row r="593">
      <c r="A593" s="54">
        <v>45063.959962939814</v>
      </c>
      <c r="B593" s="47">
        <v>0.7198504073092509</v>
      </c>
      <c r="C593" s="7">
        <v>1.2286150620643976E-4</v>
      </c>
      <c r="D593" s="48">
        <v>-0.870297223908243</v>
      </c>
      <c r="E593" s="49">
        <v>21.9</v>
      </c>
      <c r="F593" s="7">
        <v>0.0</v>
      </c>
      <c r="G593" s="48">
        <v>-0.5887384269432789</v>
      </c>
      <c r="H593" s="50">
        <v>-55229.46031555748</v>
      </c>
      <c r="I593" s="56">
        <v>-1.7574946685131824E-4</v>
      </c>
      <c r="J593" s="56">
        <v>-1.519490797611632</v>
      </c>
      <c r="K593" s="50">
        <v>91576.80799437746</v>
      </c>
      <c r="L593" s="56">
        <v>2.9141286351523025E-4</v>
      </c>
      <c r="M593" s="56">
        <v>2.519490797611632</v>
      </c>
      <c r="N593" s="51">
        <v>1.2286150620643976E-4</v>
      </c>
      <c r="O593" s="7">
        <v>-0.2815587969649641</v>
      </c>
      <c r="P593" s="52">
        <v>53.25078109590257</v>
      </c>
      <c r="Q593" s="34">
        <v>1659.6962410420085</v>
      </c>
      <c r="R593" s="13">
        <v>5363.531182865308</v>
      </c>
      <c r="S593" s="56">
        <v>-0.6721425826807499</v>
      </c>
      <c r="T593" s="52">
        <v>280235.69559610984</v>
      </c>
      <c r="U593" s="50">
        <v>36347.347678819984</v>
      </c>
      <c r="V593" s="50">
        <v>-261328.32713952605</v>
      </c>
    </row>
    <row r="594">
      <c r="A594" s="54">
        <v>45062.95996666666</v>
      </c>
      <c r="B594" s="47">
        <v>0.7191685259498053</v>
      </c>
      <c r="C594" s="7">
        <v>9.579228356204617E-5</v>
      </c>
      <c r="D594" s="48">
        <v>-0.8704200854144495</v>
      </c>
      <c r="E594" s="49">
        <v>21.9</v>
      </c>
      <c r="F594" s="7">
        <v>0.0</v>
      </c>
      <c r="G594" s="48">
        <v>-0.5887384269432789</v>
      </c>
      <c r="H594" s="50">
        <v>-55244.94459680834</v>
      </c>
      <c r="I594" s="56">
        <v>-1.3719618419176809E-4</v>
      </c>
      <c r="J594" s="56">
        <v>-1.5213579189299997</v>
      </c>
      <c r="K594" s="50">
        <v>91557.86209597459</v>
      </c>
      <c r="L594" s="56">
        <v>2.2737626771101042E-4</v>
      </c>
      <c r="M594" s="56">
        <v>2.5213579189299997</v>
      </c>
      <c r="N594" s="51">
        <v>9.579228356204617E-5</v>
      </c>
      <c r="O594" s="7">
        <v>-0.28168165847117055</v>
      </c>
      <c r="P594" s="52">
        <v>53.25078109590257</v>
      </c>
      <c r="Q594" s="34">
        <v>1658.1240867199203</v>
      </c>
      <c r="R594" s="13">
        <v>5363.531182865308</v>
      </c>
      <c r="S594" s="56">
        <v>-0.6724531470134999</v>
      </c>
      <c r="T594" s="52">
        <v>280235.69559610984</v>
      </c>
      <c r="U594" s="50">
        <v>36312.91749916625</v>
      </c>
      <c r="V594" s="50">
        <v>-261362.7573191798</v>
      </c>
    </row>
    <row r="595">
      <c r="A595" s="54">
        <v>45061.95999672454</v>
      </c>
      <c r="B595" s="47">
        <v>0.7186368787760361</v>
      </c>
      <c r="C595" s="7">
        <v>1.1444352347234066E-4</v>
      </c>
      <c r="D595" s="48">
        <v>-0.8705158776980115</v>
      </c>
      <c r="E595" s="49">
        <v>21.9</v>
      </c>
      <c r="F595" s="7">
        <v>0.0</v>
      </c>
      <c r="G595" s="48">
        <v>-0.5887384269432789</v>
      </c>
      <c r="H595" s="50">
        <v>-55252.84311562225</v>
      </c>
      <c r="I595" s="56">
        <v>-1.6405368363122308E-4</v>
      </c>
      <c r="J595" s="56">
        <v>-1.5227010922575626</v>
      </c>
      <c r="K595" s="50">
        <v>91538.91619757176</v>
      </c>
      <c r="L595" s="56">
        <v>2.7179228345582584E-4</v>
      </c>
      <c r="M595" s="56">
        <v>2.5227010922575626</v>
      </c>
      <c r="N595" s="51">
        <v>1.1444352347234066E-4</v>
      </c>
      <c r="O595" s="7">
        <v>-0.2817774507547326</v>
      </c>
      <c r="P595" s="52">
        <v>53.25078109590257</v>
      </c>
      <c r="Q595" s="34">
        <v>1656.8983142442698</v>
      </c>
      <c r="R595" s="13">
        <v>5363.531182865308</v>
      </c>
      <c r="S595" s="56">
        <v>-0.6726952868630398</v>
      </c>
      <c r="T595" s="52">
        <v>280235.69559610984</v>
      </c>
      <c r="U595" s="50">
        <v>36286.07308194951</v>
      </c>
      <c r="V595" s="50">
        <v>-261389.60173639655</v>
      </c>
    </row>
    <row r="596">
      <c r="A596" s="54">
        <v>45060.95996550926</v>
      </c>
      <c r="B596" s="47">
        <v>0.7180017172207642</v>
      </c>
      <c r="C596" s="7">
        <v>7.538887683855577E-5</v>
      </c>
      <c r="D596" s="48">
        <v>-0.8706303212214839</v>
      </c>
      <c r="E596" s="49">
        <v>21.9</v>
      </c>
      <c r="F596" s="7">
        <v>0.0</v>
      </c>
      <c r="G596" s="48">
        <v>-0.5887384269432789</v>
      </c>
      <c r="H596" s="50">
        <v>-55233.57142857143</v>
      </c>
      <c r="I596" s="56">
        <v>-1.0812709927147932E-4</v>
      </c>
      <c r="J596" s="56">
        <v>-1.5235165361358551</v>
      </c>
      <c r="K596" s="50">
        <v>91487.57335011417</v>
      </c>
      <c r="L596" s="56">
        <v>1.7909915418971842E-4</v>
      </c>
      <c r="M596" s="56">
        <v>2.523516536135855</v>
      </c>
      <c r="N596" s="51">
        <v>7.538887683855577E-5</v>
      </c>
      <c r="O596" s="7">
        <v>-0.28189189427820494</v>
      </c>
      <c r="P596" s="52">
        <v>53.25078109590257</v>
      </c>
      <c r="Q596" s="34">
        <v>1655.4338776960155</v>
      </c>
      <c r="R596" s="13">
        <v>5363.531182865308</v>
      </c>
      <c r="S596" s="56">
        <v>-0.6729845725604257</v>
      </c>
      <c r="T596" s="52">
        <v>280235.69559610984</v>
      </c>
      <c r="U596" s="50">
        <v>36254.00192154274</v>
      </c>
      <c r="V596" s="50">
        <v>-261421.6728968033</v>
      </c>
    </row>
    <row r="597">
      <c r="A597" s="54">
        <v>45059.959976921295</v>
      </c>
      <c r="B597" s="47">
        <v>0.7175833089543102</v>
      </c>
      <c r="C597" s="7">
        <v>2.5637563475378045E-4</v>
      </c>
      <c r="D597" s="48">
        <v>-0.8707057100983224</v>
      </c>
      <c r="E597" s="49">
        <v>21.9</v>
      </c>
      <c r="F597" s="7">
        <v>0.0</v>
      </c>
      <c r="G597" s="48">
        <v>-0.5887384269432789</v>
      </c>
      <c r="H597" s="50">
        <v>-55235.805484147386</v>
      </c>
      <c r="I597" s="56">
        <v>-3.6793808872441193E-4</v>
      </c>
      <c r="J597" s="56">
        <v>-1.5244665259603984</v>
      </c>
      <c r="K597" s="50">
        <v>91468.68075134906</v>
      </c>
      <c r="L597" s="56">
        <v>6.09293397259386E-4</v>
      </c>
      <c r="M597" s="56">
        <v>2.5244665259603987</v>
      </c>
      <c r="N597" s="51">
        <v>2.5637563475378045E-4</v>
      </c>
      <c r="O597" s="7">
        <v>-0.2819672831550435</v>
      </c>
      <c r="P597" s="52">
        <v>53.25078109590257</v>
      </c>
      <c r="Q597" s="34">
        <v>1654.4691902831817</v>
      </c>
      <c r="R597" s="13">
        <v>5363.531182865308</v>
      </c>
      <c r="S597" s="56">
        <v>-0.6731751375059084</v>
      </c>
      <c r="T597" s="52">
        <v>280235.69559610984</v>
      </c>
      <c r="U597" s="50">
        <v>36232.87526720168</v>
      </c>
      <c r="V597" s="50">
        <v>-261442.79955114436</v>
      </c>
    </row>
    <row r="598">
      <c r="A598" s="54">
        <v>45058.95997271991</v>
      </c>
      <c r="B598" s="47">
        <v>0.7161604241814267</v>
      </c>
      <c r="C598" s="7">
        <v>2.0115917875673794E-4</v>
      </c>
      <c r="D598" s="48">
        <v>-0.8709620857330762</v>
      </c>
      <c r="E598" s="49">
        <v>21.9</v>
      </c>
      <c r="F598" s="7">
        <v>0.0</v>
      </c>
      <c r="G598" s="48">
        <v>-0.5887384269432789</v>
      </c>
      <c r="H598" s="50">
        <v>-55288.758270721424</v>
      </c>
      <c r="I598" s="56">
        <v>-2.895449593154465E-4</v>
      </c>
      <c r="J598" s="56">
        <v>-1.5289597333425236</v>
      </c>
      <c r="K598" s="50">
        <v>91449.78793358398</v>
      </c>
      <c r="L598" s="56">
        <v>4.789187884629676E-4</v>
      </c>
      <c r="M598" s="56">
        <v>2.5289597333425236</v>
      </c>
      <c r="N598" s="51">
        <v>2.0115917875673794E-4</v>
      </c>
      <c r="O598" s="7">
        <v>-0.28222365878979727</v>
      </c>
      <c r="P598" s="52">
        <v>53.25078109590257</v>
      </c>
      <c r="Q598" s="34">
        <v>1651.1885690804822</v>
      </c>
      <c r="R598" s="13">
        <v>5363.531182865308</v>
      </c>
      <c r="S598" s="56">
        <v>-0.6738231934381461</v>
      </c>
      <c r="T598" s="52">
        <v>280235.69559610984</v>
      </c>
      <c r="U598" s="50">
        <v>36161.02966286256</v>
      </c>
      <c r="V598" s="50">
        <v>-261514.64515548348</v>
      </c>
    </row>
    <row r="599">
      <c r="A599" s="54">
        <v>45057.95997260416</v>
      </c>
      <c r="B599" s="47">
        <v>0.7150439907393271</v>
      </c>
      <c r="C599" s="7">
        <v>2.289817660645621E-4</v>
      </c>
      <c r="D599" s="48">
        <v>-0.871163244911833</v>
      </c>
      <c r="E599" s="49">
        <v>21.9</v>
      </c>
      <c r="F599" s="7">
        <v>0.0</v>
      </c>
      <c r="G599" s="48">
        <v>-0.5887384269432789</v>
      </c>
      <c r="H599" s="50">
        <v>-55282.14283097327</v>
      </c>
      <c r="I599" s="56">
        <v>-3.3006740932247714E-4</v>
      </c>
      <c r="J599" s="56">
        <v>-1.5311637440303012</v>
      </c>
      <c r="K599" s="50">
        <v>91386.80051145141</v>
      </c>
      <c r="L599" s="56">
        <v>5.456337787648986E-4</v>
      </c>
      <c r="M599" s="56">
        <v>2.531163744030301</v>
      </c>
      <c r="N599" s="51">
        <v>2.289817660645621E-4</v>
      </c>
      <c r="O599" s="7">
        <v>-0.282424817968554</v>
      </c>
      <c r="P599" s="52">
        <v>53.25078109590257</v>
      </c>
      <c r="Q599" s="34">
        <v>1648.614505957906</v>
      </c>
      <c r="R599" s="13">
        <v>5363.531182865308</v>
      </c>
      <c r="S599" s="56">
        <v>-0.6743316754522132</v>
      </c>
      <c r="T599" s="52">
        <v>280235.69559610984</v>
      </c>
      <c r="U599" s="50">
        <v>36104.657680478136</v>
      </c>
      <c r="V599" s="50">
        <v>-261571.01713786792</v>
      </c>
    </row>
    <row r="600">
      <c r="A600" s="54">
        <v>45056.959972303244</v>
      </c>
      <c r="B600" s="47">
        <v>0.7137731419376692</v>
      </c>
      <c r="C600" s="7">
        <v>3.817793872096242E-5</v>
      </c>
      <c r="D600" s="48">
        <v>-0.8713922266778975</v>
      </c>
      <c r="E600" s="49">
        <v>21.9</v>
      </c>
      <c r="F600" s="7">
        <v>0.0</v>
      </c>
      <c r="G600" s="48">
        <v>-0.5887384269432789</v>
      </c>
      <c r="H600" s="50">
        <v>-55327.441676227936</v>
      </c>
      <c r="I600" s="56">
        <v>-5.517502005638E-5</v>
      </c>
      <c r="J600" s="56">
        <v>-1.5351468166460256</v>
      </c>
      <c r="K600" s="50">
        <v>91367.93049221416</v>
      </c>
      <c r="L600" s="56">
        <v>9.111622089665263E-5</v>
      </c>
      <c r="M600" s="56">
        <v>2.5351468166460256</v>
      </c>
      <c r="N600" s="51">
        <v>3.817793872096242E-5</v>
      </c>
      <c r="O600" s="7">
        <v>-0.28265379973461857</v>
      </c>
      <c r="P600" s="52">
        <v>53.25078109590257</v>
      </c>
      <c r="Q600" s="34">
        <v>1645.6844208212888</v>
      </c>
      <c r="R600" s="13">
        <v>5363.531182865308</v>
      </c>
      <c r="S600" s="56">
        <v>-0.6749104862741342</v>
      </c>
      <c r="T600" s="52">
        <v>280235.69559610984</v>
      </c>
      <c r="U600" s="50">
        <v>36040.488815986224</v>
      </c>
      <c r="V600" s="50">
        <v>-261635.1860023598</v>
      </c>
    </row>
    <row r="601">
      <c r="A601" s="54">
        <v>45055.959968668976</v>
      </c>
      <c r="B601" s="47">
        <v>0.7135612543777673</v>
      </c>
      <c r="C601" s="7">
        <v>2.0828087482560598E-4</v>
      </c>
      <c r="D601" s="48">
        <v>-0.8714304046166185</v>
      </c>
      <c r="E601" s="49">
        <v>21.9</v>
      </c>
      <c r="F601" s="7">
        <v>0.0</v>
      </c>
      <c r="G601" s="48">
        <v>-0.5887384269432789</v>
      </c>
      <c r="H601" s="50">
        <v>-55319.27047820459</v>
      </c>
      <c r="I601" s="56">
        <v>-3.0105386931883265E-4</v>
      </c>
      <c r="J601" s="56">
        <v>-1.5353758788555545</v>
      </c>
      <c r="K601" s="50">
        <v>91349.0604729769</v>
      </c>
      <c r="L601" s="56">
        <v>4.971321544246488E-4</v>
      </c>
      <c r="M601" s="56">
        <v>2.5353758788555543</v>
      </c>
      <c r="N601" s="51">
        <v>2.0828087482560598E-4</v>
      </c>
      <c r="O601" s="7">
        <v>-0.28269197767333953</v>
      </c>
      <c r="P601" s="52">
        <v>53.25078109590257</v>
      </c>
      <c r="Q601" s="34">
        <v>1645.1958901722514</v>
      </c>
      <c r="R601" s="13">
        <v>5363.531182865308</v>
      </c>
      <c r="S601" s="56">
        <v>-0.6750069909193301</v>
      </c>
      <c r="T601" s="52">
        <v>280235.69559610984</v>
      </c>
      <c r="U601" s="50">
        <v>36029.789994772305</v>
      </c>
      <c r="V601" s="50">
        <v>-261645.88482357375</v>
      </c>
    </row>
    <row r="602">
      <c r="A602" s="54">
        <v>45054.9599716088</v>
      </c>
      <c r="B602" s="47">
        <v>0.7124052955224853</v>
      </c>
      <c r="C602" s="7">
        <v>7.057373959862279E-5</v>
      </c>
      <c r="D602" s="48">
        <v>-0.8716386854914441</v>
      </c>
      <c r="E602" s="49">
        <v>21.9</v>
      </c>
      <c r="F602" s="7">
        <v>0.0</v>
      </c>
      <c r="G602" s="48">
        <v>-0.5887384269432789</v>
      </c>
      <c r="H602" s="50">
        <v>-55358.76819480342</v>
      </c>
      <c r="I602" s="56">
        <v>-1.0224734643921729E-4</v>
      </c>
      <c r="J602" s="56">
        <v>-1.5389652317973312</v>
      </c>
      <c r="K602" s="50">
        <v>91330.19045373962</v>
      </c>
      <c r="L602" s="56">
        <v>1.686863694441778E-4</v>
      </c>
      <c r="M602" s="56">
        <v>2.5389652317973312</v>
      </c>
      <c r="N602" s="51">
        <v>7.057373959862279E-5</v>
      </c>
      <c r="O602" s="7">
        <v>-0.28290025854816514</v>
      </c>
      <c r="P602" s="52">
        <v>53.25078109590257</v>
      </c>
      <c r="Q602" s="34">
        <v>1642.5306967550775</v>
      </c>
      <c r="R602" s="13">
        <v>5363.531182865308</v>
      </c>
      <c r="S602" s="56">
        <v>-0.6755334748679003</v>
      </c>
      <c r="T602" s="52">
        <v>280235.69559610984</v>
      </c>
      <c r="U602" s="50">
        <v>35971.422258936196</v>
      </c>
      <c r="V602" s="50">
        <v>-261704.25255940986</v>
      </c>
    </row>
    <row r="603">
      <c r="A603" s="54">
        <v>45053.95996581019</v>
      </c>
      <c r="B603" s="47">
        <v>0.7120136112677127</v>
      </c>
      <c r="C603" s="7">
        <v>2.8124666492679307E-4</v>
      </c>
      <c r="D603" s="48">
        <v>-0.8717092592310427</v>
      </c>
      <c r="E603" s="49">
        <v>21.9</v>
      </c>
      <c r="F603" s="7">
        <v>0.0</v>
      </c>
      <c r="G603" s="48">
        <v>-0.5887384269432789</v>
      </c>
      <c r="H603" s="50">
        <v>-55359.675456573386</v>
      </c>
      <c r="I603" s="56">
        <v>-4.077014508941776E-4</v>
      </c>
      <c r="J603" s="56">
        <v>-1.5398370642166506</v>
      </c>
      <c r="K603" s="50">
        <v>91311.32043450233</v>
      </c>
      <c r="L603" s="56">
        <v>6.724706660069365E-4</v>
      </c>
      <c r="M603" s="56">
        <v>2.5398370642166506</v>
      </c>
      <c r="N603" s="51">
        <v>2.8124666492679307E-4</v>
      </c>
      <c r="O603" s="7">
        <v>-0.28297083228776376</v>
      </c>
      <c r="P603" s="52">
        <v>53.25078109590257</v>
      </c>
      <c r="Q603" s="34">
        <v>1641.6276245629654</v>
      </c>
      <c r="R603" s="13">
        <v>5363.531182865308</v>
      </c>
      <c r="S603" s="56">
        <v>-0.6757118683047456</v>
      </c>
      <c r="T603" s="52">
        <v>280235.69559610984</v>
      </c>
      <c r="U603" s="50">
        <v>35951.64497792894</v>
      </c>
      <c r="V603" s="50">
        <v>-261724.0298404171</v>
      </c>
    </row>
    <row r="604">
      <c r="A604" s="54">
        <v>45052.96007534722</v>
      </c>
      <c r="B604" s="47">
        <v>0.7104526922773693</v>
      </c>
      <c r="C604" s="7">
        <v>-7.936631917127013E-5</v>
      </c>
      <c r="D604" s="48">
        <v>-0.8719905058959695</v>
      </c>
      <c r="E604" s="49">
        <v>21.9</v>
      </c>
      <c r="F604" s="7">
        <v>0.0</v>
      </c>
      <c r="G604" s="48">
        <v>-0.5887384269432789</v>
      </c>
      <c r="H604" s="50">
        <v>-55424.578118256366</v>
      </c>
      <c r="I604" s="56">
        <v>1.1543914650169835E-4</v>
      </c>
      <c r="J604" s="56">
        <v>-1.5450294470913526</v>
      </c>
      <c r="K604" s="50">
        <v>91297.40774140548</v>
      </c>
      <c r="L604" s="56">
        <v>-1.901556166110689E-4</v>
      </c>
      <c r="M604" s="56">
        <v>2.545029447091353</v>
      </c>
      <c r="N604" s="51">
        <v>-7.936631917127013E-5</v>
      </c>
      <c r="O604" s="7">
        <v>-0.28325207895269056</v>
      </c>
      <c r="P604" s="52">
        <v>53.25078109590257</v>
      </c>
      <c r="Q604" s="34">
        <v>1638.0287499154847</v>
      </c>
      <c r="R604" s="13">
        <v>5363.531182865308</v>
      </c>
      <c r="S604" s="56">
        <v>-0.6764227922184118</v>
      </c>
      <c r="T604" s="52">
        <v>280235.69559610984</v>
      </c>
      <c r="U604" s="50">
        <v>35872.82962314911</v>
      </c>
      <c r="V604" s="50">
        <v>-261802.84519519692</v>
      </c>
    </row>
    <row r="605">
      <c r="A605" s="54">
        <v>45051.95998271991</v>
      </c>
      <c r="B605" s="47">
        <v>0.7108931753487698</v>
      </c>
      <c r="C605" s="7">
        <v>0.0026242470479945768</v>
      </c>
      <c r="D605" s="48">
        <v>-0.8719111395767982</v>
      </c>
      <c r="E605" s="49">
        <v>21.9</v>
      </c>
      <c r="F605" s="7">
        <v>0.0033802321073154173</v>
      </c>
      <c r="G605" s="48">
        <v>-0.5887384269432789</v>
      </c>
      <c r="H605" s="50">
        <v>-55383.46682335925</v>
      </c>
      <c r="I605" s="56">
        <v>-0.0038118003564437</v>
      </c>
      <c r="J605" s="56">
        <v>-1.5429267984868897</v>
      </c>
      <c r="K605" s="50">
        <v>91278.53772216823</v>
      </c>
      <c r="L605" s="56">
        <v>0.006282300162514757</v>
      </c>
      <c r="M605" s="56">
        <v>2.5429267984868895</v>
      </c>
      <c r="N605" s="51">
        <v>-7.559850593208406E-4</v>
      </c>
      <c r="O605" s="7">
        <v>-0.2831727126335193</v>
      </c>
      <c r="P605" s="52">
        <v>53.25078109590257</v>
      </c>
      <c r="Q605" s="34">
        <v>1639.0443332789487</v>
      </c>
      <c r="R605" s="13">
        <v>5363.531182865308</v>
      </c>
      <c r="S605" s="56">
        <v>-0.6762221732555054</v>
      </c>
      <c r="T605" s="52">
        <v>280235.69559610984</v>
      </c>
      <c r="U605" s="50">
        <v>35895.070898808975</v>
      </c>
      <c r="V605" s="50">
        <v>-261780.60391953707</v>
      </c>
    </row>
    <row r="606">
      <c r="A606" s="54">
        <v>45050.960005810186</v>
      </c>
      <c r="B606" s="47">
        <v>0.6963286042323998</v>
      </c>
      <c r="C606" s="7">
        <v>-0.005151821110630839</v>
      </c>
      <c r="D606" s="48">
        <v>-0.8745353866247928</v>
      </c>
      <c r="E606" s="49">
        <v>21.72</v>
      </c>
      <c r="F606" s="7">
        <v>-0.006760464214630946</v>
      </c>
      <c r="G606" s="48">
        <v>-0.5921186590505944</v>
      </c>
      <c r="H606" s="50">
        <v>-55350.24345623417</v>
      </c>
      <c r="I606" s="56">
        <v>0.007635117242848361</v>
      </c>
      <c r="J606" s="56">
        <v>-1.5742540859505723</v>
      </c>
      <c r="K606" s="50">
        <v>90509.90665813234</v>
      </c>
      <c r="L606" s="56">
        <v>-0.012485107667512303</v>
      </c>
      <c r="M606" s="56">
        <v>2.5742540859505723</v>
      </c>
      <c r="N606" s="51">
        <v>0.001608643104000107</v>
      </c>
      <c r="O606" s="7">
        <v>-0.28241672757419845</v>
      </c>
      <c r="P606" s="52">
        <v>53.25078109590257</v>
      </c>
      <c r="Q606" s="34">
        <v>1618.769024028461</v>
      </c>
      <c r="R606" s="13">
        <v>5363.531182865308</v>
      </c>
      <c r="S606" s="56">
        <v>-0.6802273703282182</v>
      </c>
      <c r="T606" s="52">
        <v>280235.69559610984</v>
      </c>
      <c r="U606" s="50">
        <v>35159.66320189817</v>
      </c>
      <c r="V606" s="50">
        <v>-262516.0116164479</v>
      </c>
    </row>
    <row r="607">
      <c r="A607" s="54">
        <v>45049.95997258102</v>
      </c>
      <c r="B607" s="47">
        <v>0.7249212113964008</v>
      </c>
      <c r="C607" s="7">
        <v>-0.0021549733578158925</v>
      </c>
      <c r="D607" s="48">
        <v>-0.869383565514162</v>
      </c>
      <c r="E607" s="49">
        <v>22.08</v>
      </c>
      <c r="F607" s="7">
        <v>-0.0026290694168009665</v>
      </c>
      <c r="G607" s="48">
        <v>-0.5853581948359634</v>
      </c>
      <c r="H607" s="50">
        <v>-55386.10123081928</v>
      </c>
      <c r="I607" s="56">
        <v>0.003069739547073513</v>
      </c>
      <c r="J607" s="56">
        <v>-1.5131414113198065</v>
      </c>
      <c r="K607" s="50">
        <v>91989.4886052418</v>
      </c>
      <c r="L607" s="56">
        <v>-0.005098459086509022</v>
      </c>
      <c r="M607" s="56">
        <v>2.5131414113198067</v>
      </c>
      <c r="N607" s="51">
        <v>4.74096058985074E-4</v>
      </c>
      <c r="O607" s="7">
        <v>-0.28402537067819855</v>
      </c>
      <c r="P607" s="52">
        <v>53.25078109590257</v>
      </c>
      <c r="Q607" s="34">
        <v>1657.7621093488463</v>
      </c>
      <c r="R607" s="13">
        <v>5363.531182865308</v>
      </c>
      <c r="S607" s="56">
        <v>-0.672524652246249</v>
      </c>
      <c r="T607" s="52">
        <v>280235.69559610984</v>
      </c>
      <c r="U607" s="50">
        <v>36603.38737442252</v>
      </c>
      <c r="V607" s="50">
        <v>-261072.28744392353</v>
      </c>
    </row>
    <row r="608">
      <c r="A608" s="54">
        <v>45048.959967835646</v>
      </c>
      <c r="B608" s="47">
        <v>0.7368813135322793</v>
      </c>
      <c r="C608" s="7">
        <v>0.005259809251158876</v>
      </c>
      <c r="D608" s="48">
        <v>-0.8672285921563461</v>
      </c>
      <c r="E608" s="49">
        <v>22.22</v>
      </c>
      <c r="F608" s="7">
        <v>0.006572673542002305</v>
      </c>
      <c r="G608" s="48">
        <v>-0.5827291254191624</v>
      </c>
      <c r="H608" s="50">
        <v>-55341.62970369024</v>
      </c>
      <c r="I608" s="56">
        <v>-0.007365021713505677</v>
      </c>
      <c r="J608" s="56">
        <v>-1.4873868246743431</v>
      </c>
      <c r="K608" s="50">
        <v>92548.9175360314</v>
      </c>
      <c r="L608" s="56">
        <v>0.012316673557751519</v>
      </c>
      <c r="M608" s="56">
        <v>2.4873868246743434</v>
      </c>
      <c r="N608" s="51">
        <v>-0.0013128642908434296</v>
      </c>
      <c r="O608" s="7">
        <v>-0.2844994667371836</v>
      </c>
      <c r="P608" s="52">
        <v>53.25078109590257</v>
      </c>
      <c r="Q608" s="34">
        <v>1674.4954019955517</v>
      </c>
      <c r="R608" s="13">
        <v>5363.531182865308</v>
      </c>
      <c r="S608" s="56">
        <v>-0.669219147314243</v>
      </c>
      <c r="T608" s="52">
        <v>280235.69559610984</v>
      </c>
      <c r="U608" s="50">
        <v>37207.28783234116</v>
      </c>
      <c r="V608" s="50">
        <v>-260468.3869860049</v>
      </c>
    </row>
    <row r="609">
      <c r="A609" s="54">
        <v>45047.9600059375</v>
      </c>
      <c r="B609" s="47">
        <v>0.7076893721883474</v>
      </c>
      <c r="C609" s="7">
        <v>-0.01772179413881103</v>
      </c>
      <c r="D609" s="48">
        <v>-0.8724884014075049</v>
      </c>
      <c r="E609" s="49">
        <v>21.87</v>
      </c>
      <c r="F609" s="7">
        <v>-0.022910462060694026</v>
      </c>
      <c r="G609" s="48">
        <v>-0.5893017989611647</v>
      </c>
      <c r="H609" s="50">
        <v>-55316.73107435304</v>
      </c>
      <c r="I609" s="56">
        <v>0.025826833204310947</v>
      </c>
      <c r="J609" s="56">
        <v>-1.5480442250988595</v>
      </c>
      <c r="K609" s="50">
        <v>91050.03260249282</v>
      </c>
      <c r="L609" s="56">
        <v>-0.04251035734759672</v>
      </c>
      <c r="M609" s="56">
        <v>2.5480442250988595</v>
      </c>
      <c r="N609" s="51">
        <v>0.0051886679218829945</v>
      </c>
      <c r="O609" s="7">
        <v>-0.2831866024463402</v>
      </c>
      <c r="P609" s="52">
        <v>53.25078109590257</v>
      </c>
      <c r="Q609" s="34">
        <v>1633.895817473241</v>
      </c>
      <c r="R609" s="13">
        <v>5363.531182865308</v>
      </c>
      <c r="S609" s="56">
        <v>-0.6772392142376714</v>
      </c>
      <c r="T609" s="52">
        <v>280235.69559610984</v>
      </c>
      <c r="U609" s="50">
        <v>35733.30152813978</v>
      </c>
      <c r="V609" s="50">
        <v>-261942.37329020625</v>
      </c>
    </row>
    <row r="610">
      <c r="A610" s="54">
        <v>45046.95998143518</v>
      </c>
      <c r="B610" s="47">
        <v>0.8060453296587484</v>
      </c>
      <c r="C610" s="7">
        <v>-4.804824101398708E-4</v>
      </c>
      <c r="D610" s="48">
        <v>-0.8547666072686939</v>
      </c>
      <c r="E610" s="49">
        <v>23.09</v>
      </c>
      <c r="F610" s="7">
        <v>-9.389533631432023E-4</v>
      </c>
      <c r="G610" s="48">
        <v>-0.5663913369004707</v>
      </c>
      <c r="H610" s="50">
        <v>-55362.60514865845</v>
      </c>
      <c r="I610" s="56">
        <v>6.152961275317319E-4</v>
      </c>
      <c r="J610" s="56">
        <v>-1.360274578059179</v>
      </c>
      <c r="K610" s="50">
        <v>96062.185984499</v>
      </c>
      <c r="L610" s="56">
        <v>-0.0010676284268015073</v>
      </c>
      <c r="M610" s="56">
        <v>2.3602745780591787</v>
      </c>
      <c r="N610" s="51">
        <v>4.584709530033315E-4</v>
      </c>
      <c r="O610" s="7">
        <v>-0.2883752703682232</v>
      </c>
      <c r="P610" s="52">
        <v>53.25078109590257</v>
      </c>
      <c r="Q610" s="34">
        <v>1762.649668074515</v>
      </c>
      <c r="R610" s="13">
        <v>5363.531182865308</v>
      </c>
      <c r="S610" s="56">
        <v>-0.651805099317016</v>
      </c>
      <c r="T610" s="52">
        <v>280235.69559610984</v>
      </c>
      <c r="U610" s="50">
        <v>40699.58083584055</v>
      </c>
      <c r="V610" s="50">
        <v>-256976.0939825055</v>
      </c>
    </row>
    <row r="611">
      <c r="A611" s="54">
        <v>45045.95996388889</v>
      </c>
      <c r="B611" s="47">
        <v>0.8087120070350249</v>
      </c>
      <c r="C611" s="7">
        <v>-7.712115325235747E-4</v>
      </c>
      <c r="D611" s="48">
        <v>-0.854286124858554</v>
      </c>
      <c r="E611" s="49">
        <v>23.14</v>
      </c>
      <c r="F611" s="7">
        <v>-9.389533631432023E-4</v>
      </c>
      <c r="G611" s="48">
        <v>-0.5654523835373275</v>
      </c>
      <c r="H611" s="50">
        <v>-55414.96074759624</v>
      </c>
      <c r="I611" s="56">
        <v>9.852723389462922E-4</v>
      </c>
      <c r="J611" s="56">
        <v>-1.3570713073293377</v>
      </c>
      <c r="K611" s="50">
        <v>96249.18990586404</v>
      </c>
      <c r="L611" s="56">
        <v>-0.0017113007603158877</v>
      </c>
      <c r="M611" s="56">
        <v>2.3570713073293375</v>
      </c>
      <c r="N611" s="51">
        <v>1.6774183061962766E-4</v>
      </c>
      <c r="O611" s="7">
        <v>-0.2888337413212265</v>
      </c>
      <c r="P611" s="52">
        <v>53.25078109590257</v>
      </c>
      <c r="Q611" s="34">
        <v>1764.6598599078566</v>
      </c>
      <c r="R611" s="13">
        <v>5363.531182865308</v>
      </c>
      <c r="S611" s="56">
        <v>-0.651408004784596</v>
      </c>
      <c r="T611" s="52">
        <v>280235.69559610984</v>
      </c>
      <c r="U611" s="50">
        <v>40834.2291582678</v>
      </c>
      <c r="V611" s="50">
        <v>-256841.44566007826</v>
      </c>
    </row>
    <row r="612">
      <c r="A612" s="54">
        <v>45044.95996523148</v>
      </c>
      <c r="B612" s="47">
        <v>0.8129922310405312</v>
      </c>
      <c r="C612" s="7">
        <v>0.012788951110259905</v>
      </c>
      <c r="D612" s="48">
        <v>-0.8535149133260305</v>
      </c>
      <c r="E612" s="49">
        <v>23.19</v>
      </c>
      <c r="F612" s="7">
        <v>0.01614999784606308</v>
      </c>
      <c r="G612" s="48">
        <v>-0.5645134301741843</v>
      </c>
      <c r="H612" s="50">
        <v>-55365.95063786604</v>
      </c>
      <c r="I612" s="56">
        <v>-0.016238313777082892</v>
      </c>
      <c r="J612" s="56">
        <v>-1.3487327251544245</v>
      </c>
      <c r="K612" s="50">
        <v>96416.30079640234</v>
      </c>
      <c r="L612" s="56">
        <v>0.028277996268826145</v>
      </c>
      <c r="M612" s="56">
        <v>2.3487327251544245</v>
      </c>
      <c r="N612" s="51">
        <v>-0.003361046735803175</v>
      </c>
      <c r="O612" s="7">
        <v>-0.28900148315184615</v>
      </c>
      <c r="P612" s="52">
        <v>53.25078109590257</v>
      </c>
      <c r="Q612" s="34">
        <v>1770.1746510796163</v>
      </c>
      <c r="R612" s="13">
        <v>5363.531182865308</v>
      </c>
      <c r="S612" s="56">
        <v>-0.6503186095411068</v>
      </c>
      <c r="T612" s="52">
        <v>280235.69559610984</v>
      </c>
      <c r="U612" s="50">
        <v>41050.350158536305</v>
      </c>
      <c r="V612" s="50">
        <v>-256625.32465980973</v>
      </c>
    </row>
    <row r="613">
      <c r="A613" s="54">
        <v>45043.95996796296</v>
      </c>
      <c r="B613" s="47">
        <v>0.7420135523785887</v>
      </c>
      <c r="C613" s="7">
        <v>0.01538340235148783</v>
      </c>
      <c r="D613" s="48">
        <v>-0.8663038644362904</v>
      </c>
      <c r="E613" s="49">
        <v>22.33</v>
      </c>
      <c r="F613" s="7">
        <v>0.019342439280749746</v>
      </c>
      <c r="G613" s="48">
        <v>-0.5806634280202474</v>
      </c>
      <c r="H613" s="50">
        <v>-55357.23234128244</v>
      </c>
      <c r="I613" s="56">
        <v>-0.02139757547031499</v>
      </c>
      <c r="J613" s="56">
        <v>-1.4775155521572825</v>
      </c>
      <c r="K613" s="50">
        <v>92823.66188949042</v>
      </c>
      <c r="L613" s="56">
        <v>0.03587970761374518</v>
      </c>
      <c r="M613" s="56">
        <v>2.4775155521572825</v>
      </c>
      <c r="N613" s="51">
        <v>-0.0039590369292619165</v>
      </c>
      <c r="O613" s="7">
        <v>-0.285640436416043</v>
      </c>
      <c r="P613" s="52">
        <v>53.25078109590257</v>
      </c>
      <c r="Q613" s="34">
        <v>1677.8517486882215</v>
      </c>
      <c r="R613" s="13">
        <v>5363.531182865308</v>
      </c>
      <c r="S613" s="56">
        <v>-0.668556132522093</v>
      </c>
      <c r="T613" s="52">
        <v>280235.69559610984</v>
      </c>
      <c r="U613" s="50">
        <v>37466.42954820798</v>
      </c>
      <c r="V613" s="50">
        <v>-260209.24527013805</v>
      </c>
    </row>
    <row r="614">
      <c r="A614" s="54">
        <v>45042.959956192135</v>
      </c>
      <c r="B614" s="47">
        <v>0.6566356693278308</v>
      </c>
      <c r="C614" s="7">
        <v>-0.00571253896861057</v>
      </c>
      <c r="D614" s="48">
        <v>-0.8816872667877782</v>
      </c>
      <c r="E614" s="49">
        <v>21.3</v>
      </c>
      <c r="F614" s="7">
        <v>-0.00497858547184693</v>
      </c>
      <c r="G614" s="48">
        <v>-0.6000058673009971</v>
      </c>
      <c r="H614" s="50">
        <v>-55365.04485523991</v>
      </c>
      <c r="I614" s="56">
        <v>0.00898028247399197</v>
      </c>
      <c r="J614" s="56">
        <v>-1.6698625123697957</v>
      </c>
      <c r="K614" s="50">
        <v>88520.49594484385</v>
      </c>
      <c r="L614" s="56">
        <v>-0.014358139876903271</v>
      </c>
      <c r="M614" s="56">
        <v>2.6698625123697957</v>
      </c>
      <c r="N614" s="51">
        <v>-7.339534967636396E-4</v>
      </c>
      <c r="O614" s="7">
        <v>-0.28168139948678106</v>
      </c>
      <c r="P614" s="52">
        <v>53.25078109590257</v>
      </c>
      <c r="Q614" s="34">
        <v>1556.5939478687294</v>
      </c>
      <c r="R614" s="13">
        <v>5363.531182865308</v>
      </c>
      <c r="S614" s="56">
        <v>-0.6925094731535877</v>
      </c>
      <c r="T614" s="52">
        <v>280235.69559610984</v>
      </c>
      <c r="U614" s="50">
        <v>33155.451089603936</v>
      </c>
      <c r="V614" s="50">
        <v>-264520.2237287421</v>
      </c>
    </row>
    <row r="615">
      <c r="A615" s="54">
        <v>45041.959961238426</v>
      </c>
      <c r="B615" s="47">
        <v>0.6883402606036197</v>
      </c>
      <c r="C615" s="7">
        <v>0.004812007108507821</v>
      </c>
      <c r="D615" s="48">
        <v>-0.8759747278191676</v>
      </c>
      <c r="E615" s="49">
        <v>21.68</v>
      </c>
      <c r="F615" s="7">
        <v>0.005790661560561072</v>
      </c>
      <c r="G615" s="48">
        <v>-0.5950272818291502</v>
      </c>
      <c r="H615" s="50">
        <v>-55322.23101035136</v>
      </c>
      <c r="I615" s="56">
        <v>-0.007210616706044081</v>
      </c>
      <c r="J615" s="56">
        <v>-1.5917176916515734</v>
      </c>
      <c r="K615" s="50">
        <v>90078.53943144377</v>
      </c>
      <c r="L615" s="56">
        <v>0.011740701873698599</v>
      </c>
      <c r="M615" s="56">
        <v>2.5917176916515734</v>
      </c>
      <c r="N615" s="51">
        <v>-9.786544520532514E-4</v>
      </c>
      <c r="O615" s="7">
        <v>-0.2809474459900174</v>
      </c>
      <c r="P615" s="52">
        <v>53.53447041549512</v>
      </c>
      <c r="Q615" s="34">
        <v>1603.150757430462</v>
      </c>
      <c r="R615" s="13">
        <v>5316.4349943289835</v>
      </c>
      <c r="S615" s="56">
        <v>-0.6833126123280486</v>
      </c>
      <c r="T615" s="52">
        <v>280235.69559610984</v>
      </c>
      <c r="U615" s="50">
        <v>34756.30842109241</v>
      </c>
      <c r="V615" s="50">
        <v>-262919.36639725365</v>
      </c>
    </row>
    <row r="616">
      <c r="A616" s="54">
        <v>45040.95996287037</v>
      </c>
      <c r="B616" s="47">
        <v>0.6616336211514009</v>
      </c>
      <c r="C616" s="7">
        <v>0.0017436552162718444</v>
      </c>
      <c r="D616" s="48">
        <v>-0.8807867349276755</v>
      </c>
      <c r="E616" s="49">
        <v>21.37</v>
      </c>
      <c r="F616" s="7">
        <v>0.0018679553421164785</v>
      </c>
      <c r="G616" s="48">
        <v>-0.6008179433897113</v>
      </c>
      <c r="H616" s="50">
        <v>-55359.535891762476</v>
      </c>
      <c r="I616" s="56">
        <v>-0.002720101589651702</v>
      </c>
      <c r="J616" s="56">
        <v>-1.6570835425526957</v>
      </c>
      <c r="K616" s="50">
        <v>88767.34815358875</v>
      </c>
      <c r="L616" s="56">
        <v>0.004361600958754996</v>
      </c>
      <c r="M616" s="56">
        <v>2.6570835425526957</v>
      </c>
      <c r="N616" s="51">
        <v>-1.2430012584463412E-4</v>
      </c>
      <c r="O616" s="7">
        <v>-0.27996879153796417</v>
      </c>
      <c r="P616" s="52">
        <v>53.53447041549512</v>
      </c>
      <c r="Q616" s="34">
        <v>1563.3042705580851</v>
      </c>
      <c r="R616" s="13">
        <v>5316.4349943289835</v>
      </c>
      <c r="S616" s="56">
        <v>-0.6911839118780319</v>
      </c>
      <c r="T616" s="52">
        <v>280235.69559610984</v>
      </c>
      <c r="U616" s="50">
        <v>33407.81226182628</v>
      </c>
      <c r="V616" s="50">
        <v>-264267.86255651974</v>
      </c>
    </row>
    <row r="617">
      <c r="A617" s="54">
        <v>45039.95996015046</v>
      </c>
      <c r="B617" s="47">
        <v>0.6519563347010925</v>
      </c>
      <c r="C617" s="7">
        <v>-0.00843827291887067</v>
      </c>
      <c r="D617" s="48">
        <v>-0.8825303901439473</v>
      </c>
      <c r="E617" s="49">
        <v>21.27</v>
      </c>
      <c r="F617" s="7">
        <v>-0.01064734545006385</v>
      </c>
      <c r="G617" s="48">
        <v>-0.6026858987318278</v>
      </c>
      <c r="H617" s="50">
        <v>-55408.696445465604</v>
      </c>
      <c r="I617" s="56">
        <v>0.013370961165720058</v>
      </c>
      <c r="J617" s="56">
        <v>-1.6831737637127673</v>
      </c>
      <c r="K617" s="50">
        <v>88327.87427488017</v>
      </c>
      <c r="L617" s="56">
        <v>-0.02131485944525729</v>
      </c>
      <c r="M617" s="56">
        <v>2.6831737637127673</v>
      </c>
      <c r="N617" s="51">
        <v>0.002209072531193179</v>
      </c>
      <c r="O617" s="7">
        <v>-0.27984449141211953</v>
      </c>
      <c r="P617" s="52">
        <v>53.53447041549512</v>
      </c>
      <c r="Q617" s="34">
        <v>1547.6811391356168</v>
      </c>
      <c r="R617" s="13">
        <v>5316.4349943289835</v>
      </c>
      <c r="S617" s="56">
        <v>-0.6942701148782832</v>
      </c>
      <c r="T617" s="52">
        <v>280235.69559610984</v>
      </c>
      <c r="U617" s="50">
        <v>32919.17782941457</v>
      </c>
      <c r="V617" s="50">
        <v>-264756.4969889315</v>
      </c>
    </row>
    <row r="618">
      <c r="A618" s="54">
        <v>45038.959958356485</v>
      </c>
      <c r="B618" s="47">
        <v>0.698788749400825</v>
      </c>
      <c r="C618" s="7">
        <v>0.007966736196810431</v>
      </c>
      <c r="D618" s="48">
        <v>-0.8740921172250766</v>
      </c>
      <c r="E618" s="49">
        <v>21.84</v>
      </c>
      <c r="F618" s="7">
        <v>0.010273754381640576</v>
      </c>
      <c r="G618" s="48">
        <v>-0.5920385532817639</v>
      </c>
      <c r="H618" s="50">
        <v>-55388.318276267055</v>
      </c>
      <c r="I618" s="56">
        <v>-0.011773412156920253</v>
      </c>
      <c r="J618" s="56">
        <v>-1.569790890159722</v>
      </c>
      <c r="K618" s="50">
        <v>90672.20138673118</v>
      </c>
      <c r="L618" s="56">
        <v>0.019273399722603186</v>
      </c>
      <c r="M618" s="56">
        <v>2.569790890159722</v>
      </c>
      <c r="N618" s="51">
        <v>-0.002307018184830145</v>
      </c>
      <c r="O618" s="7">
        <v>-0.2820535639433127</v>
      </c>
      <c r="P618" s="52">
        <v>53.53447041549512</v>
      </c>
      <c r="Q618" s="34">
        <v>1615.5624134827895</v>
      </c>
      <c r="R618" s="13">
        <v>5316.4349943289835</v>
      </c>
      <c r="S618" s="56">
        <v>-0.6808608061496987</v>
      </c>
      <c r="T618" s="52">
        <v>280235.69559610984</v>
      </c>
      <c r="U618" s="50">
        <v>35283.88311046412</v>
      </c>
      <c r="V618" s="50">
        <v>-262391.7917078819</v>
      </c>
    </row>
    <row r="619">
      <c r="A619" s="54">
        <v>45037.95996613426</v>
      </c>
      <c r="B619" s="47">
        <v>0.654573363508527</v>
      </c>
      <c r="C619" s="7">
        <v>-0.009978605619041736</v>
      </c>
      <c r="D619" s="48">
        <v>-0.8820588534218871</v>
      </c>
      <c r="E619" s="49">
        <v>21.29</v>
      </c>
      <c r="F619" s="7">
        <v>-0.012702096326391965</v>
      </c>
      <c r="G619" s="48">
        <v>-0.6023123076634045</v>
      </c>
      <c r="H619" s="50">
        <v>-55315.17839553464</v>
      </c>
      <c r="I619" s="56">
        <v>0.01572191643272065</v>
      </c>
      <c r="J619" s="56">
        <v>-1.6736148404826303</v>
      </c>
      <c r="K619" s="50">
        <v>88366.49764625488</v>
      </c>
      <c r="L619" s="56">
        <v>-0.02511590365871037</v>
      </c>
      <c r="M619" s="56">
        <v>2.6736148404826303</v>
      </c>
      <c r="N619" s="51">
        <v>0.002723490707350229</v>
      </c>
      <c r="O619" s="7">
        <v>-0.27974654575848257</v>
      </c>
      <c r="P619" s="52">
        <v>53.53447041549512</v>
      </c>
      <c r="Q619" s="34">
        <v>1552.4339713818808</v>
      </c>
      <c r="R619" s="13">
        <v>5316.4349943289835</v>
      </c>
      <c r="S619" s="56">
        <v>-0.6933312374700694</v>
      </c>
      <c r="T619" s="52">
        <v>280235.69559610984</v>
      </c>
      <c r="U619" s="50">
        <v>33051.31925072024</v>
      </c>
      <c r="V619" s="50">
        <v>-264624.3555676258</v>
      </c>
    </row>
    <row r="620">
      <c r="A620" s="54">
        <v>45036.95996857639</v>
      </c>
      <c r="B620" s="47">
        <v>0.7099546246942086</v>
      </c>
      <c r="C620" s="7">
        <v>-0.015642095343146867</v>
      </c>
      <c r="D620" s="48">
        <v>-0.8720802478028453</v>
      </c>
      <c r="E620" s="49">
        <v>21.97</v>
      </c>
      <c r="F620" s="7">
        <v>-0.019800326626434606</v>
      </c>
      <c r="G620" s="48">
        <v>-0.5896102113370125</v>
      </c>
      <c r="H620" s="50">
        <v>-55319.058924876255</v>
      </c>
      <c r="I620" s="56">
        <v>0.02272420800047851</v>
      </c>
      <c r="J620" s="56">
        <v>-1.5431698170387351</v>
      </c>
      <c r="K620" s="50">
        <v>91166.7396623279</v>
      </c>
      <c r="L620" s="56">
        <v>-0.03744987704193573</v>
      </c>
      <c r="M620" s="56">
        <v>2.543169817038735</v>
      </c>
      <c r="N620" s="51">
        <v>0.004158231283287739</v>
      </c>
      <c r="O620" s="7">
        <v>-0.2824700364658328</v>
      </c>
      <c r="P620" s="52">
        <v>53.53447041549512</v>
      </c>
      <c r="Q620" s="34">
        <v>1631.6650312904712</v>
      </c>
      <c r="R620" s="13">
        <v>5316.4349943289835</v>
      </c>
      <c r="S620" s="56">
        <v>-0.6776798851136958</v>
      </c>
      <c r="T620" s="52">
        <v>280235.69559610984</v>
      </c>
      <c r="U620" s="50">
        <v>35847.68073745165</v>
      </c>
      <c r="V620" s="50">
        <v>-261827.9940808944</v>
      </c>
    </row>
    <row r="621">
      <c r="A621" s="54">
        <v>45035.959975729165</v>
      </c>
      <c r="B621" s="47">
        <v>0.7967682538486732</v>
      </c>
      <c r="C621" s="7">
        <v>-0.025787039315929627</v>
      </c>
      <c r="D621" s="48">
        <v>-0.8564381524596985</v>
      </c>
      <c r="E621" s="49">
        <v>23.03</v>
      </c>
      <c r="F621" s="7">
        <v>-0.03268921848703821</v>
      </c>
      <c r="G621" s="48">
        <v>-0.5698098847105779</v>
      </c>
      <c r="H621" s="50">
        <v>-55310.79931010568</v>
      </c>
      <c r="I621" s="56">
        <v>0.033375596125307015</v>
      </c>
      <c r="J621" s="56">
        <v>-1.374825067811331</v>
      </c>
      <c r="K621" s="50">
        <v>95541.95351662474</v>
      </c>
      <c r="L621" s="56">
        <v>-0.05765184545093191</v>
      </c>
      <c r="M621" s="56">
        <v>2.374825067811331</v>
      </c>
      <c r="N621" s="51">
        <v>0.00690217917110858</v>
      </c>
      <c r="O621" s="7">
        <v>-0.28662826774912054</v>
      </c>
      <c r="P621" s="52">
        <v>53.53447041549512</v>
      </c>
      <c r="Q621" s="34">
        <v>1746.9020497837193</v>
      </c>
      <c r="R621" s="13">
        <v>5316.4349943289835</v>
      </c>
      <c r="S621" s="56">
        <v>-0.6549158935298824</v>
      </c>
      <c r="T621" s="52">
        <v>280235.69559610984</v>
      </c>
      <c r="U621" s="50">
        <v>40231.15420651906</v>
      </c>
      <c r="V621" s="50">
        <v>-257444.52061182697</v>
      </c>
    </row>
    <row r="622">
      <c r="A622" s="54">
        <v>45034.95997678241</v>
      </c>
      <c r="B622" s="47">
        <v>0.9398863220520831</v>
      </c>
      <c r="C622" s="7">
        <v>0.0014606062258373242</v>
      </c>
      <c r="D622" s="48">
        <v>-0.8306511131437688</v>
      </c>
      <c r="E622" s="49">
        <v>24.78</v>
      </c>
      <c r="F622" s="7">
        <v>0.0018679553421165895</v>
      </c>
      <c r="G622" s="48">
        <v>-0.5371206662235397</v>
      </c>
      <c r="H622" s="50">
        <v>-55319.48201996263</v>
      </c>
      <c r="I622" s="56">
        <v>-0.0016028229760228164</v>
      </c>
      <c r="J622" s="56">
        <v>-1.1656611037797913</v>
      </c>
      <c r="K622" s="50">
        <v>102777.08512654548</v>
      </c>
      <c r="L622" s="56">
        <v>0.0029778563976798293</v>
      </c>
      <c r="M622" s="56">
        <v>2.1656611037797915</v>
      </c>
      <c r="N622" s="51">
        <v>-4.073491162792653E-4</v>
      </c>
      <c r="O622" s="7">
        <v>-0.2935304469202291</v>
      </c>
      <c r="P622" s="52">
        <v>53.53447041549512</v>
      </c>
      <c r="Q622" s="34">
        <v>1915.1575103544333</v>
      </c>
      <c r="R622" s="13">
        <v>5316.4349943289835</v>
      </c>
      <c r="S622" s="56">
        <v>-0.6216786062549883</v>
      </c>
      <c r="T622" s="52">
        <v>280235.69559610984</v>
      </c>
      <c r="U622" s="50">
        <v>47457.60310658286</v>
      </c>
      <c r="V622" s="50">
        <v>-250218.0717117632</v>
      </c>
    </row>
    <row r="623">
      <c r="A623" s="54">
        <v>45033.9599652662</v>
      </c>
      <c r="B623" s="47">
        <v>0.9317799574986861</v>
      </c>
      <c r="C623" s="7">
        <v>-0.008750734707336116</v>
      </c>
      <c r="D623" s="48">
        <v>-0.8321117193696062</v>
      </c>
      <c r="E623" s="49">
        <v>24.68</v>
      </c>
      <c r="F623" s="7">
        <v>-0.011581323121122145</v>
      </c>
      <c r="G623" s="48">
        <v>-0.5389886215656563</v>
      </c>
      <c r="H623" s="50">
        <v>-55287.83420893664</v>
      </c>
      <c r="I623" s="56">
        <v>0.009680780364799984</v>
      </c>
      <c r="J623" s="56">
        <v>-1.1751295373498787</v>
      </c>
      <c r="K623" s="50">
        <v>102336.12331382997</v>
      </c>
      <c r="L623" s="56">
        <v>-0.017918834176834892</v>
      </c>
      <c r="M623" s="56">
        <v>2.175129537349879</v>
      </c>
      <c r="N623" s="51">
        <v>0.002830588413786028</v>
      </c>
      <c r="O623" s="7">
        <v>-0.29312309780394985</v>
      </c>
      <c r="P623" s="52">
        <v>53.53447041549512</v>
      </c>
      <c r="Q623" s="34">
        <v>1906.332621754187</v>
      </c>
      <c r="R623" s="13">
        <v>5316.4349943289835</v>
      </c>
      <c r="S623" s="56">
        <v>-0.6234218801825054</v>
      </c>
      <c r="T623" s="52">
        <v>280235.69559610984</v>
      </c>
      <c r="U623" s="50">
        <v>47048.28910489333</v>
      </c>
      <c r="V623" s="50">
        <v>-250627.3857134527</v>
      </c>
    </row>
    <row r="624">
      <c r="A624" s="54">
        <v>45032.9599709375</v>
      </c>
      <c r="B624" s="47">
        <v>0.9803465351244014</v>
      </c>
      <c r="C624" s="7">
        <v>0.019485667036839405</v>
      </c>
      <c r="D624" s="48">
        <v>-0.82336098466227</v>
      </c>
      <c r="E624" s="49">
        <v>25.3</v>
      </c>
      <c r="F624" s="7">
        <v>0.024657010515937383</v>
      </c>
      <c r="G624" s="48">
        <v>-0.5274072984445342</v>
      </c>
      <c r="H624" s="50">
        <v>-55374.44067336411</v>
      </c>
      <c r="I624" s="56">
        <v>-0.020520817017452564</v>
      </c>
      <c r="J624" s="56">
        <v>-1.118662973859434</v>
      </c>
      <c r="K624" s="50">
        <v>104874.99800594478</v>
      </c>
      <c r="L624" s="56">
        <v>0.03886487371457814</v>
      </c>
      <c r="M624" s="56">
        <v>2.118662973859434</v>
      </c>
      <c r="N624" s="51">
        <v>-0.005171343479097978</v>
      </c>
      <c r="O624" s="7">
        <v>-0.2959536862177359</v>
      </c>
      <c r="P624" s="52">
        <v>53.53447041549512</v>
      </c>
      <c r="Q624" s="34">
        <v>1956.5437680861926</v>
      </c>
      <c r="R624" s="13">
        <v>5316.4349943289835</v>
      </c>
      <c r="S624" s="56">
        <v>-0.6135031394214161</v>
      </c>
      <c r="T624" s="52">
        <v>280235.69559610984</v>
      </c>
      <c r="U624" s="50">
        <v>49500.557332580676</v>
      </c>
      <c r="V624" s="50">
        <v>-248175.11748576537</v>
      </c>
    </row>
    <row r="625">
      <c r="A625" s="54">
        <v>45031.95996972222</v>
      </c>
      <c r="B625" s="47">
        <v>0.8722010830699427</v>
      </c>
      <c r="C625" s="7">
        <v>-0.008336228678698432</v>
      </c>
      <c r="D625" s="48">
        <v>-0.8428466516991094</v>
      </c>
      <c r="E625" s="49">
        <v>23.98</v>
      </c>
      <c r="F625" s="7">
        <v>-0.01064734545006385</v>
      </c>
      <c r="G625" s="48">
        <v>-0.5520643089604715</v>
      </c>
      <c r="H625" s="50">
        <v>-55337.63143057211</v>
      </c>
      <c r="I625" s="56">
        <v>0.009861050906009328</v>
      </c>
      <c r="J625" s="56">
        <v>-1.2565317717899964</v>
      </c>
      <c r="K625" s="50">
        <v>99377.60930692991</v>
      </c>
      <c r="L625" s="56">
        <v>-0.017708883429942833</v>
      </c>
      <c r="M625" s="56">
        <v>2.256531771789996</v>
      </c>
      <c r="N625" s="51">
        <v>0.002311116771365418</v>
      </c>
      <c r="O625" s="7">
        <v>-0.2907823427386379</v>
      </c>
      <c r="P625" s="52">
        <v>53.53447041549512</v>
      </c>
      <c r="Q625" s="34">
        <v>1836.5295194477815</v>
      </c>
      <c r="R625" s="13">
        <v>5316.4349943289835</v>
      </c>
      <c r="S625" s="56">
        <v>-0.6372108279894134</v>
      </c>
      <c r="T625" s="52">
        <v>280235.69559610984</v>
      </c>
      <c r="U625" s="50">
        <v>44039.9778763578</v>
      </c>
      <c r="V625" s="50">
        <v>-253635.69694198825</v>
      </c>
    </row>
    <row r="626">
      <c r="A626" s="54">
        <v>45030.95997009259</v>
      </c>
      <c r="B626" s="47">
        <v>0.918467152236719</v>
      </c>
      <c r="C626" s="7">
        <v>-0.0010978593105959167</v>
      </c>
      <c r="D626" s="48">
        <v>-0.834510423020411</v>
      </c>
      <c r="E626" s="49">
        <v>24.55</v>
      </c>
      <c r="F626" s="7">
        <v>-0.0016811598079048418</v>
      </c>
      <c r="G626" s="48">
        <v>-0.5414169635104077</v>
      </c>
      <c r="H626" s="50">
        <v>-55338.05249661268</v>
      </c>
      <c r="I626" s="56">
        <v>0.0012332654579980502</v>
      </c>
      <c r="J626" s="56">
        <v>-1.1932454075346168</v>
      </c>
      <c r="K626" s="50">
        <v>101714.13921539378</v>
      </c>
      <c r="L626" s="56">
        <v>-0.0022668042843037965</v>
      </c>
      <c r="M626" s="56">
        <v>2.193245407534617</v>
      </c>
      <c r="N626" s="51">
        <v>5.833004973089251E-4</v>
      </c>
      <c r="O626" s="7">
        <v>-0.2930934595100033</v>
      </c>
      <c r="P626" s="52">
        <v>53.53447041549512</v>
      </c>
      <c r="Q626" s="34">
        <v>1889.046302190676</v>
      </c>
      <c r="R626" s="13">
        <v>5316.4349943289835</v>
      </c>
      <c r="S626" s="56">
        <v>-0.6268366303921521</v>
      </c>
      <c r="T626" s="52">
        <v>280235.69559610984</v>
      </c>
      <c r="U626" s="50">
        <v>46376.086718781095</v>
      </c>
      <c r="V626" s="50">
        <v>-251299.58809956495</v>
      </c>
    </row>
    <row r="627">
      <c r="A627" s="54">
        <v>45029.95998773148</v>
      </c>
      <c r="B627" s="47">
        <v>0.9245602714105262</v>
      </c>
      <c r="C627" s="7">
        <v>0.009261694572965551</v>
      </c>
      <c r="D627" s="48">
        <v>-0.8334125637098151</v>
      </c>
      <c r="E627" s="49">
        <v>24.64</v>
      </c>
      <c r="F627" s="7">
        <v>0.011581323121122145</v>
      </c>
      <c r="G627" s="48">
        <v>-0.5397358037025028</v>
      </c>
      <c r="H627" s="50">
        <v>-55374.16260883731</v>
      </c>
      <c r="I627" s="56">
        <v>-0.01034217864370544</v>
      </c>
      <c r="J627" s="56">
        <v>-1.1861550807514405</v>
      </c>
      <c r="K627" s="50">
        <v>102057.90869518991</v>
      </c>
      <c r="L627" s="56">
        <v>0.01906125662223888</v>
      </c>
      <c r="M627" s="56">
        <v>2.1861550807514405</v>
      </c>
      <c r="N627" s="51">
        <v>-0.0023196285481565937</v>
      </c>
      <c r="O627" s="7">
        <v>-0.29367676000731224</v>
      </c>
      <c r="P627" s="52">
        <v>53.53447041549512</v>
      </c>
      <c r="Q627" s="34">
        <v>1894.6325522058685</v>
      </c>
      <c r="R627" s="13">
        <v>5316.4349943289835</v>
      </c>
      <c r="S627" s="56">
        <v>-0.6257331191247344</v>
      </c>
      <c r="T627" s="52">
        <v>280235.69559610984</v>
      </c>
      <c r="U627" s="50">
        <v>46683.7460863526</v>
      </c>
      <c r="V627" s="50">
        <v>-250991.92873199345</v>
      </c>
    </row>
    <row r="628">
      <c r="A628" s="54">
        <v>45028.95997365741</v>
      </c>
      <c r="B628" s="47">
        <v>0.8731578665305672</v>
      </c>
      <c r="C628" s="7">
        <v>0.00977074256132937</v>
      </c>
      <c r="D628" s="48">
        <v>-0.8426742582827806</v>
      </c>
      <c r="E628" s="49">
        <v>24.02</v>
      </c>
      <c r="F628" s="7">
        <v>0.012515300792180328</v>
      </c>
      <c r="G628" s="48">
        <v>-0.551317126823625</v>
      </c>
      <c r="H628" s="50">
        <v>-55334.331489501084</v>
      </c>
      <c r="I628" s="56">
        <v>-0.01154460567353205</v>
      </c>
      <c r="J628" s="56">
        <v>-1.2550800487988498</v>
      </c>
      <c r="K628" s="50">
        <v>99422.62015479995</v>
      </c>
      <c r="L628" s="56">
        <v>0.020742907952801485</v>
      </c>
      <c r="M628" s="56">
        <v>2.25508004879885</v>
      </c>
      <c r="N628" s="51">
        <v>-0.0027445582308509575</v>
      </c>
      <c r="O628" s="7">
        <v>-0.29135713145915565</v>
      </c>
      <c r="P628" s="52">
        <v>53.53447041549512</v>
      </c>
      <c r="Q628" s="34">
        <v>1835.4824590049486</v>
      </c>
      <c r="R628" s="13">
        <v>5316.4349943289835</v>
      </c>
      <c r="S628" s="56">
        <v>-0.6374176649539587</v>
      </c>
      <c r="T628" s="52">
        <v>280235.69559610984</v>
      </c>
      <c r="U628" s="50">
        <v>44088.28866529887</v>
      </c>
      <c r="V628" s="50">
        <v>-253587.38615304718</v>
      </c>
    </row>
    <row r="629">
      <c r="A629" s="54">
        <v>45027.959965138885</v>
      </c>
      <c r="B629" s="47">
        <v>0.8189302453151894</v>
      </c>
      <c r="C629" s="7">
        <v>0.039364337849464914</v>
      </c>
      <c r="D629" s="48">
        <v>-0.85244500084411</v>
      </c>
      <c r="E629" s="49">
        <v>23.35</v>
      </c>
      <c r="F629" s="7">
        <v>0.049874407634509565</v>
      </c>
      <c r="G629" s="48">
        <v>-0.5638324276158053</v>
      </c>
      <c r="H629" s="50">
        <v>-55275.3734770771</v>
      </c>
      <c r="I629" s="56">
        <v>-0.04953787368190383</v>
      </c>
      <c r="J629" s="56">
        <v>-1.3367626545200748</v>
      </c>
      <c r="K629" s="50">
        <v>96625.55130421133</v>
      </c>
      <c r="L629" s="56">
        <v>0.08659596586782665</v>
      </c>
      <c r="M629" s="56">
        <v>2.336762654520075</v>
      </c>
      <c r="N629" s="51">
        <v>-0.010510069785044651</v>
      </c>
      <c r="O629" s="7">
        <v>-0.2886125732283047</v>
      </c>
      <c r="P629" s="52">
        <v>53.53447041549512</v>
      </c>
      <c r="Q629" s="34">
        <v>1770.8855600485751</v>
      </c>
      <c r="R629" s="13">
        <v>5316.4349943289835</v>
      </c>
      <c r="S629" s="56">
        <v>-0.6501781761456769</v>
      </c>
      <c r="T629" s="52">
        <v>280235.69559610984</v>
      </c>
      <c r="U629" s="50">
        <v>41350.177827134234</v>
      </c>
      <c r="V629" s="50">
        <v>-256325.4969912118</v>
      </c>
    </row>
    <row r="630">
      <c r="A630" s="54">
        <v>45026.95997302083</v>
      </c>
      <c r="B630" s="47">
        <v>0.6004581702506592</v>
      </c>
      <c r="C630" s="7">
        <v>0.004126794664213729</v>
      </c>
      <c r="D630" s="48">
        <v>-0.8918093386935749</v>
      </c>
      <c r="E630" s="49">
        <v>20.68</v>
      </c>
      <c r="F630" s="7">
        <v>0.004669888355291252</v>
      </c>
      <c r="G630" s="48">
        <v>-0.6137068352503149</v>
      </c>
      <c r="H630" s="50">
        <v>-55237.894252026534</v>
      </c>
      <c r="I630" s="56">
        <v>-0.00707810258034767</v>
      </c>
      <c r="J630" s="56">
        <v>-1.821897270834758</v>
      </c>
      <c r="K630" s="50">
        <v>85556.7794802357</v>
      </c>
      <c r="L630" s="56">
        <v>0.010963119970545868</v>
      </c>
      <c r="M630" s="56">
        <v>2.821897270834758</v>
      </c>
      <c r="N630" s="51">
        <v>-5.43093691077523E-4</v>
      </c>
      <c r="O630" s="7">
        <v>-0.27810250344326004</v>
      </c>
      <c r="P630" s="52">
        <v>53.53447041549512</v>
      </c>
      <c r="Q630" s="34">
        <v>1466.096964613596</v>
      </c>
      <c r="R630" s="13">
        <v>5316.4349943289835</v>
      </c>
      <c r="S630" s="56">
        <v>-0.7103863029441907</v>
      </c>
      <c r="T630" s="52">
        <v>280235.69559610984</v>
      </c>
      <c r="U630" s="50">
        <v>30318.88522820916</v>
      </c>
      <c r="V630" s="50">
        <v>-267356.7895901369</v>
      </c>
    </row>
    <row r="631">
      <c r="A631" s="54">
        <v>45025.95996634259</v>
      </c>
      <c r="B631" s="47">
        <v>0.5775544598642729</v>
      </c>
      <c r="C631" s="7">
        <v>0.004125997585442409</v>
      </c>
      <c r="D631" s="48">
        <v>-0.8959361333577887</v>
      </c>
      <c r="E631" s="49">
        <v>20.43</v>
      </c>
      <c r="F631" s="7">
        <v>0.005230274957926051</v>
      </c>
      <c r="G631" s="48">
        <v>-0.6183767236056061</v>
      </c>
      <c r="H631" s="50">
        <v>-55337.63143057211</v>
      </c>
      <c r="I631" s="56">
        <v>-0.0073706574927836525</v>
      </c>
      <c r="J631" s="56">
        <v>-1.897567153276905</v>
      </c>
      <c r="K631" s="50">
        <v>84500.04148547302</v>
      </c>
      <c r="L631" s="56">
        <v>0.011254924502810295</v>
      </c>
      <c r="M631" s="56">
        <v>2.897567153276905</v>
      </c>
      <c r="N631" s="51">
        <v>-0.0011042773724836419</v>
      </c>
      <c r="O631" s="7">
        <v>-0.2775594097521825</v>
      </c>
      <c r="P631" s="52">
        <v>53.53447041549512</v>
      </c>
      <c r="Q631" s="34">
        <v>1427.4307417964224</v>
      </c>
      <c r="R631" s="13">
        <v>5316.4349943289835</v>
      </c>
      <c r="S631" s="56">
        <v>-0.7180244524060285</v>
      </c>
      <c r="T631" s="52">
        <v>280235.69559610984</v>
      </c>
      <c r="U631" s="50">
        <v>29162.41005490091</v>
      </c>
      <c r="V631" s="50">
        <v>-268513.2647634451</v>
      </c>
    </row>
    <row r="632">
      <c r="A632" s="54">
        <v>45024.95998431713</v>
      </c>
      <c r="B632" s="47">
        <v>0.5546551732650676</v>
      </c>
      <c r="C632" s="7">
        <v>-0.00418675484964004</v>
      </c>
      <c r="D632" s="48">
        <v>-0.9000621309432311</v>
      </c>
      <c r="E632" s="49">
        <v>20.15</v>
      </c>
      <c r="F632" s="7">
        <v>-0.005230274957926051</v>
      </c>
      <c r="G632" s="48">
        <v>-0.6236069985635322</v>
      </c>
      <c r="H632" s="50">
        <v>-55313.90755842592</v>
      </c>
      <c r="I632" s="56">
        <v>0.00778463832294988</v>
      </c>
      <c r="J632" s="56">
        <v>-1.9750623081418375</v>
      </c>
      <c r="K632" s="50">
        <v>83320.0658099425</v>
      </c>
      <c r="L632" s="56">
        <v>-0.011726103000220627</v>
      </c>
      <c r="M632" s="56">
        <v>2.9750623081418377</v>
      </c>
      <c r="N632" s="51">
        <v>0.0010435201082860113</v>
      </c>
      <c r="O632" s="7">
        <v>-0.2764551323796989</v>
      </c>
      <c r="P632" s="52">
        <v>53.53447041549512</v>
      </c>
      <c r="Q632" s="34">
        <v>1389.8837841943716</v>
      </c>
      <c r="R632" s="13">
        <v>5316.4349943289835</v>
      </c>
      <c r="S632" s="56">
        <v>-0.7254415015281469</v>
      </c>
      <c r="T632" s="52">
        <v>280235.69559610984</v>
      </c>
      <c r="U632" s="50">
        <v>28006.158251516586</v>
      </c>
      <c r="V632" s="50">
        <v>-269669.51656682946</v>
      </c>
    </row>
    <row r="633">
      <c r="A633" s="54">
        <v>45023.95998454861</v>
      </c>
      <c r="B633" s="47">
        <v>0.5778916626805697</v>
      </c>
      <c r="C633" s="7">
        <v>-0.002628542352200225</v>
      </c>
      <c r="D633" s="48">
        <v>-0.895875376093591</v>
      </c>
      <c r="E633" s="49">
        <v>20.43</v>
      </c>
      <c r="F633" s="7">
        <v>-0.0035491151500213203</v>
      </c>
      <c r="G633" s="48">
        <v>-0.6183767236056061</v>
      </c>
      <c r="H633" s="50">
        <v>-55276.0152898471</v>
      </c>
      <c r="I633" s="56">
        <v>0.004687647158104</v>
      </c>
      <c r="J633" s="56">
        <v>-1.8943482840064865</v>
      </c>
      <c r="K633" s="50">
        <v>84455.45169894294</v>
      </c>
      <c r="L633" s="56">
        <v>-0.007162190618607353</v>
      </c>
      <c r="M633" s="56">
        <v>2.8943482840064862</v>
      </c>
      <c r="N633" s="51">
        <v>9.205727978210954E-4</v>
      </c>
      <c r="O633" s="7">
        <v>-0.2774986524879849</v>
      </c>
      <c r="P633" s="52">
        <v>53.53447041549512</v>
      </c>
      <c r="Q633" s="34">
        <v>1428.2641414143827</v>
      </c>
      <c r="R633" s="13">
        <v>5316.4349943289835</v>
      </c>
      <c r="S633" s="56">
        <v>-0.7178598221323781</v>
      </c>
      <c r="T633" s="52">
        <v>280235.69559610984</v>
      </c>
      <c r="U633" s="50">
        <v>29179.43640909584</v>
      </c>
      <c r="V633" s="50">
        <v>-268496.2384092502</v>
      </c>
    </row>
    <row r="634">
      <c r="A634" s="54">
        <v>45022.95997087963</v>
      </c>
      <c r="B634" s="47">
        <v>0.5924800727352809</v>
      </c>
      <c r="C634" s="7">
        <v>-0.003980492071397834</v>
      </c>
      <c r="D634" s="48">
        <v>-0.8932468337413908</v>
      </c>
      <c r="E634" s="49">
        <v>20.62</v>
      </c>
      <c r="F634" s="7">
        <v>-0.005043479423714525</v>
      </c>
      <c r="G634" s="48">
        <v>-0.6148276084555848</v>
      </c>
      <c r="H634" s="50">
        <v>-55291.9552490029</v>
      </c>
      <c r="I634" s="56">
        <v>0.006925874207394531</v>
      </c>
      <c r="J634" s="56">
        <v>-1.8482372943129022</v>
      </c>
      <c r="K634" s="50">
        <v>85208.00305257141</v>
      </c>
      <c r="L634" s="56">
        <v>-0.010673160461549078</v>
      </c>
      <c r="M634" s="56">
        <v>2.848237294312902</v>
      </c>
      <c r="N634" s="51">
        <v>0.001062987352316691</v>
      </c>
      <c r="O634" s="7">
        <v>-0.278419225285806</v>
      </c>
      <c r="P634" s="52">
        <v>53.53447041549512</v>
      </c>
      <c r="Q634" s="34">
        <v>1450.8267605998305</v>
      </c>
      <c r="R634" s="13">
        <v>5316.4349943289835</v>
      </c>
      <c r="S634" s="56">
        <v>-0.7134027884468318</v>
      </c>
      <c r="T634" s="52">
        <v>280235.69559610984</v>
      </c>
      <c r="U634" s="50">
        <v>29916.04780356851</v>
      </c>
      <c r="V634" s="50">
        <v>-267759.6270147775</v>
      </c>
    </row>
    <row r="635">
      <c r="A635" s="54">
        <v>45021.95996934028</v>
      </c>
      <c r="B635" s="47">
        <v>0.614571803731539</v>
      </c>
      <c r="C635" s="7">
        <v>-8.191678821756199E-4</v>
      </c>
      <c r="D635" s="48">
        <v>-0.889266341669993</v>
      </c>
      <c r="E635" s="49">
        <v>20.89</v>
      </c>
      <c r="F635" s="7">
        <v>-0.0013075687394815683</v>
      </c>
      <c r="G635" s="48">
        <v>-0.6097841290318703</v>
      </c>
      <c r="H635" s="50">
        <v>-55268.87808279507</v>
      </c>
      <c r="I635" s="56">
        <v>0.0013735060292312563</v>
      </c>
      <c r="J635" s="56">
        <v>-1.781055886780797</v>
      </c>
      <c r="K635" s="50">
        <v>86300.40185080655</v>
      </c>
      <c r="L635" s="56">
        <v>-0.002144681172821964</v>
      </c>
      <c r="M635" s="56">
        <v>2.781055886780797</v>
      </c>
      <c r="N635" s="51">
        <v>4.884008573059484E-4</v>
      </c>
      <c r="O635" s="7">
        <v>-0.2794822126381227</v>
      </c>
      <c r="P635" s="52">
        <v>53.53447041549512</v>
      </c>
      <c r="Q635" s="34">
        <v>1485.472655242292</v>
      </c>
      <c r="R635" s="13">
        <v>5316.4349943289835</v>
      </c>
      <c r="S635" s="56">
        <v>-0.7065588170879158</v>
      </c>
      <c r="T635" s="52">
        <v>280235.69559610984</v>
      </c>
      <c r="U635" s="50">
        <v>31031.52376801148</v>
      </c>
      <c r="V635" s="50">
        <v>-266644.15105033456</v>
      </c>
    </row>
    <row r="636">
      <c r="A636" s="54">
        <v>45020.95996386574</v>
      </c>
      <c r="B636" s="47">
        <v>0.6191181854776138</v>
      </c>
      <c r="C636" s="7">
        <v>0.008228913822876271</v>
      </c>
      <c r="D636" s="48">
        <v>-0.8884471737878173</v>
      </c>
      <c r="E636" s="49">
        <v>20.96</v>
      </c>
      <c r="F636" s="7">
        <v>0.010273754381640687</v>
      </c>
      <c r="G636" s="48">
        <v>-0.6084765602923887</v>
      </c>
      <c r="H636" s="50">
        <v>-55304.221382969976</v>
      </c>
      <c r="I636" s="56">
        <v>-0.013704931590189795</v>
      </c>
      <c r="J636" s="56">
        <v>-1.7691076115468238</v>
      </c>
      <c r="K636" s="50">
        <v>86565.30523225294</v>
      </c>
      <c r="L636" s="56">
        <v>0.02145173653339325</v>
      </c>
      <c r="M636" s="56">
        <v>2.769107611546824</v>
      </c>
      <c r="N636" s="51">
        <v>-0.002044840558764416</v>
      </c>
      <c r="O636" s="7">
        <v>-0.2799706134954286</v>
      </c>
      <c r="P636" s="52">
        <v>53.53447041549512</v>
      </c>
      <c r="Q636" s="34">
        <v>1491.4639241070115</v>
      </c>
      <c r="R636" s="13">
        <v>5316.4349943289835</v>
      </c>
      <c r="S636" s="56">
        <v>-0.705375298147595</v>
      </c>
      <c r="T636" s="52">
        <v>280235.69559610984</v>
      </c>
      <c r="U636" s="50">
        <v>31261.083849282964</v>
      </c>
      <c r="V636" s="50">
        <v>-266414.5909690631</v>
      </c>
    </row>
    <row r="637">
      <c r="A637" s="54">
        <v>45019.95997611111</v>
      </c>
      <c r="B637" s="47">
        <v>0.5734477137606502</v>
      </c>
      <c r="C637" s="7">
        <v>-3.339827593329403E-4</v>
      </c>
      <c r="D637" s="48">
        <v>-0.8966760876106936</v>
      </c>
      <c r="E637" s="49">
        <v>20.41</v>
      </c>
      <c r="F637" s="7">
        <v>-3.735910684232735E-4</v>
      </c>
      <c r="G637" s="48">
        <v>-0.6187503146740294</v>
      </c>
      <c r="H637" s="50">
        <v>-55274.232215060474</v>
      </c>
      <c r="I637" s="56">
        <v>6.002091031233956E-4</v>
      </c>
      <c r="J637" s="56">
        <v>-1.9089670076419774</v>
      </c>
      <c r="K637" s="50">
        <v>84229.28067518925</v>
      </c>
      <c r="L637" s="56">
        <v>-9.146247534309379E-4</v>
      </c>
      <c r="M637" s="56">
        <v>2.9089670076419774</v>
      </c>
      <c r="N637" s="51">
        <v>3.9608309090333194E-5</v>
      </c>
      <c r="O637" s="7">
        <v>-0.2779257729366642</v>
      </c>
      <c r="P637" s="52">
        <v>53.53447041549512</v>
      </c>
      <c r="Q637" s="34">
        <v>1418.6696942738254</v>
      </c>
      <c r="R637" s="13">
        <v>5316.4349943289835</v>
      </c>
      <c r="S637" s="56">
        <v>-0.7197551151277604</v>
      </c>
      <c r="T637" s="52">
        <v>280235.69559610984</v>
      </c>
      <c r="U637" s="50">
        <v>28955.048460128775</v>
      </c>
      <c r="V637" s="50">
        <v>-268720.62635821727</v>
      </c>
    </row>
    <row r="638">
      <c r="A638" s="54">
        <v>45018.95995034723</v>
      </c>
      <c r="B638" s="47">
        <v>0.5753013180749479</v>
      </c>
      <c r="C638" s="7">
        <v>-0.009457033083059563</v>
      </c>
      <c r="D638" s="48">
        <v>-0.8963421048513607</v>
      </c>
      <c r="E638" s="49">
        <v>20.43</v>
      </c>
      <c r="F638" s="7">
        <v>-0.012141709723757055</v>
      </c>
      <c r="G638" s="48">
        <v>-0.6183767236056061</v>
      </c>
      <c r="H638" s="50">
        <v>-55239.11818340901</v>
      </c>
      <c r="I638" s="56">
        <v>0.016929959243676587</v>
      </c>
      <c r="J638" s="56">
        <v>-1.901607569673323</v>
      </c>
      <c r="K638" s="50">
        <v>84287.76053441655</v>
      </c>
      <c r="L638" s="56">
        <v>-0.025832931399274908</v>
      </c>
      <c r="M638" s="56">
        <v>2.901607569673323</v>
      </c>
      <c r="N638" s="51">
        <v>0.002684676640697492</v>
      </c>
      <c r="O638" s="7">
        <v>-0.27796538124575454</v>
      </c>
      <c r="P638" s="52">
        <v>53.53447041549512</v>
      </c>
      <c r="Q638" s="34">
        <v>1421.8620827708048</v>
      </c>
      <c r="R638" s="13">
        <v>5316.4349943289835</v>
      </c>
      <c r="S638" s="56">
        <v>-0.719124488738535</v>
      </c>
      <c r="T638" s="52">
        <v>280235.69559610984</v>
      </c>
      <c r="U638" s="50">
        <v>29048.64235100754</v>
      </c>
      <c r="V638" s="50">
        <v>-268627.0324673385</v>
      </c>
    </row>
    <row r="639">
      <c r="A639" s="54">
        <v>45017.95996287037</v>
      </c>
      <c r="B639" s="47">
        <v>0.627787851685929</v>
      </c>
      <c r="C639" s="7">
        <v>7.587483313001853E-4</v>
      </c>
      <c r="D639" s="48">
        <v>-0.8868850717683011</v>
      </c>
      <c r="E639" s="49">
        <v>21.08</v>
      </c>
      <c r="F639" s="7">
        <v>9.339776710581837E-4</v>
      </c>
      <c r="G639" s="48">
        <v>-0.6062350138818491</v>
      </c>
      <c r="H639" s="50">
        <v>-55247.674983440054</v>
      </c>
      <c r="I639" s="56">
        <v>-0.001244940180177947</v>
      </c>
      <c r="J639" s="56">
        <v>-1.7428926088737426</v>
      </c>
      <c r="K639" s="50">
        <v>86946.51557875425</v>
      </c>
      <c r="L639" s="56">
        <v>0.001959235584174426</v>
      </c>
      <c r="M639" s="56">
        <v>2.742892608873743</v>
      </c>
      <c r="N639" s="51">
        <v>-1.7522933975799848E-4</v>
      </c>
      <c r="O639" s="7">
        <v>-0.28065005788645203</v>
      </c>
      <c r="P639" s="52">
        <v>53.53447041549512</v>
      </c>
      <c r="Q639" s="34">
        <v>1503.7400661913755</v>
      </c>
      <c r="R639" s="13">
        <v>5316.4349943289835</v>
      </c>
      <c r="S639" s="56">
        <v>-0.7029502614819118</v>
      </c>
      <c r="T639" s="52">
        <v>280235.69559610984</v>
      </c>
      <c r="U639" s="50">
        <v>31698.840595314192</v>
      </c>
      <c r="V639" s="50">
        <v>-265976.8342230319</v>
      </c>
    </row>
    <row r="640">
      <c r="A640" s="54">
        <v>45016.95995700231</v>
      </c>
      <c r="B640" s="47">
        <v>0.623576798447213</v>
      </c>
      <c r="C640" s="7">
        <v>-0.006073654715003651</v>
      </c>
      <c r="D640" s="48">
        <v>-0.8876438200996013</v>
      </c>
      <c r="E640" s="49">
        <v>21.03</v>
      </c>
      <c r="F640" s="7">
        <v>-0.008032207971100824</v>
      </c>
      <c r="G640" s="48">
        <v>-0.6071689915529073</v>
      </c>
      <c r="H640" s="50">
        <v>-55231.840960212394</v>
      </c>
      <c r="I640" s="56">
        <v>0.010029962431571277</v>
      </c>
      <c r="J640" s="56">
        <v>-1.754159584476783</v>
      </c>
      <c r="K640" s="50">
        <v>86718.05318912229</v>
      </c>
      <c r="L640" s="56">
        <v>-0.015747778826573293</v>
      </c>
      <c r="M640" s="56">
        <v>2.754159584476783</v>
      </c>
      <c r="N640" s="51">
        <v>0.001958553256097173</v>
      </c>
      <c r="O640" s="7">
        <v>-0.28047482854669403</v>
      </c>
      <c r="P640" s="52">
        <v>53.53447041549512</v>
      </c>
      <c r="Q640" s="34">
        <v>1497.2045757921967</v>
      </c>
      <c r="R640" s="13">
        <v>5316.4349943289835</v>
      </c>
      <c r="S640" s="56">
        <v>-0.7042412862792229</v>
      </c>
      <c r="T640" s="52">
        <v>280235.69559610984</v>
      </c>
      <c r="U640" s="50">
        <v>31486.2122289099</v>
      </c>
      <c r="V640" s="50">
        <v>-266189.46258943615</v>
      </c>
    </row>
    <row r="641">
      <c r="A641" s="54">
        <v>45015.95996478009</v>
      </c>
      <c r="B641" s="47">
        <v>0.6572855821154833</v>
      </c>
      <c r="C641" s="7">
        <v>-8.946024209788295E-5</v>
      </c>
      <c r="D641" s="48">
        <v>-0.8815701653845976</v>
      </c>
      <c r="E641" s="49">
        <v>21.46</v>
      </c>
      <c r="F641" s="7">
        <v>0.0</v>
      </c>
      <c r="G641" s="48">
        <v>-0.5991367835818064</v>
      </c>
      <c r="H641" s="50">
        <v>-55272.80516657955</v>
      </c>
      <c r="I641" s="56">
        <v>1.4026105643714018E-4</v>
      </c>
      <c r="J641" s="56">
        <v>-1.665432094683216</v>
      </c>
      <c r="K641" s="50">
        <v>88461.07224935909</v>
      </c>
      <c r="L641" s="56">
        <v>-2.2448007496387237E-4</v>
      </c>
      <c r="M641" s="56">
        <v>2.665432094683216</v>
      </c>
      <c r="N641" s="51">
        <v>-8.946024209788295E-5</v>
      </c>
      <c r="O641" s="7">
        <v>-0.2824333818027912</v>
      </c>
      <c r="P641" s="52">
        <v>53.53447041549512</v>
      </c>
      <c r="Q641" s="34">
        <v>1546.5175714249551</v>
      </c>
      <c r="R641" s="13">
        <v>5316.4349943289835</v>
      </c>
      <c r="S641" s="56">
        <v>-0.694499966760248</v>
      </c>
      <c r="T641" s="52">
        <v>280235.69559610984</v>
      </c>
      <c r="U641" s="50">
        <v>33188.26708277954</v>
      </c>
      <c r="V641" s="50">
        <v>-264487.4077355665</v>
      </c>
    </row>
    <row r="642">
      <c r="A642" s="54">
        <v>45014.95996736111</v>
      </c>
      <c r="B642" s="47">
        <v>0.6577820864591261</v>
      </c>
      <c r="C642" s="7">
        <v>0.016978759999059956</v>
      </c>
      <c r="D642" s="48">
        <v>-0.8814807051424998</v>
      </c>
      <c r="E642" s="49">
        <v>21.46</v>
      </c>
      <c r="F642" s="7">
        <v>0.021481486434339336</v>
      </c>
      <c r="G642" s="48">
        <v>-0.5991367835818064</v>
      </c>
      <c r="H642" s="50">
        <v>-55229.46031555748</v>
      </c>
      <c r="I642" s="56">
        <v>-0.026579350436093795</v>
      </c>
      <c r="J642" s="56">
        <v>-1.6628699566012881</v>
      </c>
      <c r="K642" s="50">
        <v>88442.7973515095</v>
      </c>
      <c r="L642" s="56">
        <v>0.04256337271671692</v>
      </c>
      <c r="M642" s="56">
        <v>2.662869956601288</v>
      </c>
      <c r="N642" s="51">
        <v>-0.0045027264352793805</v>
      </c>
      <c r="O642" s="7">
        <v>-0.2823439215606933</v>
      </c>
      <c r="P642" s="52">
        <v>53.53447041549512</v>
      </c>
      <c r="Q642" s="34">
        <v>1547.685789186953</v>
      </c>
      <c r="R642" s="13">
        <v>5316.4349943289835</v>
      </c>
      <c r="S642" s="56">
        <v>-0.6942691963042792</v>
      </c>
      <c r="T642" s="52">
        <v>280235.69559610984</v>
      </c>
      <c r="U642" s="50">
        <v>33213.33703595201</v>
      </c>
      <c r="V642" s="50">
        <v>-264462.337782394</v>
      </c>
    </row>
    <row r="643">
      <c r="A643" s="54">
        <v>45013.9599902662</v>
      </c>
      <c r="B643" s="47">
        <v>0.5635499684643436</v>
      </c>
      <c r="C643" s="7">
        <v>-0.005036872477105936</v>
      </c>
      <c r="D643" s="48">
        <v>-0.8984594651415597</v>
      </c>
      <c r="E643" s="49">
        <v>20.31</v>
      </c>
      <c r="F643" s="7">
        <v>-0.0063510481631958715</v>
      </c>
      <c r="G643" s="48">
        <v>-0.6206182700161458</v>
      </c>
      <c r="H643" s="50">
        <v>-55226.28386793236</v>
      </c>
      <c r="I643" s="56">
        <v>0.00920288474283048</v>
      </c>
      <c r="J643" s="56">
        <v>-1.9408095501607692</v>
      </c>
      <c r="K643" s="50">
        <v>83681.56628518841</v>
      </c>
      <c r="L643" s="56">
        <v>-0.013944661050592437</v>
      </c>
      <c r="M643" s="56">
        <v>2.940809550160769</v>
      </c>
      <c r="N643" s="51">
        <v>0.0013141756860899356</v>
      </c>
      <c r="O643" s="7">
        <v>-0.27784119512541394</v>
      </c>
      <c r="P643" s="52">
        <v>53.53447041549512</v>
      </c>
      <c r="Q643" s="34">
        <v>1401.047878742297</v>
      </c>
      <c r="R643" s="13">
        <v>5316.4349943289835</v>
      </c>
      <c r="S643" s="56">
        <v>-0.7232361394174917</v>
      </c>
      <c r="T643" s="52">
        <v>280235.69559610984</v>
      </c>
      <c r="U643" s="50">
        <v>28455.28241725605</v>
      </c>
      <c r="V643" s="50">
        <v>-269220.39240109</v>
      </c>
    </row>
    <row r="644">
      <c r="A644" s="54">
        <v>45012.95997494213</v>
      </c>
      <c r="B644" s="47">
        <v>0.5915046107122817</v>
      </c>
      <c r="C644" s="7">
        <v>-0.0034496792642809693</v>
      </c>
      <c r="D644" s="48">
        <v>-0.8934225926644538</v>
      </c>
      <c r="E644" s="49">
        <v>20.65</v>
      </c>
      <c r="F644" s="7">
        <v>-0.004296297286867867</v>
      </c>
      <c r="G644" s="48">
        <v>-0.6142672218529499</v>
      </c>
      <c r="H644" s="50">
        <v>-55191.24485711109</v>
      </c>
      <c r="I644" s="56">
        <v>0.006001231913048028</v>
      </c>
      <c r="J644" s="56">
        <v>-1.8479132738442623</v>
      </c>
      <c r="K644" s="50">
        <v>85058.03873661783</v>
      </c>
      <c r="L644" s="56">
        <v>-0.009248804187131816</v>
      </c>
      <c r="M644" s="56">
        <v>2.8479132738442625</v>
      </c>
      <c r="N644" s="51">
        <v>8.46618022586898E-4</v>
      </c>
      <c r="O644" s="7">
        <v>-0.2791553708115039</v>
      </c>
      <c r="P644" s="52">
        <v>53.53447041549512</v>
      </c>
      <c r="Q644" s="34">
        <v>1446.3338440439104</v>
      </c>
      <c r="R644" s="13">
        <v>5316.4349943289835</v>
      </c>
      <c r="S644" s="56">
        <v>-0.7142903219495468</v>
      </c>
      <c r="T644" s="52">
        <v>280235.69559610984</v>
      </c>
      <c r="U644" s="50">
        <v>29866.793879506746</v>
      </c>
      <c r="V644" s="50">
        <v>-267808.8809388393</v>
      </c>
    </row>
    <row r="645">
      <c r="A645" s="54">
        <v>45011.959961388886</v>
      </c>
      <c r="B645" s="47">
        <v>0.610650330629041</v>
      </c>
      <c r="C645" s="7">
        <v>0.006284816054647369</v>
      </c>
      <c r="D645" s="48">
        <v>-0.8899729134001728</v>
      </c>
      <c r="E645" s="49">
        <v>20.88</v>
      </c>
      <c r="F645" s="7">
        <v>0.0070982303000424185</v>
      </c>
      <c r="G645" s="48">
        <v>-0.609970924566082</v>
      </c>
      <c r="H645" s="50">
        <v>-55149.783418723804</v>
      </c>
      <c r="I645" s="56">
        <v>-0.010582625369398392</v>
      </c>
      <c r="J645" s="56">
        <v>-1.7886309613825244</v>
      </c>
      <c r="K645" s="50">
        <v>85983.3005664398</v>
      </c>
      <c r="L645" s="56">
        <v>0.016499231756005133</v>
      </c>
      <c r="M645" s="56">
        <v>2.7886309613825246</v>
      </c>
      <c r="N645" s="51">
        <v>-8.134142453950499E-4</v>
      </c>
      <c r="O645" s="7">
        <v>-0.2800019888340908</v>
      </c>
      <c r="P645" s="52">
        <v>53.53447041549512</v>
      </c>
      <c r="Q645" s="34">
        <v>1476.701012821647</v>
      </c>
      <c r="R645" s="13">
        <v>5316.4349943289835</v>
      </c>
      <c r="S645" s="56">
        <v>-0.7082915727323311</v>
      </c>
      <c r="T645" s="52">
        <v>280235.69559610984</v>
      </c>
      <c r="U645" s="50">
        <v>30833.51714771599</v>
      </c>
      <c r="V645" s="50">
        <v>-266842.15767063</v>
      </c>
    </row>
    <row r="646">
      <c r="A646" s="54">
        <v>45010.95996357639</v>
      </c>
      <c r="B646" s="47">
        <v>0.5757696015257479</v>
      </c>
      <c r="C646" s="7">
        <v>-0.0029068643056264776</v>
      </c>
      <c r="D646" s="48">
        <v>-0.8962577294548202</v>
      </c>
      <c r="E646" s="49">
        <v>20.5</v>
      </c>
      <c r="F646" s="7">
        <v>-0.003735910684232846</v>
      </c>
      <c r="G646" s="48">
        <v>-0.6170691548661245</v>
      </c>
      <c r="H646" s="50">
        <v>-55283.956916310184</v>
      </c>
      <c r="I646" s="56">
        <v>0.005203850162810603</v>
      </c>
      <c r="J646" s="56">
        <v>-1.9016032778139884</v>
      </c>
      <c r="K646" s="50">
        <v>84356.24426525846</v>
      </c>
      <c r="L646" s="56">
        <v>-0.0079404094775341</v>
      </c>
      <c r="M646" s="56">
        <v>2.9016032778139884</v>
      </c>
      <c r="N646" s="51">
        <v>8.290463786063684E-4</v>
      </c>
      <c r="O646" s="7">
        <v>-0.2791885745886957</v>
      </c>
      <c r="P646" s="52">
        <v>53.53447041549512</v>
      </c>
      <c r="Q646" s="34">
        <v>1418.1603584852817</v>
      </c>
      <c r="R646" s="13">
        <v>5316.4349943289835</v>
      </c>
      <c r="S646" s="56">
        <v>-0.7198557296330238</v>
      </c>
      <c r="T646" s="52">
        <v>280235.69559610984</v>
      </c>
      <c r="U646" s="50">
        <v>29072.287348948274</v>
      </c>
      <c r="V646" s="50">
        <v>-268603.38746939774</v>
      </c>
    </row>
    <row r="647">
      <c r="A647" s="54">
        <v>45009.95996847222</v>
      </c>
      <c r="B647" s="47">
        <v>0.5919026984219751</v>
      </c>
      <c r="C647" s="7">
        <v>-0.02154312012230264</v>
      </c>
      <c r="D647" s="48">
        <v>-0.8933508651491937</v>
      </c>
      <c r="E647" s="49">
        <v>20.7</v>
      </c>
      <c r="F647" s="7">
        <v>-0.027645739063323682</v>
      </c>
      <c r="G647" s="48">
        <v>-0.6133332441818916</v>
      </c>
      <c r="H647" s="50">
        <v>-55270.448968209705</v>
      </c>
      <c r="I647" s="56">
        <v>0.03750601404108062</v>
      </c>
      <c r="J647" s="56">
        <v>-1.8493205771971544</v>
      </c>
      <c r="K647" s="50">
        <v>85157.34345784874</v>
      </c>
      <c r="L647" s="56">
        <v>-0.057786983443327285</v>
      </c>
      <c r="M647" s="56">
        <v>2.849320577197154</v>
      </c>
      <c r="N647" s="51">
        <v>0.006102618941021043</v>
      </c>
      <c r="O647" s="7">
        <v>-0.2800176209673021</v>
      </c>
      <c r="P647" s="52">
        <v>53.53447041549512</v>
      </c>
      <c r="Q647" s="34">
        <v>1443.8113280018856</v>
      </c>
      <c r="R647" s="13">
        <v>5316.4349943289835</v>
      </c>
      <c r="S647" s="56">
        <v>-0.7147886213215845</v>
      </c>
      <c r="T647" s="52">
        <v>280235.69559610984</v>
      </c>
      <c r="U647" s="50">
        <v>29886.89448963903</v>
      </c>
      <c r="V647" s="50">
        <v>-267788.780328707</v>
      </c>
    </row>
    <row r="648">
      <c r="A648" s="54">
        <v>45008.9599784375</v>
      </c>
      <c r="B648" s="47">
        <v>0.7114670151007544</v>
      </c>
      <c r="C648" s="7">
        <v>0.00847407388150967</v>
      </c>
      <c r="D648" s="48">
        <v>-0.8718077450268911</v>
      </c>
      <c r="E648" s="49">
        <v>22.18</v>
      </c>
      <c r="F648" s="7">
        <v>0.011020936518487123</v>
      </c>
      <c r="G648" s="48">
        <v>-0.5856875051185679</v>
      </c>
      <c r="H648" s="50">
        <v>-55368.265839980166</v>
      </c>
      <c r="I648" s="56">
        <v>-0.01229555207774955</v>
      </c>
      <c r="J648" s="56">
        <v>-1.5412591954974395</v>
      </c>
      <c r="K648" s="50">
        <v>91292.31158240321</v>
      </c>
      <c r="L648" s="56">
        <v>0.02027315384237758</v>
      </c>
      <c r="M648" s="56">
        <v>2.5412591954974397</v>
      </c>
      <c r="N648" s="51">
        <v>-0.002546862636977454</v>
      </c>
      <c r="O648" s="7">
        <v>-0.28612023990832314</v>
      </c>
      <c r="P648" s="52">
        <v>53.53447041549512</v>
      </c>
      <c r="Q648" s="34">
        <v>1619.659411290489</v>
      </c>
      <c r="R648" s="13">
        <v>5316.4349943289835</v>
      </c>
      <c r="S648" s="56">
        <v>-0.6800514826802717</v>
      </c>
      <c r="T648" s="52">
        <v>280235.69559610984</v>
      </c>
      <c r="U648" s="50">
        <v>35924.04574242305</v>
      </c>
      <c r="V648" s="50">
        <v>-261751.629075923</v>
      </c>
    </row>
    <row r="649">
      <c r="A649" s="54">
        <v>45007.95997173611</v>
      </c>
      <c r="B649" s="47">
        <v>0.6644359050583758</v>
      </c>
      <c r="C649" s="7">
        <v>-0.028834075799945458</v>
      </c>
      <c r="D649" s="48">
        <v>-0.8802818189084007</v>
      </c>
      <c r="E649" s="49">
        <v>21.59</v>
      </c>
      <c r="F649" s="7">
        <v>-0.03679872023969433</v>
      </c>
      <c r="G649" s="48">
        <v>-0.596708441637055</v>
      </c>
      <c r="H649" s="50">
        <v>-55293.60761253371</v>
      </c>
      <c r="I649" s="56">
        <v>0.04473809685167244</v>
      </c>
      <c r="J649" s="56">
        <v>-1.6481296132384966</v>
      </c>
      <c r="K649" s="50">
        <v>88842.91536623907</v>
      </c>
      <c r="L649" s="56">
        <v>-0.07188286537734938</v>
      </c>
      <c r="M649" s="56">
        <v>2.648129613238497</v>
      </c>
      <c r="N649" s="51">
        <v>0.00796464443974887</v>
      </c>
      <c r="O649" s="7">
        <v>-0.2835733772713457</v>
      </c>
      <c r="P649" s="52">
        <v>53.53447041549512</v>
      </c>
      <c r="Q649" s="34">
        <v>1553.9281034601836</v>
      </c>
      <c r="R649" s="13">
        <v>5316.4349943289835</v>
      </c>
      <c r="S649" s="56">
        <v>-0.6930360856993943</v>
      </c>
      <c r="T649" s="52">
        <v>280235.69559610984</v>
      </c>
      <c r="U649" s="50">
        <v>33549.30775370536</v>
      </c>
      <c r="V649" s="50">
        <v>-264126.3670646407</v>
      </c>
    </row>
    <row r="650">
      <c r="A650" s="54">
        <v>45006.95997930555</v>
      </c>
      <c r="B650" s="47">
        <v>0.8244650257480733</v>
      </c>
      <c r="C650" s="7">
        <v>-3.550862137469135E-5</v>
      </c>
      <c r="D650" s="48">
        <v>-0.8514477431084553</v>
      </c>
      <c r="E650" s="49">
        <v>23.56</v>
      </c>
      <c r="F650" s="7">
        <v>0.0</v>
      </c>
      <c r="G650" s="48">
        <v>-0.5599097213973607</v>
      </c>
      <c r="H650" s="50">
        <v>-55276.30576531892</v>
      </c>
      <c r="I650" s="56">
        <v>4.4386430450528606E-5</v>
      </c>
      <c r="J650" s="56">
        <v>-1.327811123756981</v>
      </c>
      <c r="K650" s="50">
        <v>96905.95080769296</v>
      </c>
      <c r="L650" s="56">
        <v>-7.781470172825313E-5</v>
      </c>
      <c r="M650" s="56">
        <v>2.327811123756981</v>
      </c>
      <c r="N650" s="51">
        <v>-3.550862137469135E-5</v>
      </c>
      <c r="O650" s="7">
        <v>-0.29153802171109455</v>
      </c>
      <c r="P650" s="52">
        <v>53.53447041549512</v>
      </c>
      <c r="Q650" s="34">
        <v>1766.9628625795438</v>
      </c>
      <c r="R650" s="13">
        <v>5316.4349943289835</v>
      </c>
      <c r="S650" s="56">
        <v>-0.6509530682188877</v>
      </c>
      <c r="T650" s="52">
        <v>280235.69559610984</v>
      </c>
      <c r="U650" s="50">
        <v>41629.645042374046</v>
      </c>
      <c r="V650" s="50">
        <v>-256046.029775972</v>
      </c>
    </row>
    <row r="651">
      <c r="A651" s="54">
        <v>45005.959962291665</v>
      </c>
      <c r="B651" s="47">
        <v>0.8246620985967026</v>
      </c>
      <c r="C651" s="7">
        <v>0.02300608849628638</v>
      </c>
      <c r="D651" s="48">
        <v>-0.8514122344870806</v>
      </c>
      <c r="E651" s="49">
        <v>23.56</v>
      </c>
      <c r="F651" s="7">
        <v>0.029326898871228524</v>
      </c>
      <c r="G651" s="48">
        <v>-0.5599097213973607</v>
      </c>
      <c r="H651" s="50">
        <v>-55241.323813433606</v>
      </c>
      <c r="I651" s="56">
        <v>-0.028732966399734647</v>
      </c>
      <c r="J651" s="56">
        <v>-1.3266536986771535</v>
      </c>
      <c r="K651" s="50">
        <v>96880.91963901823</v>
      </c>
      <c r="L651" s="56">
        <v>0.050391192980179224</v>
      </c>
      <c r="M651" s="56">
        <v>2.3266536986771533</v>
      </c>
      <c r="N651" s="51">
        <v>-0.006320810374942143</v>
      </c>
      <c r="O651" s="7">
        <v>-0.29150251308971986</v>
      </c>
      <c r="P651" s="52">
        <v>53.53447041549512</v>
      </c>
      <c r="Q651" s="34">
        <v>1767.3852217990081</v>
      </c>
      <c r="R651" s="13">
        <v>5316.4349943289835</v>
      </c>
      <c r="S651" s="56">
        <v>-0.650869635118631</v>
      </c>
      <c r="T651" s="52">
        <v>280235.69559610984</v>
      </c>
      <c r="U651" s="50">
        <v>41639.59582558463</v>
      </c>
      <c r="V651" s="50">
        <v>-256036.0789927614</v>
      </c>
    </row>
    <row r="652">
      <c r="A652" s="54">
        <v>45004.959970254626</v>
      </c>
      <c r="B652" s="47">
        <v>0.6969783074423131</v>
      </c>
      <c r="C652" s="7">
        <v>2.0172586512334778E-4</v>
      </c>
      <c r="D652" s="48">
        <v>-0.874418322983367</v>
      </c>
      <c r="E652" s="49">
        <v>21.99</v>
      </c>
      <c r="F652" s="7">
        <v>0.0</v>
      </c>
      <c r="G652" s="48">
        <v>-0.5892366202685893</v>
      </c>
      <c r="H652" s="50">
        <v>-55223.49488006733</v>
      </c>
      <c r="I652" s="56">
        <v>-2.97999715522547E-4</v>
      </c>
      <c r="J652" s="56">
        <v>-1.569185028976707</v>
      </c>
      <c r="K652" s="50">
        <v>90415.96349294948</v>
      </c>
      <c r="L652" s="56">
        <v>4.879070304788195E-4</v>
      </c>
      <c r="M652" s="56">
        <v>2.5691850289767073</v>
      </c>
      <c r="N652" s="51">
        <v>2.0172586512334778E-4</v>
      </c>
      <c r="O652" s="7">
        <v>-0.2851817027147777</v>
      </c>
      <c r="P652" s="52">
        <v>53.53447041549512</v>
      </c>
      <c r="Q652" s="34">
        <v>1600.385112000098</v>
      </c>
      <c r="R652" s="13">
        <v>5316.4349943289835</v>
      </c>
      <c r="S652" s="56">
        <v>-0.683858939629152</v>
      </c>
      <c r="T652" s="52">
        <v>280235.69559610984</v>
      </c>
      <c r="U652" s="50">
        <v>35192.46861288215</v>
      </c>
      <c r="V652" s="50">
        <v>-262483.2062054639</v>
      </c>
    </row>
    <row r="653">
      <c r="A653" s="54">
        <v>45003.959965138885</v>
      </c>
      <c r="B653" s="47">
        <v>0.6958587288908791</v>
      </c>
      <c r="C653" s="7">
        <v>0.001969805698207927</v>
      </c>
      <c r="D653" s="48">
        <v>-0.8746200488484903</v>
      </c>
      <c r="E653" s="49">
        <v>21.99</v>
      </c>
      <c r="F653" s="7">
        <v>0.0</v>
      </c>
      <c r="G653" s="48">
        <v>-0.5892366202685893</v>
      </c>
      <c r="H653" s="50">
        <v>-55236.071265183404</v>
      </c>
      <c r="I653" s="56">
        <v>-0.002915242774196409</v>
      </c>
      <c r="J653" s="56">
        <v>-1.5720676516644831</v>
      </c>
      <c r="K653" s="50">
        <v>90372.00908993301</v>
      </c>
      <c r="L653" s="56">
        <v>0.0047696431055751455</v>
      </c>
      <c r="M653" s="56">
        <v>2.5720676516644834</v>
      </c>
      <c r="N653" s="51">
        <v>0.001969805698207927</v>
      </c>
      <c r="O653" s="7">
        <v>-0.28538342857990107</v>
      </c>
      <c r="P653" s="52">
        <v>53.53447041549512</v>
      </c>
      <c r="Q653" s="34">
        <v>1597.814362198709</v>
      </c>
      <c r="R653" s="13">
        <v>5316.4349943289835</v>
      </c>
      <c r="S653" s="56">
        <v>-0.6843667671277117</v>
      </c>
      <c r="T653" s="52">
        <v>280235.69559610984</v>
      </c>
      <c r="U653" s="50">
        <v>35135.937824749606</v>
      </c>
      <c r="V653" s="50">
        <v>-262539.7369935964</v>
      </c>
    </row>
    <row r="654">
      <c r="A654" s="54">
        <v>45002.9599852199</v>
      </c>
      <c r="B654" s="47">
        <v>0.6849263072658246</v>
      </c>
      <c r="C654" s="7">
        <v>2.1004576054139967E-5</v>
      </c>
      <c r="D654" s="48">
        <v>-0.8765898545466982</v>
      </c>
      <c r="E654" s="49">
        <v>21.99</v>
      </c>
      <c r="F654" s="7">
        <v>0.0</v>
      </c>
      <c r="G654" s="48">
        <v>-0.5892366202685893</v>
      </c>
      <c r="H654" s="50">
        <v>-55762.75813428626</v>
      </c>
      <c r="I654" s="56">
        <v>-3.1883350688078924E-5</v>
      </c>
      <c r="J654" s="56">
        <v>-1.61238937946234</v>
      </c>
      <c r="K654" s="50">
        <v>90346.68608900937</v>
      </c>
      <c r="L654" s="56">
        <v>5.165732780191392E-5</v>
      </c>
      <c r="M654" s="56">
        <v>2.61238937946234</v>
      </c>
      <c r="N654" s="51">
        <v>2.1004576054139967E-5</v>
      </c>
      <c r="O654" s="7">
        <v>-0.287353234278109</v>
      </c>
      <c r="P654" s="52">
        <v>53.53447041549512</v>
      </c>
      <c r="Q654" s="34">
        <v>1572.7115941211055</v>
      </c>
      <c r="R654" s="13">
        <v>5316.4349943289835</v>
      </c>
      <c r="S654" s="56">
        <v>-0.689325583389367</v>
      </c>
      <c r="T654" s="52">
        <v>280235.69559610984</v>
      </c>
      <c r="U654" s="50">
        <v>34583.927954723105</v>
      </c>
      <c r="V654" s="50">
        <v>-263091.7468636229</v>
      </c>
    </row>
    <row r="655">
      <c r="A655" s="54">
        <v>45001.95996613426</v>
      </c>
      <c r="B655" s="47">
        <v>0.6848097318687245</v>
      </c>
      <c r="C655" s="7">
        <v>-4.353798840739387E-5</v>
      </c>
      <c r="D655" s="48">
        <v>-0.8766108591227524</v>
      </c>
      <c r="E655" s="49">
        <v>21.99</v>
      </c>
      <c r="F655" s="7">
        <v>0.013503410047786213</v>
      </c>
      <c r="G655" s="48">
        <v>-0.5892366202685893</v>
      </c>
      <c r="H655" s="50">
        <v>-55743.29968790367</v>
      </c>
      <c r="I655" s="56">
        <v>6.607554365606038E-5</v>
      </c>
      <c r="J655" s="56">
        <v>-1.6121011170867277</v>
      </c>
      <c r="K655" s="50">
        <v>90321.34141064556</v>
      </c>
      <c r="L655" s="56">
        <v>-1.0706276397104119E-4</v>
      </c>
      <c r="M655" s="56">
        <v>2.6121011170867274</v>
      </c>
      <c r="N655" s="51">
        <v>-0.013546948036193607</v>
      </c>
      <c r="O655" s="7">
        <v>-0.28737423885416313</v>
      </c>
      <c r="P655" s="52">
        <v>53.53447041549512</v>
      </c>
      <c r="Q655" s="34">
        <v>1572.4439164502905</v>
      </c>
      <c r="R655" s="13">
        <v>5316.4349943289835</v>
      </c>
      <c r="S655" s="56">
        <v>-0.6893784606012672</v>
      </c>
      <c r="T655" s="52">
        <v>280235.69559610984</v>
      </c>
      <c r="U655" s="50">
        <v>34578.04172274189</v>
      </c>
      <c r="V655" s="50">
        <v>-263097.63309560413</v>
      </c>
    </row>
    <row r="656">
      <c r="A656" s="54">
        <v>45000.959972488425</v>
      </c>
      <c r="B656" s="47">
        <v>0.6850513677043853</v>
      </c>
      <c r="C656" s="7">
        <v>4.6352132774285515E-4</v>
      </c>
      <c r="D656" s="48">
        <v>-0.876567321134345</v>
      </c>
      <c r="E656" s="49">
        <v>21.99</v>
      </c>
      <c r="F656" s="7">
        <v>0.0</v>
      </c>
      <c r="G656" s="48">
        <v>-0.6027400303163755</v>
      </c>
      <c r="H656" s="50">
        <v>-55705.95054872154</v>
      </c>
      <c r="I656" s="56">
        <v>-7.02745073522676E-4</v>
      </c>
      <c r="J656" s="56">
        <v>-1.610452726763094</v>
      </c>
      <c r="K656" s="50">
        <v>90296.19316992963</v>
      </c>
      <c r="L656" s="56">
        <v>0.0011391099924328684</v>
      </c>
      <c r="M656" s="56">
        <v>2.6104527267630937</v>
      </c>
      <c r="N656" s="51">
        <v>4.6352132774285515E-4</v>
      </c>
      <c r="O656" s="7">
        <v>-0.2738272908179695</v>
      </c>
      <c r="P656" s="52">
        <v>55.354180330609964</v>
      </c>
      <c r="Q656" s="34">
        <v>1572.9987549435236</v>
      </c>
      <c r="R656" s="13">
        <v>5027.132102570184</v>
      </c>
      <c r="S656" s="56">
        <v>-0.6892688574637036</v>
      </c>
      <c r="T656" s="52">
        <v>280235.69559610984</v>
      </c>
      <c r="U656" s="50">
        <v>34590.24262120808</v>
      </c>
      <c r="V656" s="50">
        <v>-263085.43219713797</v>
      </c>
    </row>
    <row r="657">
      <c r="A657" s="54">
        <v>44999.95998591435</v>
      </c>
      <c r="B657" s="47">
        <v>0.6824788243354123</v>
      </c>
      <c r="C657" s="7">
        <v>0.020850537570104022</v>
      </c>
      <c r="D657" s="48">
        <v>-0.8770308424620878</v>
      </c>
      <c r="E657" s="49">
        <v>21.99</v>
      </c>
      <c r="F657" s="7">
        <v>0.025652985764017533</v>
      </c>
      <c r="G657" s="48">
        <v>-0.6027400303163755</v>
      </c>
      <c r="H657" s="50">
        <v>-55829.3477450615</v>
      </c>
      <c r="I657" s="56">
        <v>-0.03180096259176037</v>
      </c>
      <c r="J657" s="56">
        <v>-1.6201040313907107</v>
      </c>
      <c r="K657" s="50">
        <v>90289.69514456592</v>
      </c>
      <c r="L657" s="56">
        <v>0.05142992590250663</v>
      </c>
      <c r="M657" s="56">
        <v>2.620104031390711</v>
      </c>
      <c r="N657" s="51">
        <v>-0.004802448193913511</v>
      </c>
      <c r="O657" s="7">
        <v>-0.2742908121457124</v>
      </c>
      <c r="P657" s="52">
        <v>55.354180330609964</v>
      </c>
      <c r="Q657" s="34">
        <v>1567.0917416782365</v>
      </c>
      <c r="R657" s="13">
        <v>5027.132102570184</v>
      </c>
      <c r="S657" s="56">
        <v>-0.6904357325010366</v>
      </c>
      <c r="T657" s="52">
        <v>280235.69559610984</v>
      </c>
      <c r="U657" s="50">
        <v>34460.34739950442</v>
      </c>
      <c r="V657" s="50">
        <v>-263215.32741884165</v>
      </c>
    </row>
    <row r="658">
      <c r="A658" s="54">
        <v>44998.96000274306</v>
      </c>
      <c r="B658" s="47">
        <v>0.5667583408213348</v>
      </c>
      <c r="C658" s="7">
        <v>0.002695152229069131</v>
      </c>
      <c r="D658" s="48">
        <v>-0.8978813800321919</v>
      </c>
      <c r="E658" s="49">
        <v>20.57</v>
      </c>
      <c r="F658" s="7">
        <v>0.009213396295527532</v>
      </c>
      <c r="G658" s="48">
        <v>-0.628393016080393</v>
      </c>
      <c r="H658" s="50">
        <v>-55817.816265200796</v>
      </c>
      <c r="I658" s="56">
        <v>-0.004948890653543949</v>
      </c>
      <c r="J658" s="56">
        <v>-1.9504932470514451</v>
      </c>
      <c r="K658" s="50">
        <v>84435.09876519429</v>
      </c>
      <c r="L658" s="56">
        <v>0.007486141505873313</v>
      </c>
      <c r="M658" s="56">
        <v>2.950493247051445</v>
      </c>
      <c r="N658" s="51">
        <v>-0.006518244066458401</v>
      </c>
      <c r="O658" s="7">
        <v>-0.26948836395179887</v>
      </c>
      <c r="P658" s="52">
        <v>55.354180330609964</v>
      </c>
      <c r="Q658" s="34">
        <v>1391.214511424088</v>
      </c>
      <c r="R658" s="13">
        <v>5027.132102570184</v>
      </c>
      <c r="S658" s="56">
        <v>-0.7251786288518688</v>
      </c>
      <c r="T658" s="52">
        <v>280235.69559610984</v>
      </c>
      <c r="U658" s="50">
        <v>28617.28249999349</v>
      </c>
      <c r="V658" s="50">
        <v>-269058.39231835253</v>
      </c>
    </row>
    <row r="659">
      <c r="A659" s="54">
        <v>44997.959963726855</v>
      </c>
      <c r="B659" s="47">
        <v>0.5518002459500017</v>
      </c>
      <c r="C659" s="7">
        <v>0.029129905275800394</v>
      </c>
      <c r="D659" s="48">
        <v>-0.900576532261261</v>
      </c>
      <c r="E659" s="49">
        <v>20.06</v>
      </c>
      <c r="F659" s="7">
        <v>0.034866382059545065</v>
      </c>
      <c r="G659" s="48">
        <v>-0.6376064123759205</v>
      </c>
      <c r="H659" s="50">
        <v>-53755.53604175483</v>
      </c>
      <c r="I659" s="56">
        <v>-0.05290905636074004</v>
      </c>
      <c r="J659" s="56">
        <v>-1.929349188461452</v>
      </c>
      <c r="K659" s="50">
        <v>81617.54068209775</v>
      </c>
      <c r="L659" s="56">
        <v>0.080332322546646</v>
      </c>
      <c r="M659" s="56">
        <v>2.929349188461452</v>
      </c>
      <c r="N659" s="51">
        <v>-0.005736476783744671</v>
      </c>
      <c r="O659" s="7">
        <v>-0.26297011988534047</v>
      </c>
      <c r="P659" s="52">
        <v>55.354180330609964</v>
      </c>
      <c r="Q659" s="34">
        <v>1388.9334317219802</v>
      </c>
      <c r="R659" s="13">
        <v>5027.132102570184</v>
      </c>
      <c r="S659" s="56">
        <v>-0.7256292347406686</v>
      </c>
      <c r="T659" s="52">
        <v>280235.69559610984</v>
      </c>
      <c r="U659" s="50">
        <v>27862.004640342922</v>
      </c>
      <c r="V659" s="50">
        <v>-269813.67017800314</v>
      </c>
    </row>
    <row r="660">
      <c r="A660" s="54">
        <v>44996.95996506944</v>
      </c>
      <c r="B660" s="47">
        <v>0.3901292716693095</v>
      </c>
      <c r="C660" s="7">
        <v>0.004333321227594222</v>
      </c>
      <c r="D660" s="48">
        <v>-0.9297064375370614</v>
      </c>
      <c r="E660" s="49">
        <v>18.13</v>
      </c>
      <c r="F660" s="7">
        <v>0.0032517869278332334</v>
      </c>
      <c r="G660" s="48">
        <v>-0.6724727944354656</v>
      </c>
      <c r="H660" s="50">
        <v>-54462.96978210416</v>
      </c>
      <c r="I660" s="56">
        <v>-0.01127881057212708</v>
      </c>
      <c r="J660" s="56">
        <v>-2.764791028858054</v>
      </c>
      <c r="K660" s="50">
        <v>74161.73515483437</v>
      </c>
      <c r="L660" s="56">
        <v>0.015358254716151805</v>
      </c>
      <c r="M660" s="56">
        <v>3.764791028858054</v>
      </c>
      <c r="N660" s="51">
        <v>0.001081534299760989</v>
      </c>
      <c r="O660" s="7">
        <v>-0.2572336431015958</v>
      </c>
      <c r="P660" s="52">
        <v>55.354180330609964</v>
      </c>
      <c r="Q660" s="34">
        <v>1086.5287023017215</v>
      </c>
      <c r="R660" s="13">
        <v>5027.132102570184</v>
      </c>
      <c r="S660" s="56">
        <v>-0.7853664511789044</v>
      </c>
      <c r="T660" s="52">
        <v>280235.69559610984</v>
      </c>
      <c r="U660" s="50">
        <v>19698.76537273021</v>
      </c>
      <c r="V660" s="50">
        <v>-277976.90944561583</v>
      </c>
    </row>
    <row r="661">
      <c r="A661" s="54">
        <v>44995.95997106482</v>
      </c>
      <c r="B661" s="47">
        <v>0.3660793388561611</v>
      </c>
      <c r="C661" s="7">
        <v>0.01049544866441443</v>
      </c>
      <c r="D661" s="48">
        <v>-0.9340397587646556</v>
      </c>
      <c r="E661" s="49">
        <v>17.95</v>
      </c>
      <c r="F661" s="7">
        <v>0.013368457369980824</v>
      </c>
      <c r="G661" s="48">
        <v>-0.6757245813632988</v>
      </c>
      <c r="H661" s="50">
        <v>-54490.892633038005</v>
      </c>
      <c r="I661" s="56">
        <v>-0.02912724097916765</v>
      </c>
      <c r="J661" s="56">
        <v>-2.94793723969847</v>
      </c>
      <c r="K661" s="50">
        <v>72975.30671731193</v>
      </c>
      <c r="L661" s="56">
        <v>0.039007790872470985</v>
      </c>
      <c r="M661" s="56">
        <v>3.94793723969847</v>
      </c>
      <c r="N661" s="51">
        <v>-0.0028730087055663933</v>
      </c>
      <c r="O661" s="7">
        <v>-0.2583151774013568</v>
      </c>
      <c r="P661" s="52">
        <v>55.354180330609964</v>
      </c>
      <c r="Q661" s="34">
        <v>1029.7723723829488</v>
      </c>
      <c r="R661" s="13">
        <v>5027.132102570184</v>
      </c>
      <c r="S661" s="56">
        <v>-0.7965781315355493</v>
      </c>
      <c r="T661" s="52">
        <v>280235.69559610984</v>
      </c>
      <c r="U661" s="50">
        <v>18484.41408427393</v>
      </c>
      <c r="V661" s="50">
        <v>-279191.26073407213</v>
      </c>
    </row>
    <row r="662">
      <c r="A662" s="54">
        <v>44994.959981782406</v>
      </c>
      <c r="B662" s="47">
        <v>0.30782959876866145</v>
      </c>
      <c r="C662" s="7">
        <v>-0.016973230728915434</v>
      </c>
      <c r="D662" s="48">
        <v>-0.94453520742907</v>
      </c>
      <c r="E662" s="49">
        <v>17.21</v>
      </c>
      <c r="F662" s="7">
        <v>-0.021136615030915795</v>
      </c>
      <c r="G662" s="48">
        <v>-0.6890930387332797</v>
      </c>
      <c r="H662" s="50">
        <v>-54411.969347536375</v>
      </c>
      <c r="I662" s="56">
        <v>0.055936877513163216</v>
      </c>
      <c r="J662" s="56">
        <v>-3.5006895486226424</v>
      </c>
      <c r="K662" s="50">
        <v>69955.18407474489</v>
      </c>
      <c r="L662" s="56">
        <v>-0.07191569446800337</v>
      </c>
      <c r="M662" s="56">
        <v>4.500689548622642</v>
      </c>
      <c r="N662" s="51">
        <v>0.004163384302000361</v>
      </c>
      <c r="O662" s="7">
        <v>-0.2554421686957904</v>
      </c>
      <c r="P662" s="52">
        <v>55.354180330609964</v>
      </c>
      <c r="Q662" s="34">
        <v>903.150187519379</v>
      </c>
      <c r="R662" s="13">
        <v>5027.132102570184</v>
      </c>
      <c r="S662" s="56">
        <v>-0.8215911558939264</v>
      </c>
      <c r="T662" s="52">
        <v>280235.69559610984</v>
      </c>
      <c r="U662" s="50">
        <v>15543.214727208513</v>
      </c>
      <c r="V662" s="50">
        <v>-282132.46009113756</v>
      </c>
    </row>
    <row r="663">
      <c r="A663" s="54">
        <v>44993.95997622685</v>
      </c>
      <c r="B663" s="47">
        <v>0.40203102931414203</v>
      </c>
      <c r="C663" s="7">
        <v>-0.02352371189087754</v>
      </c>
      <c r="D663" s="48">
        <v>-0.9275619767001546</v>
      </c>
      <c r="E663" s="49">
        <v>18.38</v>
      </c>
      <c r="F663" s="7">
        <v>-0.029627392009147102</v>
      </c>
      <c r="G663" s="48">
        <v>-0.6679564237023639</v>
      </c>
      <c r="H663" s="50">
        <v>-54383.77530700299</v>
      </c>
      <c r="I663" s="56">
        <v>0.05932875939864959</v>
      </c>
      <c r="J663" s="56">
        <v>-2.6790406821764376</v>
      </c>
      <c r="K663" s="50">
        <v>74683.49515404238</v>
      </c>
      <c r="L663" s="56">
        <v>-0.0814742832771639</v>
      </c>
      <c r="M663" s="56">
        <v>3.6790406821764376</v>
      </c>
      <c r="N663" s="51">
        <v>0.006103680118269561</v>
      </c>
      <c r="O663" s="7">
        <v>-0.25960555299779076</v>
      </c>
      <c r="P663" s="52">
        <v>55.354180330609964</v>
      </c>
      <c r="Q663" s="34">
        <v>1104.4461287834272</v>
      </c>
      <c r="R663" s="13">
        <v>5027.132102570184</v>
      </c>
      <c r="S663" s="56">
        <v>-0.7818270317200692</v>
      </c>
      <c r="T663" s="52">
        <v>280235.69559610984</v>
      </c>
      <c r="U663" s="50">
        <v>20299.719847039392</v>
      </c>
      <c r="V663" s="50">
        <v>-277375.95497130667</v>
      </c>
    </row>
    <row r="664">
      <c r="A664" s="54">
        <v>44992.959975370366</v>
      </c>
      <c r="B664" s="47">
        <v>0.532587630308512</v>
      </c>
      <c r="C664" s="7">
        <v>-0.009544636023633202</v>
      </c>
      <c r="D664" s="48">
        <v>-0.9040382648092771</v>
      </c>
      <c r="E664" s="49">
        <v>20.02</v>
      </c>
      <c r="F664" s="7">
        <v>-0.012284528394036598</v>
      </c>
      <c r="G664" s="48">
        <v>-0.6383290316932168</v>
      </c>
      <c r="H664" s="50">
        <v>-54432.26312613157</v>
      </c>
      <c r="I664" s="56">
        <v>0.018187555172220465</v>
      </c>
      <c r="J664" s="56">
        <v>-2.0241134250638777</v>
      </c>
      <c r="K664" s="50">
        <v>81324.16673791349</v>
      </c>
      <c r="L664" s="56">
        <v>-0.027172997858885366</v>
      </c>
      <c r="M664" s="56">
        <v>3.0241134250638777</v>
      </c>
      <c r="N664" s="51">
        <v>0.002739892370403396</v>
      </c>
      <c r="O664" s="7">
        <v>-0.2657092331160603</v>
      </c>
      <c r="P664" s="52">
        <v>55.354180330609964</v>
      </c>
      <c r="Q664" s="34">
        <v>1343.2519286604356</v>
      </c>
      <c r="R664" s="13">
        <v>5027.132102570184</v>
      </c>
      <c r="S664" s="56">
        <v>-0.7346531869812403</v>
      </c>
      <c r="T664" s="52">
        <v>280235.69559610984</v>
      </c>
      <c r="U664" s="50">
        <v>26891.90361178192</v>
      </c>
      <c r="V664" s="50">
        <v>-270783.77120656415</v>
      </c>
    </row>
    <row r="665">
      <c r="A665" s="54">
        <v>44991.95998092592</v>
      </c>
      <c r="B665" s="47">
        <v>0.5855603602396765</v>
      </c>
      <c r="C665" s="7">
        <v>-0.005561689855892782</v>
      </c>
      <c r="D665" s="48">
        <v>-0.8944936287856439</v>
      </c>
      <c r="E665" s="49">
        <v>20.7</v>
      </c>
      <c r="F665" s="7">
        <v>-0.006864883514314579</v>
      </c>
      <c r="G665" s="48">
        <v>-0.6260445032991802</v>
      </c>
      <c r="H665" s="50">
        <v>-54496.18307749907</v>
      </c>
      <c r="I665" s="56">
        <v>0.009650522315803276</v>
      </c>
      <c r="J665" s="56">
        <v>-1.8431638562867176</v>
      </c>
      <c r="K665" s="50">
        <v>84062.83440457554</v>
      </c>
      <c r="L665" s="56">
        <v>-0.014886368430562411</v>
      </c>
      <c r="M665" s="56">
        <v>2.8431638562867176</v>
      </c>
      <c r="N665" s="51">
        <v>0.0013031936584217974</v>
      </c>
      <c r="O665" s="7">
        <v>-0.2684491254864637</v>
      </c>
      <c r="P665" s="52">
        <v>55.354180330609964</v>
      </c>
      <c r="Q665" s="34">
        <v>1428.3406438201193</v>
      </c>
      <c r="R665" s="13">
        <v>5027.132102570184</v>
      </c>
      <c r="S665" s="56">
        <v>-0.7178447098000469</v>
      </c>
      <c r="T665" s="52">
        <v>280235.69559610984</v>
      </c>
      <c r="U665" s="50">
        <v>29566.65132707647</v>
      </c>
      <c r="V665" s="50">
        <v>-268109.02349126956</v>
      </c>
    </row>
    <row r="666">
      <c r="A666" s="54">
        <v>44990.959971759265</v>
      </c>
      <c r="B666" s="47">
        <v>0.6164277389398815</v>
      </c>
      <c r="C666" s="7">
        <v>0.00474255543922486</v>
      </c>
      <c r="D666" s="48">
        <v>-0.8889319389297511</v>
      </c>
      <c r="E666" s="49">
        <v>21.08</v>
      </c>
      <c r="F666" s="7">
        <v>0.005780954538370242</v>
      </c>
      <c r="G666" s="48">
        <v>-0.6191796197848656</v>
      </c>
      <c r="H666" s="50">
        <v>-54457.234006544066</v>
      </c>
      <c r="I666" s="56">
        <v>-0.007811518362921837</v>
      </c>
      <c r="J666" s="56">
        <v>-1.7496167784676144</v>
      </c>
      <c r="K666" s="50">
        <v>85582.46935907648</v>
      </c>
      <c r="L666" s="56">
        <v>0.01227622083894832</v>
      </c>
      <c r="M666" s="56">
        <v>2.7496167784676144</v>
      </c>
      <c r="N666" s="51">
        <v>-0.0010383990991453818</v>
      </c>
      <c r="O666" s="7">
        <v>-0.2697523191448855</v>
      </c>
      <c r="P666" s="52">
        <v>55.354180330609964</v>
      </c>
      <c r="Q666" s="34">
        <v>1476.5291912966043</v>
      </c>
      <c r="R666" s="13">
        <v>5027.132102570184</v>
      </c>
      <c r="S666" s="56">
        <v>-0.7083255144621775</v>
      </c>
      <c r="T666" s="52">
        <v>280235.69559610984</v>
      </c>
      <c r="U666" s="50">
        <v>31125.235352532414</v>
      </c>
      <c r="V666" s="50">
        <v>-266550.43946581363</v>
      </c>
    </row>
    <row r="667">
      <c r="A667" s="54">
        <v>44989.95997476851</v>
      </c>
      <c r="B667" s="47">
        <v>0.5901065562521832</v>
      </c>
      <c r="C667" s="7">
        <v>-0.009183102482290484</v>
      </c>
      <c r="D667" s="48">
        <v>-0.893674494368976</v>
      </c>
      <c r="E667" s="49">
        <v>20.76</v>
      </c>
      <c r="F667" s="7">
        <v>-0.011561909076740373</v>
      </c>
      <c r="G667" s="48">
        <v>-0.6249605743232358</v>
      </c>
      <c r="H667" s="50">
        <v>-54463.131242424526</v>
      </c>
      <c r="I667" s="56">
        <v>0.0158019700407513</v>
      </c>
      <c r="J667" s="56">
        <v>-1.8278548114076085</v>
      </c>
      <c r="K667" s="50">
        <v>84259.33327254263</v>
      </c>
      <c r="L667" s="56">
        <v>-0.024447060417805044</v>
      </c>
      <c r="M667" s="56">
        <v>2.8278548114076085</v>
      </c>
      <c r="N667" s="51">
        <v>0.0023788065944498893</v>
      </c>
      <c r="O667" s="7">
        <v>-0.26871392004574013</v>
      </c>
      <c r="P667" s="52">
        <v>55.354180330609964</v>
      </c>
      <c r="Q667" s="34">
        <v>1435.2698473081937</v>
      </c>
      <c r="R667" s="13">
        <v>5027.132102570184</v>
      </c>
      <c r="S667" s="56">
        <v>-0.7164759106767487</v>
      </c>
      <c r="T667" s="52">
        <v>280235.69559610984</v>
      </c>
      <c r="U667" s="50">
        <v>29796.202030118104</v>
      </c>
      <c r="V667" s="50">
        <v>-267879.47278822795</v>
      </c>
    </row>
    <row r="668">
      <c r="A668" s="54">
        <v>44988.95997704861</v>
      </c>
      <c r="B668" s="47">
        <v>0.6410727750288957</v>
      </c>
      <c r="C668" s="7">
        <v>-0.010456778289089308</v>
      </c>
      <c r="D668" s="48">
        <v>-0.8844913918866855</v>
      </c>
      <c r="E668" s="49">
        <v>21.4</v>
      </c>
      <c r="F668" s="7">
        <v>-0.013007147711332823</v>
      </c>
      <c r="G668" s="48">
        <v>-0.6133986652464954</v>
      </c>
      <c r="H668" s="50">
        <v>-54464.7455119353</v>
      </c>
      <c r="I668" s="56">
        <v>0.01656363612525676</v>
      </c>
      <c r="J668" s="56">
        <v>-1.682587563098967</v>
      </c>
      <c r="K668" s="50">
        <v>86834.38065390846</v>
      </c>
      <c r="L668" s="56">
        <v>-0.02640778123158934</v>
      </c>
      <c r="M668" s="56">
        <v>2.6825875630989673</v>
      </c>
      <c r="N668" s="51">
        <v>0.0025503694222435147</v>
      </c>
      <c r="O668" s="7">
        <v>-0.27109272664019</v>
      </c>
      <c r="P668" s="52">
        <v>55.354180330609964</v>
      </c>
      <c r="Q668" s="34">
        <v>1512.5997729894</v>
      </c>
      <c r="R668" s="13">
        <v>5027.132102570184</v>
      </c>
      <c r="S668" s="56">
        <v>-0.7012001095461681</v>
      </c>
      <c r="T668" s="52">
        <v>280235.69559610984</v>
      </c>
      <c r="U668" s="50">
        <v>32369.635141973158</v>
      </c>
      <c r="V668" s="50">
        <v>-265306.0396763729</v>
      </c>
    </row>
    <row r="669">
      <c r="A669" s="54">
        <v>44987.95998010416</v>
      </c>
      <c r="B669" s="47">
        <v>0.6991078945333414</v>
      </c>
      <c r="C669" s="7">
        <v>-0.0038924448680973667</v>
      </c>
      <c r="D669" s="48">
        <v>-0.8740346135975962</v>
      </c>
      <c r="E669" s="49">
        <v>22.12</v>
      </c>
      <c r="F669" s="7">
        <v>-0.0052389900503979625</v>
      </c>
      <c r="G669" s="48">
        <v>-0.6003915175351626</v>
      </c>
      <c r="H669" s="50">
        <v>-54426.323425336166</v>
      </c>
      <c r="I669" s="56">
        <v>0.005649849744375977</v>
      </c>
      <c r="J669" s="56">
        <v>-1.5418222947059137</v>
      </c>
      <c r="K669" s="50">
        <v>89726.32110484657</v>
      </c>
      <c r="L669" s="56">
        <v>-0.009314247232838566</v>
      </c>
      <c r="M669" s="56">
        <v>2.5418222947059137</v>
      </c>
      <c r="N669" s="51">
        <v>0.0013465451823005958</v>
      </c>
      <c r="O669" s="7">
        <v>-0.27364309606243353</v>
      </c>
      <c r="P669" s="52">
        <v>55.354180330609964</v>
      </c>
      <c r="Q669" s="34">
        <v>1595.8407630881738</v>
      </c>
      <c r="R669" s="13">
        <v>5027.132102570184</v>
      </c>
      <c r="S669" s="56">
        <v>-0.6847566331111385</v>
      </c>
      <c r="T669" s="52">
        <v>280235.69559610984</v>
      </c>
      <c r="U669" s="50">
        <v>35299.99767951041</v>
      </c>
      <c r="V669" s="50">
        <v>-262375.67713883566</v>
      </c>
    </row>
    <row r="670">
      <c r="A670" s="54">
        <v>44986.959998182865</v>
      </c>
      <c r="B670" s="47">
        <v>0.7207109635512815</v>
      </c>
      <c r="C670" s="7">
        <v>0.004732619954195938</v>
      </c>
      <c r="D670" s="48">
        <v>-0.8701421687294988</v>
      </c>
      <c r="E670" s="49">
        <v>22.41</v>
      </c>
      <c r="F670" s="7">
        <v>0.005961609367694187</v>
      </c>
      <c r="G670" s="48">
        <v>-0.5951525274847647</v>
      </c>
      <c r="H670" s="50">
        <v>-54485.91686033436</v>
      </c>
      <c r="I670" s="56">
        <v>-0.006670745954865902</v>
      </c>
      <c r="J670" s="56">
        <v>-1.4972442855722092</v>
      </c>
      <c r="K670" s="50">
        <v>90876.71653502552</v>
      </c>
      <c r="L670" s="56">
        <v>0.011126095037942556</v>
      </c>
      <c r="M670" s="56">
        <v>2.4972442855722092</v>
      </c>
      <c r="N670" s="51">
        <v>-0.0012289894134982493</v>
      </c>
      <c r="O670" s="7">
        <v>-0.27498964124473413</v>
      </c>
      <c r="P670" s="52">
        <v>55.354180330609964</v>
      </c>
      <c r="Q670" s="34">
        <v>1623.8643317577496</v>
      </c>
      <c r="R670" s="13">
        <v>5027.132102570184</v>
      </c>
      <c r="S670" s="56">
        <v>-0.6792208401022278</v>
      </c>
      <c r="T670" s="52">
        <v>280235.69559610984</v>
      </c>
      <c r="U670" s="50">
        <v>36390.79967469117</v>
      </c>
      <c r="V670" s="50">
        <v>-261284.87514365488</v>
      </c>
    </row>
    <row r="671">
      <c r="A671" s="54">
        <v>44985.959990902775</v>
      </c>
      <c r="B671" s="47">
        <v>0.6944449228054941</v>
      </c>
      <c r="C671" s="7">
        <v>-0.010533524199174638</v>
      </c>
      <c r="D671" s="48">
        <v>-0.8748747886836947</v>
      </c>
      <c r="E671" s="49">
        <v>22.08</v>
      </c>
      <c r="F671" s="7">
        <v>-0.012826492882008766</v>
      </c>
      <c r="G671" s="48">
        <v>-0.6011141368524588</v>
      </c>
      <c r="H671" s="50">
        <v>-54448.73747070615</v>
      </c>
      <c r="I671" s="56">
        <v>0.015398319996101232</v>
      </c>
      <c r="J671" s="56">
        <v>-1.5528143521787465</v>
      </c>
      <c r="K671" s="50">
        <v>89513.28810054119</v>
      </c>
      <c r="L671" s="56">
        <v>-0.025314714685843714</v>
      </c>
      <c r="M671" s="56">
        <v>2.5528143521787467</v>
      </c>
      <c r="N671" s="51">
        <v>0.002292968682834129</v>
      </c>
      <c r="O671" s="7">
        <v>-0.2737606518312359</v>
      </c>
      <c r="P671" s="52">
        <v>55.354180330609964</v>
      </c>
      <c r="Q671" s="34">
        <v>1588.0684162062971</v>
      </c>
      <c r="R671" s="13">
        <v>5027.132102570184</v>
      </c>
      <c r="S671" s="56">
        <v>-0.6862919872995662</v>
      </c>
      <c r="T671" s="52">
        <v>280235.69559610984</v>
      </c>
      <c r="U671" s="50">
        <v>35064.55062983504</v>
      </c>
      <c r="V671" s="50">
        <v>-262611.124188511</v>
      </c>
    </row>
    <row r="672">
      <c r="A672" s="54">
        <v>44984.96000265046</v>
      </c>
      <c r="B672" s="47">
        <v>0.7529059821109133</v>
      </c>
      <c r="C672" s="7">
        <v>-0.004023725569410441</v>
      </c>
      <c r="D672" s="48">
        <v>-0.8643412644845201</v>
      </c>
      <c r="E672" s="49">
        <v>22.79</v>
      </c>
      <c r="F672" s="7">
        <v>-0.00487768039174985</v>
      </c>
      <c r="G672" s="48">
        <v>-0.5882876439704501</v>
      </c>
      <c r="H672" s="50">
        <v>-54421.48854248914</v>
      </c>
      <c r="I672" s="56">
        <v>0.0054226010998044034</v>
      </c>
      <c r="J672" s="56">
        <v>-1.4315258612930155</v>
      </c>
      <c r="K672" s="50">
        <v>92437.90865335833</v>
      </c>
      <c r="L672" s="56">
        <v>-0.00921058792311368</v>
      </c>
      <c r="M672" s="56">
        <v>2.4315258612930157</v>
      </c>
      <c r="N672" s="51">
        <v>8.539548223394089E-4</v>
      </c>
      <c r="O672" s="7">
        <v>-0.27605362051407</v>
      </c>
      <c r="P672" s="52">
        <v>55.354180330609964</v>
      </c>
      <c r="Q672" s="34">
        <v>1668.1184778792976</v>
      </c>
      <c r="R672" s="13">
        <v>5027.132102570184</v>
      </c>
      <c r="S672" s="56">
        <v>-0.6704788488303971</v>
      </c>
      <c r="T672" s="52">
        <v>280235.69559610984</v>
      </c>
      <c r="U672" s="50">
        <v>38016.42011086919</v>
      </c>
      <c r="V672" s="50">
        <v>-259659.25470747685</v>
      </c>
    </row>
    <row r="673">
      <c r="A673" s="54">
        <v>44983.9599665625</v>
      </c>
      <c r="B673" s="47">
        <v>0.7752376590211416</v>
      </c>
      <c r="C673" s="7">
        <v>0.012216222029945434</v>
      </c>
      <c r="D673" s="48">
        <v>-0.8603175389151096</v>
      </c>
      <c r="E673" s="49">
        <v>23.06</v>
      </c>
      <c r="F673" s="7">
        <v>0.014994350833897663</v>
      </c>
      <c r="G673" s="48">
        <v>-0.5834099635787002</v>
      </c>
      <c r="H673" s="50">
        <v>-54358.159509031226</v>
      </c>
      <c r="I673" s="56">
        <v>-0.01597042361658705</v>
      </c>
      <c r="J673" s="56">
        <v>-1.3886711459833239</v>
      </c>
      <c r="K673" s="50">
        <v>93502.17115373202</v>
      </c>
      <c r="L673" s="56">
        <v>0.027470931611428637</v>
      </c>
      <c r="M673" s="56">
        <v>2.3886711459833236</v>
      </c>
      <c r="N673" s="51">
        <v>-0.002778128803952229</v>
      </c>
      <c r="O673" s="7">
        <v>-0.2769075753364094</v>
      </c>
      <c r="P673" s="52">
        <v>55.354180330609964</v>
      </c>
      <c r="Q673" s="34">
        <v>1697.4853271769643</v>
      </c>
      <c r="R673" s="13">
        <v>5027.132102570184</v>
      </c>
      <c r="S673" s="56">
        <v>-0.6646777033391645</v>
      </c>
      <c r="T673" s="52">
        <v>280235.69559610984</v>
      </c>
      <c r="U673" s="50">
        <v>39144.0116447008</v>
      </c>
      <c r="V673" s="50">
        <v>-258531.66317364524</v>
      </c>
    </row>
    <row r="674">
      <c r="A674" s="54">
        <v>44982.959966215276</v>
      </c>
      <c r="B674" s="47">
        <v>0.7074376267549441</v>
      </c>
      <c r="C674" s="7">
        <v>-0.008089668346879075</v>
      </c>
      <c r="D674" s="48">
        <v>-0.8725337609450551</v>
      </c>
      <c r="E674" s="49">
        <v>22.23</v>
      </c>
      <c r="F674" s="7">
        <v>-0.010116670442147813</v>
      </c>
      <c r="G674" s="48">
        <v>-0.5984043144125979</v>
      </c>
      <c r="H674" s="50">
        <v>-54382.04743510495</v>
      </c>
      <c r="I674" s="56">
        <v>0.0115943859446953</v>
      </c>
      <c r="J674" s="56">
        <v>-1.5224285819885668</v>
      </c>
      <c r="K674" s="50">
        <v>90102.63760168746</v>
      </c>
      <c r="L674" s="56">
        <v>-0.01921010341207951</v>
      </c>
      <c r="M674" s="56">
        <v>2.522428581988567</v>
      </c>
      <c r="N674" s="51">
        <v>0.0020270020952687373</v>
      </c>
      <c r="O674" s="7">
        <v>-0.2741294465324572</v>
      </c>
      <c r="P674" s="52">
        <v>55.354180330609964</v>
      </c>
      <c r="Q674" s="34">
        <v>1606.8641550419482</v>
      </c>
      <c r="R674" s="13">
        <v>5027.132102570184</v>
      </c>
      <c r="S674" s="56">
        <v>-0.6825790654775618</v>
      </c>
      <c r="T674" s="52">
        <v>280235.69559610984</v>
      </c>
      <c r="U674" s="50">
        <v>35720.59016658251</v>
      </c>
      <c r="V674" s="50">
        <v>-261955.08465176355</v>
      </c>
    </row>
    <row r="675">
      <c r="A675" s="54">
        <v>44981.9599699074</v>
      </c>
      <c r="B675" s="47">
        <v>0.7523352860801228</v>
      </c>
      <c r="C675" s="7">
        <v>-0.014734487159284493</v>
      </c>
      <c r="D675" s="48">
        <v>-0.864444092598176</v>
      </c>
      <c r="E675" s="49">
        <v>22.79</v>
      </c>
      <c r="F675" s="7">
        <v>-0.017704173273758617</v>
      </c>
      <c r="G675" s="48">
        <v>-0.5882876439704501</v>
      </c>
      <c r="H675" s="50">
        <v>-54363.34230259188</v>
      </c>
      <c r="I675" s="56">
        <v>0.019850862399831828</v>
      </c>
      <c r="J675" s="56">
        <v>-1.4310811047315486</v>
      </c>
      <c r="K675" s="50">
        <v>92350.94630550387</v>
      </c>
      <c r="L675" s="56">
        <v>-0.03372209746414747</v>
      </c>
      <c r="M675" s="56">
        <v>2.4310811047315486</v>
      </c>
      <c r="N675" s="51">
        <v>0.002969686114474124</v>
      </c>
      <c r="O675" s="7">
        <v>-0.2761564486277259</v>
      </c>
      <c r="P675" s="52">
        <v>55.354180330609964</v>
      </c>
      <c r="Q675" s="34">
        <v>1666.854058925493</v>
      </c>
      <c r="R675" s="13">
        <v>5027.132102570184</v>
      </c>
      <c r="S675" s="56">
        <v>-0.6707286229290259</v>
      </c>
      <c r="T675" s="52">
        <v>280235.69559610984</v>
      </c>
      <c r="U675" s="50">
        <v>37987.60400291198</v>
      </c>
      <c r="V675" s="50">
        <v>-259688.07081543407</v>
      </c>
    </row>
    <row r="676">
      <c r="A676" s="54">
        <v>44980.959976238424</v>
      </c>
      <c r="B676" s="47">
        <v>0.8341116898141524</v>
      </c>
      <c r="C676" s="7">
        <v>0.005471417975582815</v>
      </c>
      <c r="D676" s="48">
        <v>-0.8497096054388915</v>
      </c>
      <c r="E676" s="49">
        <v>23.77</v>
      </c>
      <c r="F676" s="7">
        <v>0.0014452386345924495</v>
      </c>
      <c r="G676" s="48">
        <v>-0.5705834706966915</v>
      </c>
      <c r="H676" s="50">
        <v>-54404.09414261947</v>
      </c>
      <c r="I676" s="56">
        <v>-0.006653603316114256</v>
      </c>
      <c r="J676" s="56">
        <v>-1.2917453451376701</v>
      </c>
      <c r="K676" s="50">
        <v>96520.82740386552</v>
      </c>
      <c r="L676" s="56">
        <v>0.011804466325731015</v>
      </c>
      <c r="M676" s="56">
        <v>2.29174534513767</v>
      </c>
      <c r="N676" s="51">
        <v>0.004026179340990366</v>
      </c>
      <c r="O676" s="7">
        <v>-0.27912613474220005</v>
      </c>
      <c r="P676" s="52">
        <v>55.354180330609964</v>
      </c>
      <c r="Q676" s="34">
        <v>1771.8440581087948</v>
      </c>
      <c r="R676" s="13">
        <v>5027.132102570184</v>
      </c>
      <c r="S676" s="56">
        <v>-0.6499888338487202</v>
      </c>
      <c r="T676" s="52">
        <v>280235.69559610984</v>
      </c>
      <c r="U676" s="50">
        <v>42116.73326124605</v>
      </c>
      <c r="V676" s="50">
        <v>-255558.94155709998</v>
      </c>
    </row>
    <row r="677">
      <c r="A677" s="54">
        <v>44979.96001916667</v>
      </c>
      <c r="B677" s="47">
        <v>0.8037453200496671</v>
      </c>
      <c r="C677" s="7">
        <v>-0.02011217002225485</v>
      </c>
      <c r="D677" s="48">
        <v>-0.8551810234144743</v>
      </c>
      <c r="E677" s="49">
        <v>23.69</v>
      </c>
      <c r="F677" s="7">
        <v>-0.020233340884295403</v>
      </c>
      <c r="G677" s="48">
        <v>-0.5720287093312839</v>
      </c>
      <c r="H677" s="50">
        <v>-54412.1498100139</v>
      </c>
      <c r="I677" s="56">
        <v>0.025385516025350666</v>
      </c>
      <c r="J677" s="56">
        <v>-1.3407473814157607</v>
      </c>
      <c r="K677" s="50">
        <v>94995.59644897541</v>
      </c>
      <c r="L677" s="56">
        <v>-0.04431937066286252</v>
      </c>
      <c r="M677" s="56">
        <v>2.3407473814157607</v>
      </c>
      <c r="N677" s="51">
        <v>1.2117086204055383E-4</v>
      </c>
      <c r="O677" s="7">
        <v>-0.2831523140831904</v>
      </c>
      <c r="P677" s="52">
        <v>55.354180330609964</v>
      </c>
      <c r="Q677" s="34">
        <v>1713.1045436454838</v>
      </c>
      <c r="R677" s="13">
        <v>5027.132102570184</v>
      </c>
      <c r="S677" s="56">
        <v>-0.6615922737013267</v>
      </c>
      <c r="T677" s="52">
        <v>280235.69559610984</v>
      </c>
      <c r="U677" s="50">
        <v>40583.44663896151</v>
      </c>
      <c r="V677" s="50">
        <v>-257092.22817938455</v>
      </c>
    </row>
    <row r="678">
      <c r="A678" s="54">
        <v>44978.9599795949</v>
      </c>
      <c r="B678" s="47">
        <v>0.9153678636731819</v>
      </c>
      <c r="C678" s="7">
        <v>-0.016782756128051024</v>
      </c>
      <c r="D678" s="48">
        <v>-0.8350688533922195</v>
      </c>
      <c r="E678" s="49">
        <v>24.81</v>
      </c>
      <c r="F678" s="7">
        <v>-0.024749711617397363</v>
      </c>
      <c r="G678" s="48">
        <v>-0.5517953684469885</v>
      </c>
      <c r="H678" s="50">
        <v>-54448.335904209336</v>
      </c>
      <c r="I678" s="56">
        <v>0.018612378246459355</v>
      </c>
      <c r="J678" s="56">
        <v>-1.1780357742468643</v>
      </c>
      <c r="K678" s="50">
        <v>100667.93049930468</v>
      </c>
      <c r="L678" s="56">
        <v>-0.03441187997072449</v>
      </c>
      <c r="M678" s="56">
        <v>2.1780357742468643</v>
      </c>
      <c r="N678" s="51">
        <v>0.007966955489346339</v>
      </c>
      <c r="O678" s="7">
        <v>-0.28327348494523097</v>
      </c>
      <c r="P678" s="52">
        <v>55.354180330609964</v>
      </c>
      <c r="Q678" s="34">
        <v>1862.942144098966</v>
      </c>
      <c r="R678" s="13">
        <v>5027.132102570184</v>
      </c>
      <c r="S678" s="56">
        <v>-0.6319932618537429</v>
      </c>
      <c r="T678" s="52">
        <v>280235.69559610984</v>
      </c>
      <c r="U678" s="50">
        <v>46219.59459509535</v>
      </c>
      <c r="V678" s="50">
        <v>-251456.0802232507</v>
      </c>
    </row>
    <row r="679">
      <c r="A679" s="54">
        <v>44977.95996984954</v>
      </c>
      <c r="B679" s="47">
        <v>1.008512160183865</v>
      </c>
      <c r="C679" s="7">
        <v>0.013997495460620013</v>
      </c>
      <c r="D679" s="48">
        <v>-0.8182860972641685</v>
      </c>
      <c r="E679" s="49">
        <v>26.18</v>
      </c>
      <c r="F679" s="7">
        <v>0.015536315321869831</v>
      </c>
      <c r="G679" s="48">
        <v>-0.5270456568295911</v>
      </c>
      <c r="H679" s="50">
        <v>-55027.588056740875</v>
      </c>
      <c r="I679" s="56">
        <v>-0.01423964984112995</v>
      </c>
      <c r="J679" s="56">
        <v>-1.0806097154333103</v>
      </c>
      <c r="K679" s="50">
        <v>105950.30998940047</v>
      </c>
      <c r="L679" s="56">
        <v>0.027417071474267904</v>
      </c>
      <c r="M679" s="56">
        <v>2.0806097154333103</v>
      </c>
      <c r="N679" s="51">
        <v>-0.0015388198612498183</v>
      </c>
      <c r="O679" s="7">
        <v>-0.2912404404345773</v>
      </c>
      <c r="P679" s="52">
        <v>55.354180330609964</v>
      </c>
      <c r="Q679" s="34">
        <v>1945.10015021618</v>
      </c>
      <c r="R679" s="13">
        <v>5027.132102570184</v>
      </c>
      <c r="S679" s="56">
        <v>-0.6157637187412168</v>
      </c>
      <c r="T679" s="52">
        <v>280235.69559610984</v>
      </c>
      <c r="U679" s="50">
        <v>50922.721932659595</v>
      </c>
      <c r="V679" s="50">
        <v>-246752.95288568645</v>
      </c>
    </row>
    <row r="680">
      <c r="A680" s="54">
        <v>44976.95997353009</v>
      </c>
      <c r="B680" s="47">
        <v>0.9308260603774238</v>
      </c>
      <c r="C680" s="7">
        <v>0.024254517384474372</v>
      </c>
      <c r="D680" s="48">
        <v>-0.8322835927247885</v>
      </c>
      <c r="E680" s="49">
        <v>25.32</v>
      </c>
      <c r="F680" s="7">
        <v>0.03125328547306372</v>
      </c>
      <c r="G680" s="48">
        <v>-0.542581972151461</v>
      </c>
      <c r="H680" s="50">
        <v>-55048.43946242899</v>
      </c>
      <c r="I680" s="56">
        <v>-0.026743531275900824</v>
      </c>
      <c r="J680" s="56">
        <v>-1.171240301350061</v>
      </c>
      <c r="K680" s="50">
        <v>102048.56351807834</v>
      </c>
      <c r="L680" s="56">
        <v>0.04957704481285322</v>
      </c>
      <c r="M680" s="56">
        <v>2.171240301350061</v>
      </c>
      <c r="N680" s="51">
        <v>-0.006998768088589347</v>
      </c>
      <c r="O680" s="7">
        <v>-0.2897016205733275</v>
      </c>
      <c r="P680" s="52">
        <v>55.354180330609964</v>
      </c>
      <c r="Q680" s="34">
        <v>1856.2450258945241</v>
      </c>
      <c r="R680" s="13">
        <v>5027.132102570184</v>
      </c>
      <c r="S680" s="56">
        <v>-0.6333162147072191</v>
      </c>
      <c r="T680" s="52">
        <v>280235.69559610984</v>
      </c>
      <c r="U680" s="50">
        <v>47000.12405564935</v>
      </c>
      <c r="V680" s="50">
        <v>-250675.5507626967</v>
      </c>
    </row>
    <row r="681">
      <c r="A681" s="54">
        <v>44975.95998237269</v>
      </c>
      <c r="B681" s="47">
        <v>0.796213488893591</v>
      </c>
      <c r="C681" s="7">
        <v>0.005845996592609981</v>
      </c>
      <c r="D681" s="48">
        <v>-0.8565381101092628</v>
      </c>
      <c r="E681" s="49">
        <v>23.59</v>
      </c>
      <c r="F681" s="7">
        <v>0.007948812490258916</v>
      </c>
      <c r="G681" s="48">
        <v>-0.5738352576245247</v>
      </c>
      <c r="H681" s="50">
        <v>-55055.92565754411</v>
      </c>
      <c r="I681" s="56">
        <v>-0.007536726096433522</v>
      </c>
      <c r="J681" s="56">
        <v>-1.3694433376846173</v>
      </c>
      <c r="K681" s="50">
        <v>95259.06816260735</v>
      </c>
      <c r="L681" s="56">
        <v>0.013040222217109989</v>
      </c>
      <c r="M681" s="56">
        <v>2.3694433376846176</v>
      </c>
      <c r="N681" s="51">
        <v>-0.0021028158976489353</v>
      </c>
      <c r="O681" s="7">
        <v>-0.28270285248473814</v>
      </c>
      <c r="P681" s="52">
        <v>55.354180330609964</v>
      </c>
      <c r="Q681" s="34">
        <v>1704.2451252676235</v>
      </c>
      <c r="R681" s="13">
        <v>5027.132102570184</v>
      </c>
      <c r="S681" s="56">
        <v>-0.6633423686623734</v>
      </c>
      <c r="T681" s="52">
        <v>280235.69559610984</v>
      </c>
      <c r="U681" s="50">
        <v>40203.14250506324</v>
      </c>
      <c r="V681" s="50">
        <v>-257472.5323132828</v>
      </c>
    </row>
    <row r="682">
      <c r="A682" s="54">
        <v>44974.961099374996</v>
      </c>
      <c r="B682" s="47">
        <v>0.763768207804606</v>
      </c>
      <c r="C682" s="7">
        <v>0.008916260706573476</v>
      </c>
      <c r="D682" s="48">
        <v>-0.8623841067018728</v>
      </c>
      <c r="E682" s="49">
        <v>23.15</v>
      </c>
      <c r="F682" s="7">
        <v>0.011019944588768205</v>
      </c>
      <c r="G682" s="48">
        <v>-0.5817840701147836</v>
      </c>
      <c r="H682" s="50">
        <v>-55052.034584046625</v>
      </c>
      <c r="I682" s="56">
        <v>-0.011982410454030784</v>
      </c>
      <c r="J682" s="56">
        <v>-1.427517124739719</v>
      </c>
      <c r="K682" s="50">
        <v>93616.92016752734</v>
      </c>
      <c r="L682" s="56">
        <v>0.02037629256330184</v>
      </c>
      <c r="M682" s="56">
        <v>2.427517124739719</v>
      </c>
      <c r="N682" s="51">
        <v>-0.002103683882194729</v>
      </c>
      <c r="O682" s="7">
        <v>-0.2806000365870892</v>
      </c>
      <c r="P682" s="52">
        <v>55.354180330609964</v>
      </c>
      <c r="Q682" s="34">
        <v>1665.8697876233568</v>
      </c>
      <c r="R682" s="13">
        <v>5027.132102570184</v>
      </c>
      <c r="S682" s="56">
        <v>-0.6709230564880592</v>
      </c>
      <c r="T682" s="52">
        <v>280235.69559610984</v>
      </c>
      <c r="U682" s="50">
        <v>38564.88558348071</v>
      </c>
      <c r="V682" s="50">
        <v>-259110.78923486534</v>
      </c>
    </row>
    <row r="683">
      <c r="A683" s="54">
        <v>44973.95996565973</v>
      </c>
      <c r="B683" s="47">
        <v>0.7142829608831229</v>
      </c>
      <c r="C683" s="7">
        <v>-0.014382174609484877</v>
      </c>
      <c r="D683" s="48">
        <v>-0.8713003674084463</v>
      </c>
      <c r="E683" s="49">
        <v>22.54</v>
      </c>
      <c r="F683" s="7">
        <v>-0.020594650542943738</v>
      </c>
      <c r="G683" s="48">
        <v>-0.5928040147035518</v>
      </c>
      <c r="H683" s="50">
        <v>-55051.660242857404</v>
      </c>
      <c r="I683" s="56">
        <v>0.020666851746742054</v>
      </c>
      <c r="J683" s="56">
        <v>-1.5264045790597522</v>
      </c>
      <c r="K683" s="50">
        <v>91117.89130511522</v>
      </c>
      <c r="L683" s="56">
        <v>-0.034206415261071</v>
      </c>
      <c r="M683" s="56">
        <v>2.5264045790597525</v>
      </c>
      <c r="N683" s="51">
        <v>0.006212475933458861</v>
      </c>
      <c r="O683" s="7">
        <v>-0.2784963527048945</v>
      </c>
      <c r="P683" s="52">
        <v>55.354180330609964</v>
      </c>
      <c r="Q683" s="34">
        <v>1600.0989823539403</v>
      </c>
      <c r="R683" s="13">
        <v>5027.132102570184</v>
      </c>
      <c r="S683" s="56">
        <v>-0.6839154618556221</v>
      </c>
      <c r="T683" s="52">
        <v>280235.69559610984</v>
      </c>
      <c r="U683" s="50">
        <v>36066.231062257815</v>
      </c>
      <c r="V683" s="50">
        <v>-261609.44375608824</v>
      </c>
    </row>
    <row r="684">
      <c r="A684" s="54">
        <v>44972.95996298611</v>
      </c>
      <c r="B684" s="47">
        <v>0.7941040299657639</v>
      </c>
      <c r="C684" s="7">
        <v>0.025755248597461255</v>
      </c>
      <c r="D684" s="48">
        <v>-0.8569181927989614</v>
      </c>
      <c r="E684" s="49">
        <v>23.68</v>
      </c>
      <c r="F684" s="7">
        <v>0.036311620694137514</v>
      </c>
      <c r="G684" s="48">
        <v>-0.5722093641606081</v>
      </c>
      <c r="H684" s="50">
        <v>-55033.12409162939</v>
      </c>
      <c r="I684" s="56">
        <v>-0.0332783779471727</v>
      </c>
      <c r="J684" s="56">
        <v>-1.372512463263665</v>
      </c>
      <c r="K684" s="50">
        <v>95129.75385976091</v>
      </c>
      <c r="L684" s="56">
        <v>0.05752469908296832</v>
      </c>
      <c r="M684" s="56">
        <v>2.372512463263665</v>
      </c>
      <c r="N684" s="51">
        <v>-0.010556372096676259</v>
      </c>
      <c r="O684" s="7">
        <v>-0.28470882863835334</v>
      </c>
      <c r="P684" s="52">
        <v>55.354180330609964</v>
      </c>
      <c r="Q684" s="34">
        <v>1693.2698381812297</v>
      </c>
      <c r="R684" s="13">
        <v>5027.132102570184</v>
      </c>
      <c r="S684" s="56">
        <v>-0.6655104336308301</v>
      </c>
      <c r="T684" s="52">
        <v>280235.69559610984</v>
      </c>
      <c r="U684" s="50">
        <v>40096.62976813152</v>
      </c>
      <c r="V684" s="50">
        <v>-257579.0450502145</v>
      </c>
    </row>
    <row r="685">
      <c r="A685" s="54">
        <v>44971.95996446759</v>
      </c>
      <c r="B685" s="47">
        <v>0.6511624002498542</v>
      </c>
      <c r="C685" s="7">
        <v>0.014209839823718151</v>
      </c>
      <c r="D685" s="48">
        <v>-0.8826734413964227</v>
      </c>
      <c r="E685" s="49">
        <v>21.67</v>
      </c>
      <c r="F685" s="7">
        <v>0.011073226803677394</v>
      </c>
      <c r="G685" s="48">
        <v>-0.6085209848547456</v>
      </c>
      <c r="H685" s="50">
        <v>-55019.402037021486</v>
      </c>
      <c r="I685" s="56">
        <v>-0.02238542630850098</v>
      </c>
      <c r="J685" s="56">
        <v>-1.6733858034088158</v>
      </c>
      <c r="K685" s="50">
        <v>87898.49179919272</v>
      </c>
      <c r="L685" s="56">
        <v>0.03576275164668668</v>
      </c>
      <c r="M685" s="56">
        <v>2.673385803408816</v>
      </c>
      <c r="N685" s="51">
        <v>0.003136613020040757</v>
      </c>
      <c r="O685" s="7">
        <v>-0.2741524565416771</v>
      </c>
      <c r="P685" s="52">
        <v>55.354180330609964</v>
      </c>
      <c r="Q685" s="34">
        <v>1517.263025480906</v>
      </c>
      <c r="R685" s="13">
        <v>5027.132102570184</v>
      </c>
      <c r="S685" s="56">
        <v>-0.7002789277778627</v>
      </c>
      <c r="T685" s="52">
        <v>280235.69559610984</v>
      </c>
      <c r="U685" s="50">
        <v>32879.089762171236</v>
      </c>
      <c r="V685" s="50">
        <v>-264796.5850561748</v>
      </c>
    </row>
    <row r="686">
      <c r="A686" s="54">
        <v>44970.95995925926</v>
      </c>
      <c r="B686" s="47">
        <v>0.5722977892282183</v>
      </c>
      <c r="C686" s="7">
        <v>-0.009806580868214398</v>
      </c>
      <c r="D686" s="48">
        <v>-0.8968832812201408</v>
      </c>
      <c r="E686" s="49">
        <v>20.94</v>
      </c>
      <c r="F686" s="7">
        <v>-0.013806513808003684</v>
      </c>
      <c r="G686" s="48">
        <v>-0.619594211658423</v>
      </c>
      <c r="H686" s="50">
        <v>-54944.58893213934</v>
      </c>
      <c r="I686" s="56">
        <v>0.017553758155420967</v>
      </c>
      <c r="J686" s="56">
        <v>-1.9013951851143711</v>
      </c>
      <c r="K686" s="50">
        <v>83841.57434700162</v>
      </c>
      <c r="L686" s="56">
        <v>-0.026785799076133137</v>
      </c>
      <c r="M686" s="56">
        <v>2.9013951851143713</v>
      </c>
      <c r="N686" s="51">
        <v>0.003999932939789286</v>
      </c>
      <c r="O686" s="7">
        <v>-0.27728906956171784</v>
      </c>
      <c r="P686" s="52">
        <v>55.0464809993832</v>
      </c>
      <c r="Q686" s="34">
        <v>1379.9897523811974</v>
      </c>
      <c r="R686" s="13">
        <v>5073.3705735411795</v>
      </c>
      <c r="S686" s="56">
        <v>-0.7273959746642101</v>
      </c>
      <c r="T686" s="52">
        <v>280235.69559610984</v>
      </c>
      <c r="U686" s="50">
        <v>28896.985414862276</v>
      </c>
      <c r="V686" s="50">
        <v>-268778.68940348376</v>
      </c>
    </row>
    <row r="687">
      <c r="A687" s="54">
        <v>44969.959963113426</v>
      </c>
      <c r="B687" s="47">
        <v>0.6267243130468085</v>
      </c>
      <c r="C687" s="7">
        <v>0.010605065015154125</v>
      </c>
      <c r="D687" s="48">
        <v>-0.8870767003519264</v>
      </c>
      <c r="E687" s="49">
        <v>21.7</v>
      </c>
      <c r="F687" s="7">
        <v>0.01598648967242544</v>
      </c>
      <c r="G687" s="48">
        <v>-0.6057876978504193</v>
      </c>
      <c r="H687" s="50">
        <v>-54640.10835835414</v>
      </c>
      <c r="I687" s="56">
        <v>-0.017238440753569555</v>
      </c>
      <c r="J687" s="56">
        <v>-1.7266508964614737</v>
      </c>
      <c r="K687" s="50">
        <v>86285.24778424</v>
      </c>
      <c r="L687" s="56">
        <v>0.027222184884416904</v>
      </c>
      <c r="M687" s="56">
        <v>2.7266508964614737</v>
      </c>
      <c r="N687" s="51">
        <v>-0.0053814246572713165</v>
      </c>
      <c r="O687" s="7">
        <v>-0.2812890025015071</v>
      </c>
      <c r="P687" s="52">
        <v>55.0464809993832</v>
      </c>
      <c r="Q687" s="34">
        <v>1458.3013560316062</v>
      </c>
      <c r="R687" s="13">
        <v>5073.3705735411795</v>
      </c>
      <c r="S687" s="56">
        <v>-0.7119262522631807</v>
      </c>
      <c r="T687" s="52">
        <v>280235.69559610984</v>
      </c>
      <c r="U687" s="50">
        <v>31645.139425885856</v>
      </c>
      <c r="V687" s="50">
        <v>-266030.5353924602</v>
      </c>
    </row>
    <row r="688">
      <c r="A688" s="54">
        <v>44968.95995962963</v>
      </c>
      <c r="B688" s="47">
        <v>0.5678662022127028</v>
      </c>
      <c r="C688" s="7">
        <v>0.010375738997081663</v>
      </c>
      <c r="D688" s="48">
        <v>-0.8976817653670806</v>
      </c>
      <c r="E688" s="49">
        <v>20.82</v>
      </c>
      <c r="F688" s="7">
        <v>0.01289819053116148</v>
      </c>
      <c r="G688" s="48">
        <v>-0.6217741875228447</v>
      </c>
      <c r="H688" s="50">
        <v>-54683.10707584212</v>
      </c>
      <c r="I688" s="56">
        <v>-0.018628412077975103</v>
      </c>
      <c r="J688" s="56">
        <v>-1.9071141615932738</v>
      </c>
      <c r="K688" s="50">
        <v>83356.32873036427</v>
      </c>
      <c r="L688" s="56">
        <v>0.028396265756127352</v>
      </c>
      <c r="M688" s="56">
        <v>2.907114161593274</v>
      </c>
      <c r="N688" s="51">
        <v>-0.002522451534079817</v>
      </c>
      <c r="O688" s="7">
        <v>-0.2759075778442358</v>
      </c>
      <c r="P688" s="52">
        <v>55.0464809993832</v>
      </c>
      <c r="Q688" s="34">
        <v>1377.1960448857901</v>
      </c>
      <c r="R688" s="13">
        <v>5073.3705735411795</v>
      </c>
      <c r="S688" s="56">
        <v>-0.7279478453629198</v>
      </c>
      <c r="T688" s="52">
        <v>280235.69559610984</v>
      </c>
      <c r="U688" s="50">
        <v>28673.221654522153</v>
      </c>
      <c r="V688" s="50">
        <v>-269002.45316382387</v>
      </c>
    </row>
    <row r="689">
      <c r="A689" s="54">
        <v>44967.95996144676</v>
      </c>
      <c r="B689" s="47">
        <v>0.5102808507789</v>
      </c>
      <c r="C689" s="7">
        <v>-0.00913929301619798</v>
      </c>
      <c r="D689" s="48">
        <v>-0.9080575043641622</v>
      </c>
      <c r="E689" s="49">
        <v>20.11</v>
      </c>
      <c r="F689" s="7">
        <v>-0.006539927593264938</v>
      </c>
      <c r="G689" s="48">
        <v>-0.6346723780540062</v>
      </c>
      <c r="H689" s="50">
        <v>-54661.60771709813</v>
      </c>
      <c r="I689" s="56">
        <v>0.01825304682770919</v>
      </c>
      <c r="J689" s="56">
        <v>-2.1214981610437063</v>
      </c>
      <c r="K689" s="50">
        <v>80427.17693644944</v>
      </c>
      <c r="L689" s="56">
        <v>-0.026856894411875516</v>
      </c>
      <c r="M689" s="56">
        <v>3.1214981610437063</v>
      </c>
      <c r="N689" s="51">
        <v>-0.002599365422933042</v>
      </c>
      <c r="O689" s="7">
        <v>-0.273385126310156</v>
      </c>
      <c r="P689" s="52">
        <v>55.0464809993832</v>
      </c>
      <c r="Q689" s="34">
        <v>1281.2316866907663</v>
      </c>
      <c r="R689" s="13">
        <v>5073.3705735411795</v>
      </c>
      <c r="S689" s="56">
        <v>-0.7469047037653747</v>
      </c>
      <c r="T689" s="52">
        <v>280235.69559610984</v>
      </c>
      <c r="U689" s="50">
        <v>25765.56921935131</v>
      </c>
      <c r="V689" s="50">
        <v>-271910.10559899476</v>
      </c>
    </row>
    <row r="690">
      <c r="A690" s="54">
        <v>44966.95997069444</v>
      </c>
      <c r="B690" s="47">
        <v>0.5610039270187985</v>
      </c>
      <c r="C690" s="7">
        <v>-0.034554673567163685</v>
      </c>
      <c r="D690" s="48">
        <v>-0.8989182113479642</v>
      </c>
      <c r="E690" s="49">
        <v>20.47</v>
      </c>
      <c r="F690" s="7">
        <v>-0.049776115570960955</v>
      </c>
      <c r="G690" s="48">
        <v>-0.6281324504607413</v>
      </c>
      <c r="H690" s="50">
        <v>-54966.69385546521</v>
      </c>
      <c r="I690" s="56">
        <v>0.06312336543662475</v>
      </c>
      <c r="J690" s="56">
        <v>-1.9404535175386468</v>
      </c>
      <c r="K690" s="50">
        <v>83293.41921046741</v>
      </c>
      <c r="L690" s="56">
        <v>-0.09565357802151217</v>
      </c>
      <c r="M690" s="56">
        <v>2.940453517538647</v>
      </c>
      <c r="N690" s="51">
        <v>0.01522144200379727</v>
      </c>
      <c r="O690" s="7">
        <v>-0.27078576088722295</v>
      </c>
      <c r="P690" s="52">
        <v>55.0464809993832</v>
      </c>
      <c r="Q690" s="34">
        <v>1383.8165781632736</v>
      </c>
      <c r="R690" s="13">
        <v>5073.3705735411795</v>
      </c>
      <c r="S690" s="56">
        <v>-0.7266400211430679</v>
      </c>
      <c r="T690" s="52">
        <v>280235.69559610984</v>
      </c>
      <c r="U690" s="50">
        <v>28326.725355002207</v>
      </c>
      <c r="V690" s="50">
        <v>-269348.94946334383</v>
      </c>
    </row>
    <row r="691">
      <c r="A691" s="54">
        <v>44965.95997016203</v>
      </c>
      <c r="B691" s="47">
        <v>0.7527823653165572</v>
      </c>
      <c r="C691" s="7">
        <v>-0.008474027736162237</v>
      </c>
      <c r="D691" s="48">
        <v>-0.8643635377808006</v>
      </c>
      <c r="E691" s="49">
        <v>23.21</v>
      </c>
      <c r="F691" s="7">
        <v>-0.009809891389897407</v>
      </c>
      <c r="G691" s="48">
        <v>-0.5783563348897803</v>
      </c>
      <c r="H691" s="50">
        <v>-54857.14950376965</v>
      </c>
      <c r="I691" s="56">
        <v>0.011513392694332762</v>
      </c>
      <c r="J691" s="56">
        <v>-1.4432226288359418</v>
      </c>
      <c r="K691" s="50">
        <v>92867.3278419625</v>
      </c>
      <c r="L691" s="56">
        <v>-0.01949095101713921</v>
      </c>
      <c r="M691" s="56">
        <v>2.443222628835942</v>
      </c>
      <c r="N691" s="51">
        <v>0.0013358636537351698</v>
      </c>
      <c r="O691" s="7">
        <v>-0.2860072028910202</v>
      </c>
      <c r="P691" s="52">
        <v>55.0464809993832</v>
      </c>
      <c r="Q691" s="34">
        <v>1637.6638663590197</v>
      </c>
      <c r="R691" s="13">
        <v>5073.3705735411795</v>
      </c>
      <c r="S691" s="56">
        <v>-0.6764948715408123</v>
      </c>
      <c r="T691" s="52">
        <v>280235.69559610984</v>
      </c>
      <c r="U691" s="50">
        <v>38010.17833819285</v>
      </c>
      <c r="V691" s="50">
        <v>-259665.4964801532</v>
      </c>
    </row>
    <row r="692">
      <c r="A692" s="54">
        <v>44964.95997570602</v>
      </c>
      <c r="B692" s="47">
        <v>0.7998132192522572</v>
      </c>
      <c r="C692" s="7">
        <v>0.008464506492921076</v>
      </c>
      <c r="D692" s="48">
        <v>-0.8558895100446383</v>
      </c>
      <c r="E692" s="49">
        <v>23.75</v>
      </c>
      <c r="F692" s="7">
        <v>0.011808202598950546</v>
      </c>
      <c r="G692" s="48">
        <v>-0.5685464434998829</v>
      </c>
      <c r="H692" s="50">
        <v>-54864.82784617821</v>
      </c>
      <c r="I692" s="56">
        <v>-0.010825718294172438</v>
      </c>
      <c r="J692" s="56">
        <v>-1.3585479531569997</v>
      </c>
      <c r="K692" s="50">
        <v>95249.73124151518</v>
      </c>
      <c r="L692" s="56">
        <v>0.018794313196557434</v>
      </c>
      <c r="M692" s="56">
        <v>2.3585479531569997</v>
      </c>
      <c r="N692" s="51">
        <v>-0.00334369610602947</v>
      </c>
      <c r="O692" s="7">
        <v>-0.2873430665447554</v>
      </c>
      <c r="P692" s="52">
        <v>55.0464809993832</v>
      </c>
      <c r="Q692" s="34">
        <v>1700.41698506682</v>
      </c>
      <c r="R692" s="13">
        <v>5073.3705735411795</v>
      </c>
      <c r="S692" s="56">
        <v>-0.6640985818346004</v>
      </c>
      <c r="T692" s="52">
        <v>280235.69559610984</v>
      </c>
      <c r="U692" s="50">
        <v>40384.90339533697</v>
      </c>
      <c r="V692" s="50">
        <v>-257290.77142300908</v>
      </c>
    </row>
    <row r="693">
      <c r="A693" s="54">
        <v>44963.9599756713</v>
      </c>
      <c r="B693" s="47">
        <v>0.7528352082165457</v>
      </c>
      <c r="C693" s="7">
        <v>-0.005910558783434938</v>
      </c>
      <c r="D693" s="48">
        <v>-0.8643540165375594</v>
      </c>
      <c r="E693" s="49">
        <v>23.1</v>
      </c>
      <c r="F693" s="7">
        <v>-0.009809891389897407</v>
      </c>
      <c r="G693" s="48">
        <v>-0.5803546460988335</v>
      </c>
      <c r="H693" s="50">
        <v>-54930.861590891895</v>
      </c>
      <c r="I693" s="56">
        <v>0.0080407149536412</v>
      </c>
      <c r="J693" s="56">
        <v>-1.445060462571244</v>
      </c>
      <c r="K693" s="50">
        <v>92943.70812130737</v>
      </c>
      <c r="L693" s="56">
        <v>-0.013604990748256803</v>
      </c>
      <c r="M693" s="56">
        <v>2.445060462571244</v>
      </c>
      <c r="N693" s="51">
        <v>0.003899332606462469</v>
      </c>
      <c r="O693" s="7">
        <v>-0.2839993704387259</v>
      </c>
      <c r="P693" s="52">
        <v>55.0464809993832</v>
      </c>
      <c r="Q693" s="34">
        <v>1645.5777718794577</v>
      </c>
      <c r="R693" s="13">
        <v>5073.3705735411795</v>
      </c>
      <c r="S693" s="56">
        <v>-0.6749315537717665</v>
      </c>
      <c r="T693" s="52">
        <v>280235.69559610984</v>
      </c>
      <c r="U693" s="50">
        <v>38012.846530415474</v>
      </c>
      <c r="V693" s="50">
        <v>-259662.82828793058</v>
      </c>
    </row>
    <row r="694">
      <c r="A694" s="54">
        <v>44962.9599566088</v>
      </c>
      <c r="B694" s="47">
        <v>0.7856388094646096</v>
      </c>
      <c r="C694" s="7">
        <v>-0.016935081836786825</v>
      </c>
      <c r="D694" s="48">
        <v>-0.8584434577541245</v>
      </c>
      <c r="E694" s="49">
        <v>23.64</v>
      </c>
      <c r="F694" s="7">
        <v>-0.018348130192215373</v>
      </c>
      <c r="G694" s="48">
        <v>-0.5705447547089361</v>
      </c>
      <c r="H694" s="50">
        <v>-54785.14788196915</v>
      </c>
      <c r="I694" s="56">
        <v>0.022017948186348245</v>
      </c>
      <c r="J694" s="56">
        <v>-1.381050116773159</v>
      </c>
      <c r="K694" s="50">
        <v>94454.34396442221</v>
      </c>
      <c r="L694" s="56">
        <v>-0.03796085128518253</v>
      </c>
      <c r="M694" s="56">
        <v>2.3810501167731593</v>
      </c>
      <c r="N694" s="51">
        <v>0.0014130483554285478</v>
      </c>
      <c r="O694" s="7">
        <v>-0.2878987030451884</v>
      </c>
      <c r="P694" s="52">
        <v>55.0464809993832</v>
      </c>
      <c r="Q694" s="34">
        <v>1678.053979799199</v>
      </c>
      <c r="R694" s="13">
        <v>5073.3705735411795</v>
      </c>
      <c r="S694" s="56">
        <v>-0.6685161836639182</v>
      </c>
      <c r="T694" s="52">
        <v>280235.69559610984</v>
      </c>
      <c r="U694" s="50">
        <v>39669.19608245306</v>
      </c>
      <c r="V694" s="50">
        <v>-258006.47873589298</v>
      </c>
    </row>
    <row r="695">
      <c r="A695" s="54">
        <v>44961.95995826389</v>
      </c>
      <c r="B695" s="47">
        <v>0.8796285136587765</v>
      </c>
      <c r="C695" s="7">
        <v>8.113285004082149E-4</v>
      </c>
      <c r="D695" s="48">
        <v>-0.8415083759173376</v>
      </c>
      <c r="E695" s="49">
        <v>24.65</v>
      </c>
      <c r="F695" s="7">
        <v>-7.2665862147403E-4</v>
      </c>
      <c r="G695" s="48">
        <v>-0.5521966245167207</v>
      </c>
      <c r="H695" s="50">
        <v>-54897.138013291195</v>
      </c>
      <c r="I695" s="56">
        <v>-9.440538622739782E-4</v>
      </c>
      <c r="J695" s="56">
        <v>-1.2360041654697347</v>
      </c>
      <c r="K695" s="50">
        <v>99312.14853425325</v>
      </c>
      <c r="L695" s="56">
        <v>0.0017078489113911445</v>
      </c>
      <c r="M695" s="56">
        <v>2.2360041654697347</v>
      </c>
      <c r="N695" s="51">
        <v>0.001537987121882245</v>
      </c>
      <c r="O695" s="7">
        <v>-0.28931175140061693</v>
      </c>
      <c r="P695" s="52">
        <v>55.0464809993832</v>
      </c>
      <c r="Q695" s="34">
        <v>1801.8259846232074</v>
      </c>
      <c r="R695" s="13">
        <v>5073.3705735411795</v>
      </c>
      <c r="S695" s="56">
        <v>-0.6440661856253926</v>
      </c>
      <c r="T695" s="52">
        <v>280235.69559610984</v>
      </c>
      <c r="U695" s="50">
        <v>44415.01052096206</v>
      </c>
      <c r="V695" s="50">
        <v>-253260.66429738398</v>
      </c>
    </row>
    <row r="696">
      <c r="A696" s="54">
        <v>44960.95996716435</v>
      </c>
      <c r="B696" s="47">
        <v>0.8751256404815108</v>
      </c>
      <c r="C696" s="7">
        <v>0.0016872121765210135</v>
      </c>
      <c r="D696" s="48">
        <v>-0.8423197044177458</v>
      </c>
      <c r="E696" s="49">
        <v>24.69</v>
      </c>
      <c r="F696" s="7">
        <v>0.001089987932210823</v>
      </c>
      <c r="G696" s="48">
        <v>-0.5514699658952467</v>
      </c>
      <c r="H696" s="50">
        <v>-54902.21497047361</v>
      </c>
      <c r="I696" s="56">
        <v>-0.001973507561584999</v>
      </c>
      <c r="J696" s="56">
        <v>-1.242478799108062</v>
      </c>
      <c r="K696" s="50">
        <v>99089.86228476682</v>
      </c>
      <c r="L696" s="56">
        <v>0.0035618707296340003</v>
      </c>
      <c r="M696" s="56">
        <v>2.242478799108062</v>
      </c>
      <c r="N696" s="51">
        <v>5.972242443101905E-4</v>
      </c>
      <c r="O696" s="7">
        <v>-0.2908497385224992</v>
      </c>
      <c r="P696" s="52">
        <v>55.0464809993832</v>
      </c>
      <c r="Q696" s="34">
        <v>1789.6981496271044</v>
      </c>
      <c r="R696" s="13">
        <v>5073.3705735411795</v>
      </c>
      <c r="S696" s="56">
        <v>-0.6464619256175492</v>
      </c>
      <c r="T696" s="52">
        <v>280235.69559610984</v>
      </c>
      <c r="U696" s="50">
        <v>44187.64731429321</v>
      </c>
      <c r="V696" s="50">
        <v>-253488.02750405285</v>
      </c>
    </row>
    <row r="697">
      <c r="A697" s="54">
        <v>44959.959972384255</v>
      </c>
      <c r="B697" s="47">
        <v>0.865761612901819</v>
      </c>
      <c r="C697" s="7">
        <v>-0.006650091754655141</v>
      </c>
      <c r="D697" s="48">
        <v>-0.8440069165942669</v>
      </c>
      <c r="E697" s="49">
        <v>24.63</v>
      </c>
      <c r="F697" s="7">
        <v>-0.0049049456949485926</v>
      </c>
      <c r="G697" s="48">
        <v>-0.5525599538274575</v>
      </c>
      <c r="H697" s="50">
        <v>-54922.773328332005</v>
      </c>
      <c r="I697" s="56">
        <v>0.007865591852053051</v>
      </c>
      <c r="J697" s="56">
        <v>-1.2563876613803036</v>
      </c>
      <c r="K697" s="50">
        <v>98637.60356471961</v>
      </c>
      <c r="L697" s="56">
        <v>-0.014126073464401652</v>
      </c>
      <c r="M697" s="56">
        <v>2.2563876613803036</v>
      </c>
      <c r="N697" s="51">
        <v>-0.0017451460597065482</v>
      </c>
      <c r="O697" s="7">
        <v>-0.29144696276680937</v>
      </c>
      <c r="P697" s="52">
        <v>55.0464809993832</v>
      </c>
      <c r="Q697" s="34">
        <v>1774.8611545427368</v>
      </c>
      <c r="R697" s="13">
        <v>5073.3705735411795</v>
      </c>
      <c r="S697" s="56">
        <v>-0.6493928347615534</v>
      </c>
      <c r="T697" s="52">
        <v>280235.69559610984</v>
      </c>
      <c r="U697" s="50">
        <v>43714.83023638761</v>
      </c>
      <c r="V697" s="50">
        <v>-253960.84458195843</v>
      </c>
    </row>
    <row r="698">
      <c r="A698" s="54">
        <v>44958.959970717595</v>
      </c>
      <c r="B698" s="47">
        <v>0.9026696221401547</v>
      </c>
      <c r="C698" s="7">
        <v>0.009596496502592644</v>
      </c>
      <c r="D698" s="48">
        <v>-0.8373568248396117</v>
      </c>
      <c r="E698" s="49">
        <v>24.9</v>
      </c>
      <c r="F698" s="7">
        <v>0.013079855186529876</v>
      </c>
      <c r="G698" s="48">
        <v>-0.5476550081325089</v>
      </c>
      <c r="H698" s="50">
        <v>-54895.520195334</v>
      </c>
      <c r="I698" s="56">
        <v>-0.010881040412150744</v>
      </c>
      <c r="J698" s="56">
        <v>-1.2044190252887883</v>
      </c>
      <c r="K698" s="50">
        <v>100473.94352036533</v>
      </c>
      <c r="L698" s="56">
        <v>0.019915305218405985</v>
      </c>
      <c r="M698" s="56">
        <v>2.204419025288788</v>
      </c>
      <c r="N698" s="51">
        <v>-0.003483358683937232</v>
      </c>
      <c r="O698" s="7">
        <v>-0.2897018167071028</v>
      </c>
      <c r="P698" s="52">
        <v>55.0464809993832</v>
      </c>
      <c r="Q698" s="34">
        <v>1830.4587680735474</v>
      </c>
      <c r="R698" s="13">
        <v>5073.3705735411795</v>
      </c>
      <c r="S698" s="56">
        <v>-0.6384100479536003</v>
      </c>
      <c r="T698" s="52">
        <v>280235.69559610984</v>
      </c>
      <c r="U698" s="50">
        <v>45578.42332503133</v>
      </c>
      <c r="V698" s="50">
        <v>-252097.25149331472</v>
      </c>
    </row>
    <row r="699">
      <c r="A699" s="54">
        <v>44957.95996596065</v>
      </c>
      <c r="B699" s="47">
        <v>0.8494090665507658</v>
      </c>
      <c r="C699" s="7">
        <v>0.009419442588059268</v>
      </c>
      <c r="D699" s="48">
        <v>-0.8469533213422044</v>
      </c>
      <c r="E699" s="49">
        <v>24.18</v>
      </c>
      <c r="F699" s="7">
        <v>0.008356574146949569</v>
      </c>
      <c r="G699" s="48">
        <v>-0.5607348633190388</v>
      </c>
      <c r="H699" s="50">
        <v>-55156.311497056</v>
      </c>
      <c r="I699" s="56">
        <v>-0.0114038937679922</v>
      </c>
      <c r="J699" s="56">
        <v>-1.2860203851906247</v>
      </c>
      <c r="K699" s="50">
        <v>98045.45394939766</v>
      </c>
      <c r="L699" s="56">
        <v>0.020271477749798067</v>
      </c>
      <c r="M699" s="56">
        <v>2.2860203851906244</v>
      </c>
      <c r="N699" s="51">
        <v>0.001062868441109699</v>
      </c>
      <c r="O699" s="7">
        <v>-0.2862184580231656</v>
      </c>
      <c r="P699" s="52">
        <v>55.0464809993832</v>
      </c>
      <c r="Q699" s="34">
        <v>1773.7445182937</v>
      </c>
      <c r="R699" s="13">
        <v>5073.3705735411795</v>
      </c>
      <c r="S699" s="56">
        <v>-0.6496134157736935</v>
      </c>
      <c r="T699" s="52">
        <v>280235.69559610984</v>
      </c>
      <c r="U699" s="50">
        <v>42889.142452341664</v>
      </c>
      <c r="V699" s="50">
        <v>-254786.53236600437</v>
      </c>
    </row>
    <row r="700">
      <c r="A700" s="54">
        <v>44956.959960844906</v>
      </c>
      <c r="B700" s="47">
        <v>0.7971311601870366</v>
      </c>
      <c r="C700" s="7">
        <v>-0.03697864513004179</v>
      </c>
      <c r="D700" s="48">
        <v>-0.8563727639302636</v>
      </c>
      <c r="E700" s="49">
        <v>23.72</v>
      </c>
      <c r="F700" s="7">
        <v>-0.046506151774328375</v>
      </c>
      <c r="G700" s="48">
        <v>-0.5690914374659883</v>
      </c>
      <c r="H700" s="50">
        <v>-55106.06881806399</v>
      </c>
      <c r="I700" s="56">
        <v>0.04766178192245399</v>
      </c>
      <c r="J700" s="56">
        <v>-1.3691126195835956</v>
      </c>
      <c r="K700" s="50">
        <v>95355.54722461323</v>
      </c>
      <c r="L700" s="56">
        <v>-0.0824739524047843</v>
      </c>
      <c r="M700" s="56">
        <v>2.369112619583596</v>
      </c>
      <c r="N700" s="51">
        <v>0.009527506644286587</v>
      </c>
      <c r="O700" s="7">
        <v>-0.2872813264642753</v>
      </c>
      <c r="P700" s="52">
        <v>55.0464809993832</v>
      </c>
      <c r="Q700" s="34">
        <v>1696.8582802086526</v>
      </c>
      <c r="R700" s="13">
        <v>5073.3705735411795</v>
      </c>
      <c r="S700" s="56">
        <v>-0.6648015705833534</v>
      </c>
      <c r="T700" s="52">
        <v>280235.69559610984</v>
      </c>
      <c r="U700" s="50">
        <v>40249.478406549235</v>
      </c>
      <c r="V700" s="50">
        <v>-257426.19641179682</v>
      </c>
    </row>
    <row r="701">
      <c r="A701" s="54">
        <v>44955.95995685185</v>
      </c>
      <c r="B701" s="47">
        <v>1.0023626406587691</v>
      </c>
      <c r="C701" s="7">
        <v>0.03286783872488097</v>
      </c>
      <c r="D701" s="48">
        <v>-0.8193941188002218</v>
      </c>
      <c r="E701" s="49">
        <v>26.28</v>
      </c>
      <c r="F701" s="7">
        <v>0.043236187977695906</v>
      </c>
      <c r="G701" s="48">
        <v>-0.52258528569166</v>
      </c>
      <c r="H701" s="50">
        <v>-55096.42628371201</v>
      </c>
      <c r="I701" s="56">
        <v>-0.033683665213238165</v>
      </c>
      <c r="J701" s="56">
        <v>-1.0885993936321492</v>
      </c>
      <c r="K701" s="50">
        <v>105708.64103048024</v>
      </c>
      <c r="L701" s="56">
        <v>0.06462586985736482</v>
      </c>
      <c r="M701" s="56">
        <v>2.088599393632149</v>
      </c>
      <c r="N701" s="51">
        <v>-0.010368349252814935</v>
      </c>
      <c r="O701" s="7">
        <v>-0.2968088331085619</v>
      </c>
      <c r="P701" s="52">
        <v>55.0464809993832</v>
      </c>
      <c r="Q701" s="34">
        <v>1925.8833617491716</v>
      </c>
      <c r="R701" s="13">
        <v>5073.3705735411795</v>
      </c>
      <c r="S701" s="56">
        <v>-0.619559814966637</v>
      </c>
      <c r="T701" s="52">
        <v>280235.69559610984</v>
      </c>
      <c r="U701" s="50">
        <v>50612.21474676823</v>
      </c>
      <c r="V701" s="50">
        <v>-247063.4600715778</v>
      </c>
    </row>
    <row r="702">
      <c r="A702" s="54">
        <v>44954.959954652775</v>
      </c>
      <c r="B702" s="47">
        <v>0.8199461357356794</v>
      </c>
      <c r="C702" s="7">
        <v>0.00566306648889181</v>
      </c>
      <c r="D702" s="48">
        <v>-0.8522619575251028</v>
      </c>
      <c r="E702" s="49">
        <v>23.9</v>
      </c>
      <c r="F702" s="7">
        <v>-0.004359951728843292</v>
      </c>
      <c r="G702" s="48">
        <v>-0.5658214736693559</v>
      </c>
      <c r="H702" s="50">
        <v>-54649.66758123601</v>
      </c>
      <c r="I702" s="56">
        <v>-0.007037258399138133</v>
      </c>
      <c r="J702" s="56">
        <v>-1.3199933116053357</v>
      </c>
      <c r="K702" s="50">
        <v>96051.14068019645</v>
      </c>
      <c r="L702" s="56">
        <v>0.012368541775551333</v>
      </c>
      <c r="M702" s="56">
        <v>2.319993311605336</v>
      </c>
      <c r="N702" s="51">
        <v>0.010023018217735102</v>
      </c>
      <c r="O702" s="7">
        <v>-0.28644048385574694</v>
      </c>
      <c r="P702" s="52">
        <v>55.0464809993832</v>
      </c>
      <c r="Q702" s="34">
        <v>1732.2792091615247</v>
      </c>
      <c r="R702" s="13">
        <v>5073.3705735411795</v>
      </c>
      <c r="S702" s="56">
        <v>-0.6578044984695753</v>
      </c>
      <c r="T702" s="52">
        <v>280235.69559610984</v>
      </c>
      <c r="U702" s="50">
        <v>41401.473098960436</v>
      </c>
      <c r="V702" s="50">
        <v>-256274.2017193856</v>
      </c>
    </row>
    <row r="703">
      <c r="A703" s="54">
        <v>44953.959970069445</v>
      </c>
      <c r="B703" s="47">
        <v>0.78851611672233</v>
      </c>
      <c r="C703" s="7">
        <v>-0.3456219007146387</v>
      </c>
      <c r="D703" s="48">
        <v>-0.8579250240139946</v>
      </c>
      <c r="E703" s="49">
        <v>24.14</v>
      </c>
      <c r="F703" s="7">
        <v>-0.003996622418106277</v>
      </c>
      <c r="G703" s="48">
        <v>-0.5614615219405126</v>
      </c>
      <c r="H703" s="50">
        <v>-54685.483855319995</v>
      </c>
      <c r="I703" s="56">
        <v>0.44690207917264924</v>
      </c>
      <c r="J703" s="56">
        <v>-1.3735074333967698</v>
      </c>
      <c r="K703" s="50">
        <v>94499.96357755882</v>
      </c>
      <c r="L703" s="56">
        <v>-0.7722749663563994</v>
      </c>
      <c r="M703" s="56">
        <v>2.37350743339677</v>
      </c>
      <c r="N703" s="51">
        <v>-0.34162527829653244</v>
      </c>
      <c r="O703" s="7">
        <v>-0.29646350207348204</v>
      </c>
      <c r="P703" s="52">
        <v>55.0464809993832</v>
      </c>
      <c r="Q703" s="34">
        <v>1649.315647151567</v>
      </c>
      <c r="R703" s="13">
        <v>5073.3705735411795</v>
      </c>
      <c r="S703" s="56">
        <v>-0.6741931715891295</v>
      </c>
      <c r="T703" s="52">
        <v>280235.69559610984</v>
      </c>
      <c r="U703" s="50">
        <v>39814.47972223883</v>
      </c>
      <c r="V703" s="50">
        <v>-257861.1950961072</v>
      </c>
    </row>
    <row r="704">
      <c r="A704" s="54">
        <v>44952.95995741898</v>
      </c>
      <c r="B704" s="47">
        <v>2.7067176656885747</v>
      </c>
      <c r="C704" s="7">
        <v>0.10324840267912794</v>
      </c>
      <c r="D704" s="48">
        <v>-0.5123031232993559</v>
      </c>
      <c r="E704" s="81">
        <v>24.36</v>
      </c>
      <c r="F704" s="7">
        <v>-0.0038149577627379916</v>
      </c>
      <c r="G704" s="48">
        <v>-0.5574648995224063</v>
      </c>
      <c r="H704" s="50">
        <v>1105.19</v>
      </c>
      <c r="I704" s="56">
        <v>7.864289700168459E-4</v>
      </c>
      <c r="J704" s="56">
        <v>0.008090885497302415</v>
      </c>
      <c r="K704" s="50">
        <v>135491.72517924482</v>
      </c>
      <c r="L704" s="56">
        <v>0.09641294065139844</v>
      </c>
      <c r="M704" s="56">
        <v>0.9919091145026976</v>
      </c>
      <c r="N704" s="51">
        <v>0.10706336044186593</v>
      </c>
      <c r="O704" s="7">
        <v>0.0451617762230504</v>
      </c>
      <c r="P704" s="52">
        <v>55.0464809993832</v>
      </c>
      <c r="Q704" s="30">
        <v>4384.867136275237</v>
      </c>
      <c r="R704" s="13">
        <v>5073.3705735411795</v>
      </c>
      <c r="S704" s="56">
        <v>0.10828778581812973</v>
      </c>
      <c r="T704" s="52">
        <v>280235.69559610984</v>
      </c>
      <c r="U704" s="50">
        <v>136670.07348225522</v>
      </c>
      <c r="V704" s="50">
        <v>-161005.60133609083</v>
      </c>
    </row>
    <row r="705">
      <c r="A705" s="54">
        <v>44951.95995989583</v>
      </c>
      <c r="B705" s="47">
        <v>2.133689030819415</v>
      </c>
      <c r="C705" s="7">
        <v>0.019977657540343974</v>
      </c>
      <c r="D705" s="48">
        <v>-0.6155515259784838</v>
      </c>
      <c r="E705" s="81">
        <v>24.57</v>
      </c>
      <c r="F705" s="7">
        <v>0.023434740542532695</v>
      </c>
      <c r="G705" s="48">
        <v>-0.5536499417596683</v>
      </c>
      <c r="H705" s="50">
        <v>1105.19</v>
      </c>
      <c r="I705" s="56">
        <v>1.93033224946673E-4</v>
      </c>
      <c r="J705" s="56">
        <v>0.010263781439339965</v>
      </c>
      <c r="K705" s="50">
        <v>106573.44740394219</v>
      </c>
      <c r="L705" s="56">
        <v>0.018614189638041963</v>
      </c>
      <c r="M705" s="56">
        <v>0.98973621856066</v>
      </c>
      <c r="N705" s="51">
        <v>-0.003457083002188721</v>
      </c>
      <c r="O705" s="7">
        <v>-0.06190158421881553</v>
      </c>
      <c r="P705" s="52">
        <v>55.0464809993832</v>
      </c>
      <c r="Q705" s="30">
        <v>4384.867136275237</v>
      </c>
      <c r="R705" s="13">
        <v>5073.3705735411795</v>
      </c>
      <c r="S705" s="56">
        <v>-0.13381064616698832</v>
      </c>
      <c r="T705" s="52">
        <v>280235.69559610984</v>
      </c>
      <c r="U705" s="50">
        <v>107736.18553828256</v>
      </c>
      <c r="V705" s="50">
        <v>-189939.48928006348</v>
      </c>
    </row>
    <row r="706">
      <c r="A706" s="54">
        <v>44950.959956921295</v>
      </c>
      <c r="B706" s="47">
        <v>2.0228130314705055</v>
      </c>
      <c r="C706" s="7">
        <v>-0.01672548073145086</v>
      </c>
      <c r="D706" s="48">
        <v>-0.6355291835188278</v>
      </c>
      <c r="E706" s="81">
        <v>23.28</v>
      </c>
      <c r="F706" s="7">
        <v>-0.019619782779794703</v>
      </c>
      <c r="G706" s="48">
        <v>-0.577084682302201</v>
      </c>
      <c r="H706" s="50">
        <v>1105.19</v>
      </c>
      <c r="I706" s="56">
        <v>-1.7046740948022408E-4</v>
      </c>
      <c r="J706" s="56">
        <v>0.010826364514092466</v>
      </c>
      <c r="K706" s="50">
        <v>100978.01609946173</v>
      </c>
      <c r="L706" s="56">
        <v>-0.015575114522324306</v>
      </c>
      <c r="M706" s="56">
        <v>0.9891736354859075</v>
      </c>
      <c r="N706" s="51">
        <v>0.002894302048343844</v>
      </c>
      <c r="O706" s="7">
        <v>-0.05844450121662681</v>
      </c>
      <c r="P706" s="52">
        <v>55.0464809993832</v>
      </c>
      <c r="Q706" s="30">
        <v>4387.359655544818</v>
      </c>
      <c r="R706" s="13">
        <v>5073.3705735411795</v>
      </c>
      <c r="S706" s="56">
        <v>-0.13331827237584779</v>
      </c>
      <c r="T706" s="52">
        <v>280235.69559610984</v>
      </c>
      <c r="U706" s="50">
        <v>102137.73278108338</v>
      </c>
      <c r="V706" s="50">
        <v>-195537.94203726266</v>
      </c>
    </row>
    <row r="707">
      <c r="A707" s="54">
        <v>44949.95997473379</v>
      </c>
      <c r="B707" s="47">
        <v>2.1156394495300574</v>
      </c>
      <c r="C707" s="7">
        <v>0.004026501610568167</v>
      </c>
      <c r="D707" s="48">
        <v>-0.618803702787377</v>
      </c>
      <c r="E707" s="81">
        <v>24.36</v>
      </c>
      <c r="F707" s="7">
        <v>0.004723281039580085</v>
      </c>
      <c r="G707" s="48">
        <v>-0.5574648995224063</v>
      </c>
      <c r="H707" s="50">
        <v>1105.19</v>
      </c>
      <c r="I707" s="56">
        <v>3.923781604975522E-5</v>
      </c>
      <c r="J707" s="56">
        <v>0.010351346417633986</v>
      </c>
      <c r="K707" s="50">
        <v>105662.56323809654</v>
      </c>
      <c r="L707" s="56">
        <v>0.003751362407986012</v>
      </c>
      <c r="M707" s="56">
        <v>0.989648653582366</v>
      </c>
      <c r="N707" s="51">
        <v>-6.967794290119178E-4</v>
      </c>
      <c r="O707" s="7">
        <v>-0.061338803264970654</v>
      </c>
      <c r="P707" s="52">
        <v>55.0464809993832</v>
      </c>
      <c r="Q707" s="30">
        <v>4385.254905913007</v>
      </c>
      <c r="R707" s="13">
        <v>5073.3705735411795</v>
      </c>
      <c r="S707" s="56">
        <v>-0.133734045913996</v>
      </c>
      <c r="T707" s="52">
        <v>280235.69559610984</v>
      </c>
      <c r="U707" s="50">
        <v>106824.80950804084</v>
      </c>
      <c r="V707" s="50">
        <v>-190850.8653103052</v>
      </c>
    </row>
    <row r="708">
      <c r="A708" s="54">
        <v>44948.95996761574</v>
      </c>
      <c r="B708" s="47">
        <v>2.0932923655914046</v>
      </c>
      <c r="C708" s="7">
        <v>-0.017964405374954917</v>
      </c>
      <c r="D708" s="48">
        <v>-0.6228302043979451</v>
      </c>
      <c r="E708" s="81">
        <v>24.1</v>
      </c>
      <c r="F708" s="7">
        <v>-0.02107310002274243</v>
      </c>
      <c r="G708" s="48">
        <v>-0.5621881805619864</v>
      </c>
      <c r="H708" s="50">
        <v>1105.19</v>
      </c>
      <c r="I708" s="56">
        <v>-1.7693002438201594E-4</v>
      </c>
      <c r="J708" s="56">
        <v>0.010461852291007441</v>
      </c>
      <c r="K708" s="50">
        <v>104534.80273340667</v>
      </c>
      <c r="L708" s="56">
        <v>-0.016734991446168412</v>
      </c>
      <c r="M708" s="56">
        <v>0.9895381477089925</v>
      </c>
      <c r="N708" s="51">
        <v>0.0031086946477875133</v>
      </c>
      <c r="O708" s="7">
        <v>-0.060642023835958736</v>
      </c>
      <c r="P708" s="52">
        <v>55.0464809993832</v>
      </c>
      <c r="Q708" s="30">
        <v>4385.744399518026</v>
      </c>
      <c r="R708" s="13">
        <v>5073.3705735411795</v>
      </c>
      <c r="S708" s="56">
        <v>-0.1336373510458827</v>
      </c>
      <c r="T708" s="52">
        <v>280235.69559610984</v>
      </c>
      <c r="U708" s="50">
        <v>105696.44002838442</v>
      </c>
      <c r="V708" s="50">
        <v>-191979.23478996163</v>
      </c>
    </row>
    <row r="709">
      <c r="A709" s="54">
        <v>44947.95998650463</v>
      </c>
      <c r="B709" s="47">
        <v>2.1929948154224044</v>
      </c>
      <c r="C709" s="7">
        <v>-0.0014492451108094606</v>
      </c>
      <c r="D709" s="48">
        <v>-0.6048657990229902</v>
      </c>
      <c r="E709" s="81">
        <v>25.26</v>
      </c>
      <c r="F709" s="7">
        <v>-0.001453317242947838</v>
      </c>
      <c r="G709" s="48">
        <v>-0.541115080539244</v>
      </c>
      <c r="H709" s="50">
        <v>1105.19</v>
      </c>
      <c r="I709" s="56">
        <v>-1.3624573960234451E-5</v>
      </c>
      <c r="J709" s="56">
        <v>0.009986216564827797</v>
      </c>
      <c r="K709" s="50">
        <v>109566.35340439223</v>
      </c>
      <c r="L709" s="56">
        <v>-0.0013507133483937853</v>
      </c>
      <c r="M709" s="56">
        <v>0.9900137834351722</v>
      </c>
      <c r="N709" s="51">
        <v>4.072132138377427E-6</v>
      </c>
      <c r="O709" s="7">
        <v>-0.06375071848374625</v>
      </c>
      <c r="P709" s="52">
        <v>55.0464809993832</v>
      </c>
      <c r="Q709" s="30">
        <v>4383.63846653228</v>
      </c>
      <c r="R709" s="13">
        <v>5073.3705735411795</v>
      </c>
      <c r="S709" s="56">
        <v>-0.1340533583444956</v>
      </c>
      <c r="T709" s="52">
        <v>280235.69559610984</v>
      </c>
      <c r="U709" s="50">
        <v>110730.7076646054</v>
      </c>
      <c r="V709" s="50">
        <v>-186944.96715374064</v>
      </c>
    </row>
    <row r="710">
      <c r="A710" s="46">
        <v>44946.97788369213</v>
      </c>
      <c r="B710" s="47">
        <v>2.201038125787397</v>
      </c>
      <c r="C710" s="7">
        <v>0.05990562149149814</v>
      </c>
      <c r="D710" s="48">
        <v>-0.6034165539121807</v>
      </c>
      <c r="E710" s="81">
        <v>25.34</v>
      </c>
      <c r="F710" s="7">
        <v>0.06994089231686118</v>
      </c>
      <c r="G710" s="48">
        <v>-0.5396617632962961</v>
      </c>
      <c r="H710" s="50">
        <v>1105.19</v>
      </c>
      <c r="I710" s="7">
        <v>5.61123788003796E-4</v>
      </c>
      <c r="J710" s="7">
        <v>0.009949723120881689</v>
      </c>
      <c r="K710" s="50">
        <v>109972.27281708231</v>
      </c>
      <c r="L710" s="7">
        <v>0.05583479609705852</v>
      </c>
      <c r="M710" s="7">
        <v>0.9900502768791183</v>
      </c>
      <c r="N710" s="51">
        <v>-0.01003527082536304</v>
      </c>
      <c r="O710" s="7">
        <v>-0.06375479061588463</v>
      </c>
      <c r="P710" s="52">
        <v>55.0464809993832</v>
      </c>
      <c r="Q710" s="13">
        <v>4383.483141952735</v>
      </c>
      <c r="R710" s="13">
        <v>5073.3705735411795</v>
      </c>
      <c r="S710" s="7">
        <v>-0.1340840412575712</v>
      </c>
      <c r="T710" s="52">
        <v>280235.69559610984</v>
      </c>
      <c r="U710" s="52">
        <v>111136.83787632237</v>
      </c>
      <c r="V710" s="52">
        <v>-186538.83694202366</v>
      </c>
    </row>
    <row r="711">
      <c r="A711" s="54">
        <v>44945.95996395833</v>
      </c>
      <c r="B711" s="47">
        <v>1.8685619265095819</v>
      </c>
      <c r="C711" s="7">
        <v>0.006972340779777486</v>
      </c>
      <c r="D711" s="48">
        <v>-0.6633221754036789</v>
      </c>
      <c r="E711" s="81">
        <v>21.49</v>
      </c>
      <c r="F711" s="7">
        <v>0.007993244836212554</v>
      </c>
      <c r="G711" s="48">
        <v>-0.6096026556131573</v>
      </c>
      <c r="H711" s="50">
        <v>1105.19</v>
      </c>
      <c r="I711" s="56">
        <v>7.688784575159518E-5</v>
      </c>
      <c r="J711" s="56">
        <v>0.011713831719498757</v>
      </c>
      <c r="K711" s="50">
        <v>93243.95436753509</v>
      </c>
      <c r="L711" s="56">
        <v>0.006486963129126953</v>
      </c>
      <c r="M711" s="56">
        <v>0.9882861682805012</v>
      </c>
      <c r="N711" s="51">
        <v>-0.001020904056435068</v>
      </c>
      <c r="O711" s="7">
        <v>-0.053719519790521586</v>
      </c>
      <c r="P711" s="52">
        <v>55.0464809993832</v>
      </c>
      <c r="Q711" s="30">
        <v>4390.374330736859</v>
      </c>
      <c r="R711" s="13">
        <v>5073.3705735411795</v>
      </c>
      <c r="S711" s="56">
        <v>-0.13272275158229693</v>
      </c>
      <c r="T711" s="52">
        <v>280235.69559610984</v>
      </c>
      <c r="U711" s="50">
        <v>94349.14436753509</v>
      </c>
      <c r="V711" s="50">
        <v>-203326.53045081097</v>
      </c>
    </row>
    <row r="712">
      <c r="A712" s="54">
        <v>44944.95997984953</v>
      </c>
      <c r="B712" s="47">
        <v>1.8298654351818173</v>
      </c>
      <c r="C712" s="7">
        <v>-0.03357497877476101</v>
      </c>
      <c r="D712" s="48">
        <v>-0.6702945161834564</v>
      </c>
      <c r="E712" s="81">
        <v>21.05</v>
      </c>
      <c r="F712" s="7">
        <v>-0.039421230214957914</v>
      </c>
      <c r="G712" s="48">
        <v>-0.6175959004493699</v>
      </c>
      <c r="H712" s="50">
        <v>1105.06</v>
      </c>
      <c r="I712" s="56">
        <v>-3.7803506782999074E-4</v>
      </c>
      <c r="J712" s="56">
        <v>0.011960139213156598</v>
      </c>
      <c r="K712" s="50">
        <v>91290.18559918106</v>
      </c>
      <c r="L712" s="56">
        <v>-0.03122988028269855</v>
      </c>
      <c r="M712" s="56">
        <v>0.9880398607868435</v>
      </c>
      <c r="N712" s="51">
        <v>0.0058462514401969035</v>
      </c>
      <c r="O712" s="7">
        <v>-0.05269861573408652</v>
      </c>
      <c r="P712" s="52">
        <v>55.0464809993832</v>
      </c>
      <c r="Q712" s="30">
        <v>4389.322831315015</v>
      </c>
      <c r="R712" s="13">
        <v>5073.3705735411795</v>
      </c>
      <c r="S712" s="56">
        <v>-0.13293046542548906</v>
      </c>
      <c r="T712" s="52">
        <v>280235.69559610984</v>
      </c>
      <c r="U712" s="50">
        <v>92395.24559918106</v>
      </c>
      <c r="V712" s="50">
        <v>-205280.429219165</v>
      </c>
    </row>
    <row r="713">
      <c r="A713" s="54">
        <v>44943.95997766204</v>
      </c>
      <c r="B713" s="47">
        <v>2.0162065673817406</v>
      </c>
      <c r="C713" s="7">
        <v>-0.003728399327363241</v>
      </c>
      <c r="D713" s="48">
        <v>-0.6367195374086954</v>
      </c>
      <c r="E713" s="81">
        <v>23.22</v>
      </c>
      <c r="F713" s="7">
        <v>-0.011253078370208058</v>
      </c>
      <c r="G713" s="48">
        <v>-0.5781746702344119</v>
      </c>
      <c r="H713" s="50">
        <v>1105.06</v>
      </c>
      <c r="I713" s="56">
        <v>-3.809981713204637E-5</v>
      </c>
      <c r="J713" s="56">
        <v>0.010854763445463083</v>
      </c>
      <c r="K713" s="50">
        <v>100699.09313075081</v>
      </c>
      <c r="L713" s="56">
        <v>-0.0034718630967047154</v>
      </c>
      <c r="M713" s="56">
        <v>0.9891452365545369</v>
      </c>
      <c r="N713" s="51">
        <v>0.007524679042844817</v>
      </c>
      <c r="O713" s="7">
        <v>-0.05854486717428342</v>
      </c>
      <c r="P713" s="52">
        <v>55.0464809993832</v>
      </c>
      <c r="Q713" s="30">
        <v>4384.330453520707</v>
      </c>
      <c r="R713" s="13">
        <v>5073.3705735411795</v>
      </c>
      <c r="S713" s="56">
        <v>-0.13391666280875003</v>
      </c>
      <c r="T713" s="52">
        <v>280235.69559610984</v>
      </c>
      <c r="U713" s="50">
        <v>101804.15313075081</v>
      </c>
      <c r="V713" s="50">
        <v>-195871.52168759523</v>
      </c>
    </row>
    <row r="714">
      <c r="A714" s="54">
        <v>44942.9599696875</v>
      </c>
      <c r="B714" s="47">
        <v>2.0368991836486066</v>
      </c>
      <c r="C714" s="7">
        <v>0.008551223143966724</v>
      </c>
      <c r="D714" s="48">
        <v>-0.6329911380813321</v>
      </c>
      <c r="E714" s="81">
        <v>23.72</v>
      </c>
      <c r="F714" s="7">
        <v>0.013145718965336117</v>
      </c>
      <c r="G714" s="48">
        <v>-0.5669215918642039</v>
      </c>
      <c r="H714" s="50">
        <v>0.0</v>
      </c>
      <c r="I714" s="56">
        <v>0.0</v>
      </c>
      <c r="J714" s="56">
        <v>0.0</v>
      </c>
      <c r="K714" s="50">
        <v>102848.98370971452</v>
      </c>
      <c r="L714" s="56">
        <v>0.008050231069130609</v>
      </c>
      <c r="M714" s="56">
        <v>1.0</v>
      </c>
      <c r="N714" s="51">
        <v>-0.004594495821369393</v>
      </c>
      <c r="O714" s="7">
        <v>-0.06606954621712824</v>
      </c>
      <c r="P714" s="52">
        <v>54.77068252398848</v>
      </c>
      <c r="Q714" s="30">
        <v>4335.960527391</v>
      </c>
      <c r="R714" s="13">
        <v>5117.609387633862</v>
      </c>
      <c r="S714" s="56">
        <v>-0.1434716877974505</v>
      </c>
      <c r="T714" s="52">
        <v>280235.69559610984</v>
      </c>
      <c r="U714" s="50">
        <v>102848.98370971452</v>
      </c>
      <c r="V714" s="50">
        <v>-194826.69110863152</v>
      </c>
    </row>
    <row r="715">
      <c r="A715" s="54">
        <v>44941.95996822917</v>
      </c>
      <c r="B715" s="47">
        <v>1.9894398951995913</v>
      </c>
      <c r="C715" s="7">
        <v>0.023024489733911135</v>
      </c>
      <c r="D715" s="48">
        <v>-0.6415423612252988</v>
      </c>
      <c r="E715" s="81">
        <v>23.0</v>
      </c>
      <c r="F715" s="7">
        <v>3.65158860148207E-4</v>
      </c>
      <c r="G715" s="48">
        <v>-0.58006731082954</v>
      </c>
      <c r="H715" s="50">
        <v>0.0</v>
      </c>
      <c r="I715" s="56">
        <v>0.0</v>
      </c>
      <c r="J715" s="56">
        <v>0.0</v>
      </c>
      <c r="K715" s="50">
        <v>100436.05434965776</v>
      </c>
      <c r="L715" s="56">
        <v>0.021675549741393962</v>
      </c>
      <c r="M715" s="56">
        <v>1.0</v>
      </c>
      <c r="N715" s="51">
        <v>0.02265933087376293</v>
      </c>
      <c r="O715" s="7">
        <v>-0.061475050395758846</v>
      </c>
      <c r="P715" s="52">
        <v>54.77068252398848</v>
      </c>
      <c r="Q715" s="30">
        <v>4367.505467120324</v>
      </c>
      <c r="R715" s="13">
        <v>5117.609387633862</v>
      </c>
      <c r="S715" s="56">
        <v>-0.1372402809813126</v>
      </c>
      <c r="T715" s="52">
        <v>280235.69559610984</v>
      </c>
      <c r="U715" s="50">
        <v>100452.62574376745</v>
      </c>
      <c r="V715" s="50">
        <v>-197223.0490745786</v>
      </c>
    </row>
    <row r="716">
      <c r="A716" s="54">
        <v>44940.95996763889</v>
      </c>
      <c r="B716" s="47">
        <v>1.8616539771763845</v>
      </c>
      <c r="C716" s="7">
        <v>0.07493625447174579</v>
      </c>
      <c r="D716" s="48">
        <v>-0.66456685095921</v>
      </c>
      <c r="E716" s="81">
        <v>22.98</v>
      </c>
      <c r="F716" s="7">
        <v>0.08855102358594491</v>
      </c>
      <c r="G716" s="48">
        <v>-0.5804324696896882</v>
      </c>
      <c r="H716" s="50">
        <v>0.0</v>
      </c>
      <c r="I716" s="56">
        <v>0.0</v>
      </c>
      <c r="J716" s="56">
        <v>0.0</v>
      </c>
      <c r="K716" s="50">
        <v>94000.34184743938</v>
      </c>
      <c r="L716" s="56">
        <v>0.07054595042094625</v>
      </c>
      <c r="M716" s="56">
        <v>1.0</v>
      </c>
      <c r="N716" s="51">
        <v>-0.013614769114199121</v>
      </c>
      <c r="O716" s="7">
        <v>-0.08413438126952177</v>
      </c>
      <c r="P716" s="52">
        <v>54.77068252398848</v>
      </c>
      <c r="Q716" s="30">
        <v>4090.528365858981</v>
      </c>
      <c r="R716" s="13">
        <v>5117.609387633862</v>
      </c>
      <c r="S716" s="56">
        <v>-0.19195450809741654</v>
      </c>
      <c r="T716" s="52">
        <v>280235.69559610984</v>
      </c>
      <c r="U716" s="50">
        <v>94000.34184743938</v>
      </c>
      <c r="V716" s="50">
        <v>-203675.33297090666</v>
      </c>
    </row>
    <row r="717">
      <c r="A717" s="46">
        <v>44939.99209555556</v>
      </c>
      <c r="B717" s="47">
        <v>1.4457577648581958</v>
      </c>
      <c r="C717" s="7">
        <v>0.011065477520775469</v>
      </c>
      <c r="D717" s="48">
        <v>-0.7395031054309558</v>
      </c>
      <c r="E717" s="81">
        <v>18.13</v>
      </c>
      <c r="F717" s="7">
        <v>0.030332118976784672</v>
      </c>
      <c r="G717" s="48">
        <v>-0.6689834932756331</v>
      </c>
      <c r="H717" s="50">
        <v>0.0</v>
      </c>
      <c r="I717" s="7">
        <v>0.0</v>
      </c>
      <c r="J717" s="7">
        <v>0.0</v>
      </c>
      <c r="K717" s="50">
        <v>73000.52845018261</v>
      </c>
      <c r="L717" s="7">
        <v>0.01041718236476663</v>
      </c>
      <c r="M717" s="7">
        <v>1.0</v>
      </c>
      <c r="N717" s="51">
        <v>-0.019266641456009204</v>
      </c>
      <c r="O717" s="7">
        <v>-0.07051961215532265</v>
      </c>
      <c r="P717" s="52">
        <v>54.77068252398848</v>
      </c>
      <c r="Q717" s="13">
        <v>4026.5046028782467</v>
      </c>
      <c r="R717" s="13">
        <v>5117.609387633862</v>
      </c>
      <c r="S717" s="7">
        <v>-0.20460180165563102</v>
      </c>
      <c r="T717" s="52">
        <v>280235.69559610984</v>
      </c>
      <c r="U717" s="52">
        <v>73000.52845018261</v>
      </c>
      <c r="V717" s="52">
        <v>-224675.14636816343</v>
      </c>
    </row>
    <row r="718">
      <c r="A718" s="54">
        <v>44938.95998511574</v>
      </c>
      <c r="B718" s="47">
        <v>1.3843443646178912</v>
      </c>
      <c r="C718" s="7">
        <v>0.004341137892848845</v>
      </c>
      <c r="D718" s="48">
        <v>-0.7505685829517312</v>
      </c>
      <c r="E718" s="81">
        <v>16.35</v>
      </c>
      <c r="F718" s="7">
        <v>0.005149335080692596</v>
      </c>
      <c r="G718" s="48">
        <v>-0.6993156122524178</v>
      </c>
      <c r="H718" s="50">
        <v>3451.0</v>
      </c>
      <c r="I718" s="56">
        <v>2.0204510095572174E-4</v>
      </c>
      <c r="J718" s="56">
        <v>0.049438426131384654</v>
      </c>
      <c r="K718" s="50">
        <v>66353.00206974278</v>
      </c>
      <c r="L718" s="56">
        <v>0.003884757751925933</v>
      </c>
      <c r="M718" s="56">
        <v>0.9505615738686154</v>
      </c>
      <c r="N718" s="51">
        <v>-8.08197187843751E-4</v>
      </c>
      <c r="O718" s="7">
        <v>-0.05125297069931345</v>
      </c>
      <c r="P718" s="52">
        <v>54.375952547710796</v>
      </c>
      <c r="Q718" s="30">
        <v>4275.204077066969</v>
      </c>
      <c r="R718" s="13">
        <v>5173.2336987002545</v>
      </c>
      <c r="S718" s="56">
        <v>-0.1554735544017974</v>
      </c>
      <c r="T718" s="52">
        <v>280235.69559610984</v>
      </c>
      <c r="U718" s="50">
        <v>69899.58666004495</v>
      </c>
      <c r="V718" s="50">
        <v>-227776.08815830108</v>
      </c>
    </row>
    <row r="719">
      <c r="A719" s="54">
        <v>44937.95995883102</v>
      </c>
      <c r="B719" s="47">
        <v>1.3602510493125806</v>
      </c>
      <c r="C719" s="7">
        <v>-0.0038685128696129834</v>
      </c>
      <c r="D719" s="48">
        <v>-0.7549097208445801</v>
      </c>
      <c r="E719" s="81">
        <v>16.07</v>
      </c>
      <c r="F719" s="7">
        <v>-0.004597620607761144</v>
      </c>
      <c r="G719" s="48">
        <v>-0.7044649473331104</v>
      </c>
      <c r="H719" s="50">
        <v>3200.0</v>
      </c>
      <c r="I719" s="56">
        <v>-1.6991004097256527E-4</v>
      </c>
      <c r="J719" s="56">
        <v>0.046654645284044574</v>
      </c>
      <c r="K719" s="50">
        <v>65389.09719530905</v>
      </c>
      <c r="L719" s="56">
        <v>-0.003471957557379379</v>
      </c>
      <c r="M719" s="56">
        <v>0.9533453547159554</v>
      </c>
      <c r="N719" s="51">
        <v>7.291077381481603E-4</v>
      </c>
      <c r="O719" s="7">
        <v>-0.0504447735114697</v>
      </c>
      <c r="P719" s="52">
        <v>54.375952547710796</v>
      </c>
      <c r="Q719" s="30">
        <v>4273.991590725815</v>
      </c>
      <c r="R719" s="13">
        <v>5173.2336987002545</v>
      </c>
      <c r="S719" s="56">
        <v>-0.15571306970014875</v>
      </c>
      <c r="T719" s="52">
        <v>280235.69559610984</v>
      </c>
      <c r="U719" s="50">
        <v>68683.04486296384</v>
      </c>
      <c r="V719" s="50">
        <v>-228992.6299553822</v>
      </c>
    </row>
    <row r="720">
      <c r="A720" s="54">
        <v>44936.95997726852</v>
      </c>
      <c r="B720" s="47">
        <v>1.3817212957389322</v>
      </c>
      <c r="C720" s="7">
        <v>-0.002166367206983155</v>
      </c>
      <c r="D720" s="48">
        <v>-0.7510412079749671</v>
      </c>
      <c r="E720" s="81">
        <v>16.32</v>
      </c>
      <c r="F720" s="7">
        <v>-0.002574667540346298</v>
      </c>
      <c r="G720" s="48">
        <v>-0.6998673267253492</v>
      </c>
      <c r="H720" s="50">
        <v>3200.0</v>
      </c>
      <c r="I720" s="56">
        <v>-9.367108636011819E-5</v>
      </c>
      <c r="J720" s="56">
        <v>0.04592967551794961</v>
      </c>
      <c r="K720" s="50">
        <v>66471.73105216952</v>
      </c>
      <c r="L720" s="56">
        <v>-0.0019457747687169752</v>
      </c>
      <c r="M720" s="56">
        <v>0.9540703244820504</v>
      </c>
      <c r="N720" s="51">
        <v>4.08300333363143E-4</v>
      </c>
      <c r="O720" s="7">
        <v>-0.05117388124961786</v>
      </c>
      <c r="P720" s="52">
        <v>54.375952547710796</v>
      </c>
      <c r="Q720" s="30">
        <v>4274.947319724407</v>
      </c>
      <c r="R720" s="13">
        <v>5173.2336987002545</v>
      </c>
      <c r="S720" s="56">
        <v>-0.1555242744053309</v>
      </c>
      <c r="T720" s="52">
        <v>280235.69559610984</v>
      </c>
      <c r="U720" s="50">
        <v>69767.14025790233</v>
      </c>
      <c r="V720" s="50">
        <v>-227908.53456044372</v>
      </c>
    </row>
    <row r="721">
      <c r="A721" s="54">
        <v>44935.95996508102</v>
      </c>
      <c r="B721" s="47">
        <v>1.393744633737689</v>
      </c>
      <c r="C721" s="7">
        <v>0.05632797674296952</v>
      </c>
      <c r="D721" s="48">
        <v>-0.7488748407679839</v>
      </c>
      <c r="E721" s="81">
        <v>16.46</v>
      </c>
      <c r="F721" s="7">
        <v>0.050757731509683546</v>
      </c>
      <c r="G721" s="48">
        <v>-0.6972926591850029</v>
      </c>
      <c r="H721" s="50">
        <v>3200.0</v>
      </c>
      <c r="I721" s="56">
        <v>0.0024145422341051775</v>
      </c>
      <c r="J721" s="56">
        <v>0.045533448963436446</v>
      </c>
      <c r="K721" s="50">
        <v>67078.00601201138</v>
      </c>
      <c r="L721" s="56">
        <v>0.05061333702986328</v>
      </c>
      <c r="M721" s="56">
        <v>0.9544665510365635</v>
      </c>
      <c r="N721" s="51">
        <v>0.005570245233285975</v>
      </c>
      <c r="O721" s="7">
        <v>-0.051582181582981</v>
      </c>
      <c r="P721" s="52">
        <v>54.375952547710796</v>
      </c>
      <c r="Q721" s="30">
        <v>4275.46984684495</v>
      </c>
      <c r="R721" s="13">
        <v>5173.2336987002545</v>
      </c>
      <c r="S721" s="56">
        <v>-0.15542105407622245</v>
      </c>
      <c r="T721" s="52">
        <v>280235.69559610984</v>
      </c>
      <c r="U721" s="50">
        <v>70374.23367906787</v>
      </c>
      <c r="V721" s="50">
        <v>-227301.44113927818</v>
      </c>
    </row>
    <row r="722">
      <c r="A722" s="54">
        <v>44934.95996104166</v>
      </c>
      <c r="B722" s="47">
        <v>1.0811243628142082</v>
      </c>
      <c r="C722" s="7">
        <v>0.008994143873560012</v>
      </c>
      <c r="D722" s="48">
        <v>-0.8052028175109535</v>
      </c>
      <c r="E722" s="81">
        <v>13.7</v>
      </c>
      <c r="F722" s="7">
        <v>0.011402099107247765</v>
      </c>
      <c r="G722" s="48">
        <v>-0.7480503906946865</v>
      </c>
      <c r="H722" s="50">
        <v>3200.0</v>
      </c>
      <c r="I722" s="56">
        <v>4.97027540313812E-4</v>
      </c>
      <c r="J722" s="56">
        <v>0.05870032644510435</v>
      </c>
      <c r="K722" s="50">
        <v>51314.17724214176</v>
      </c>
      <c r="L722" s="56">
        <v>0.007970174780590221</v>
      </c>
      <c r="M722" s="56">
        <v>0.9412996735548956</v>
      </c>
      <c r="N722" s="51">
        <v>-0.002407955233687753</v>
      </c>
      <c r="O722" s="7">
        <v>-0.05715242681626698</v>
      </c>
      <c r="P722" s="52">
        <v>54.375952547710796</v>
      </c>
      <c r="Q722" s="30">
        <v>3984.6075864949125</v>
      </c>
      <c r="R722" s="13">
        <v>5173.2336987002545</v>
      </c>
      <c r="S722" s="56">
        <v>-0.21287816406770604</v>
      </c>
      <c r="T722" s="52">
        <v>280235.69559610984</v>
      </c>
      <c r="U722" s="50">
        <v>54589.1239349803</v>
      </c>
      <c r="V722" s="50">
        <v>-243086.55088336574</v>
      </c>
    </row>
    <row r="723">
      <c r="A723" s="54">
        <v>44933.95998439815</v>
      </c>
      <c r="B723" s="47">
        <v>1.03120686431595</v>
      </c>
      <c r="C723" s="7">
        <v>-0.004486590478475216</v>
      </c>
      <c r="D723" s="48">
        <v>-0.8141969613845135</v>
      </c>
      <c r="E723" s="81">
        <v>13.08</v>
      </c>
      <c r="F723" s="7">
        <v>-0.005701049553623827</v>
      </c>
      <c r="G723" s="48">
        <v>-0.7594524898019342</v>
      </c>
      <c r="H723" s="50">
        <v>3195.35</v>
      </c>
      <c r="I723" s="56">
        <v>-2.595589107541731E-4</v>
      </c>
      <c r="J723" s="56">
        <v>0.061452478824692625</v>
      </c>
      <c r="K723" s="50">
        <v>48801.73882558624</v>
      </c>
      <c r="L723" s="56">
        <v>-0.003964174870508333</v>
      </c>
      <c r="M723" s="56">
        <v>0.9385475211753074</v>
      </c>
      <c r="N723" s="51">
        <v>0.0012144590751486106</v>
      </c>
      <c r="O723" s="7">
        <v>-0.054744471582579224</v>
      </c>
      <c r="P723" s="52">
        <v>54.375952547710796</v>
      </c>
      <c r="Q723" s="30">
        <v>3980.7831628655745</v>
      </c>
      <c r="R723" s="13">
        <v>5173.2336987002545</v>
      </c>
      <c r="S723" s="56">
        <v>-0.21363364306611737</v>
      </c>
      <c r="T723" s="52">
        <v>280235.69559610984</v>
      </c>
      <c r="U723" s="50">
        <v>52068.64377028171</v>
      </c>
      <c r="V723" s="50">
        <v>-245607.03104806432</v>
      </c>
    </row>
    <row r="724">
      <c r="A724" s="54">
        <v>44932.959978125</v>
      </c>
      <c r="B724" s="47">
        <v>1.0561074414714873</v>
      </c>
      <c r="C724" s="7">
        <v>-0.017082953170964643</v>
      </c>
      <c r="D724" s="48">
        <v>-0.8097103709060383</v>
      </c>
      <c r="E724" s="81">
        <v>13.39</v>
      </c>
      <c r="F724" s="7">
        <v>-0.0011034289458626834</v>
      </c>
      <c r="G724" s="48">
        <v>-0.7537514402483104</v>
      </c>
      <c r="H724" s="50">
        <v>3195.35</v>
      </c>
      <c r="I724" s="56">
        <v>-9.649835162858485E-4</v>
      </c>
      <c r="J724" s="56">
        <v>0.06000353512044837</v>
      </c>
      <c r="K724" s="50">
        <v>50057.34575510509</v>
      </c>
      <c r="L724" s="56">
        <v>-0.015117127551816796</v>
      </c>
      <c r="M724" s="56">
        <v>0.9399964648795517</v>
      </c>
      <c r="N724" s="51">
        <v>-0.01597952422510196</v>
      </c>
      <c r="O724" s="7">
        <v>-0.055958930657727834</v>
      </c>
      <c r="P724" s="52">
        <v>54.375952547710796</v>
      </c>
      <c r="Q724" s="30">
        <v>3982.5202818425755</v>
      </c>
      <c r="R724" s="13">
        <v>5173.2336987002545</v>
      </c>
      <c r="S724" s="56">
        <v>-0.2132904915138681</v>
      </c>
      <c r="T724" s="52">
        <v>280235.69559610984</v>
      </c>
      <c r="U724" s="50">
        <v>53325.94657387209</v>
      </c>
      <c r="V724" s="50">
        <v>-244349.72824447395</v>
      </c>
    </row>
    <row r="725">
      <c r="A725" s="54">
        <v>44931.959969710646</v>
      </c>
      <c r="B725" s="47">
        <v>1.1509178315703414</v>
      </c>
      <c r="C725" s="7">
        <v>-0.035100477815433795</v>
      </c>
      <c r="D725" s="48">
        <v>-0.7926274177350736</v>
      </c>
      <c r="E725" s="81">
        <v>13.45</v>
      </c>
      <c r="F725" s="7">
        <v>-0.0014712385944836148</v>
      </c>
      <c r="G725" s="48">
        <v>-0.7526480113024477</v>
      </c>
      <c r="H725" s="50">
        <v>3195.35</v>
      </c>
      <c r="I725" s="56">
        <v>-0.0015632859659345272</v>
      </c>
      <c r="J725" s="56">
        <v>0.04730916619567287</v>
      </c>
      <c r="K725" s="50">
        <v>64346.52944855943</v>
      </c>
      <c r="L725" s="56">
        <v>-0.031480753733871325</v>
      </c>
      <c r="M725" s="56">
        <v>0.9526908338043272</v>
      </c>
      <c r="N725" s="51">
        <v>-0.03362923922095018</v>
      </c>
      <c r="O725" s="7">
        <v>-0.039979406432625875</v>
      </c>
      <c r="P725" s="52">
        <v>54.375952547710796</v>
      </c>
      <c r="Q725" s="30">
        <v>4320.684002867893</v>
      </c>
      <c r="R725" s="13">
        <v>5173.2336987002545</v>
      </c>
      <c r="S725" s="56">
        <v>-0.14648942185739858</v>
      </c>
      <c r="T725" s="52">
        <v>280235.69559610984</v>
      </c>
      <c r="U725" s="50">
        <v>58113.19983857316</v>
      </c>
      <c r="V725" s="50">
        <v>-239562.47497977287</v>
      </c>
    </row>
    <row r="726">
      <c r="A726" s="46">
        <v>44930.96259105324</v>
      </c>
      <c r="B726" s="47">
        <v>1.3457254834459988</v>
      </c>
      <c r="C726" s="7">
        <v>0.004495690091690263</v>
      </c>
      <c r="D726" s="48">
        <v>-0.7575269399196398</v>
      </c>
      <c r="E726" s="81">
        <v>13.53</v>
      </c>
      <c r="F726" s="7">
        <v>0.004597620607761255</v>
      </c>
      <c r="G726" s="48">
        <v>-0.7511767727079641</v>
      </c>
      <c r="H726" s="50">
        <v>3195.35</v>
      </c>
      <c r="I726" s="7">
        <v>-5.047851573781988E-4</v>
      </c>
      <c r="J726" s="7">
        <v>0.04702529061318463</v>
      </c>
      <c r="K726" s="50">
        <v>64754.25665493706</v>
      </c>
      <c r="L726" s="7">
        <v>-0.010229548448987023</v>
      </c>
      <c r="M726" s="7">
        <v>0.9529747093868154</v>
      </c>
      <c r="N726" s="51">
        <v>-1.0193051607099157E-4</v>
      </c>
      <c r="O726" s="7">
        <v>-0.006350167211675695</v>
      </c>
      <c r="P726" s="52">
        <v>54.375952547710796</v>
      </c>
      <c r="Q726" s="13">
        <v>5022.143876935481</v>
      </c>
      <c r="R726" s="13">
        <v>5173.2336987002545</v>
      </c>
      <c r="S726" s="7">
        <v>-0.00792260644996102</v>
      </c>
      <c r="T726" s="52">
        <v>280235.69559610984</v>
      </c>
      <c r="U726" s="52">
        <v>67949.60665493706</v>
      </c>
      <c r="V726" s="52">
        <v>-229726.06816340899</v>
      </c>
    </row>
    <row r="727">
      <c r="A727" s="54">
        <v>44929.959972881945</v>
      </c>
      <c r="B727" s="47">
        <v>1.320774403437118</v>
      </c>
      <c r="C727" s="7">
        <v>0.035338131032381814</v>
      </c>
      <c r="D727" s="48">
        <v>-0.7620226300113301</v>
      </c>
      <c r="E727" s="81">
        <v>13.28</v>
      </c>
      <c r="F727" s="7">
        <v>0.03678096486208948</v>
      </c>
      <c r="G727" s="48">
        <v>-0.7557743933157254</v>
      </c>
      <c r="H727" s="50">
        <v>0.0</v>
      </c>
      <c r="I727" s="56">
        <v>0.0</v>
      </c>
      <c r="J727" s="56">
        <v>0.0</v>
      </c>
      <c r="K727" s="50">
        <v>66689.75381490772</v>
      </c>
      <c r="L727" s="56">
        <v>0.033267769484252474</v>
      </c>
      <c r="M727" s="56">
        <v>1.0</v>
      </c>
      <c r="N727" s="51">
        <v>-0.0014428338297076682</v>
      </c>
      <c r="O727" s="7">
        <v>-0.006248236695604703</v>
      </c>
      <c r="P727" s="52">
        <v>54.375952547710796</v>
      </c>
      <c r="Q727" s="30">
        <v>5021.818811363533</v>
      </c>
      <c r="R727" s="13">
        <v>5173.2336987002545</v>
      </c>
      <c r="S727" s="56">
        <v>-0.007986820103184227</v>
      </c>
      <c r="T727" s="52">
        <v>280235.69559610984</v>
      </c>
      <c r="U727" s="50">
        <v>66689.75381490772</v>
      </c>
      <c r="V727" s="50">
        <v>-230985.92100343833</v>
      </c>
    </row>
    <row r="728">
      <c r="A728" s="54">
        <v>44928.95996101852</v>
      </c>
      <c r="B728" s="47">
        <v>1.1246477762073988</v>
      </c>
      <c r="C728" s="7">
        <v>0.023318122348456094</v>
      </c>
      <c r="D728" s="48">
        <v>-0.7973607610437119</v>
      </c>
      <c r="E728" s="81">
        <v>11.28</v>
      </c>
      <c r="F728" s="7">
        <v>0.023539817511737393</v>
      </c>
      <c r="G728" s="48">
        <v>-0.7925553581778149</v>
      </c>
      <c r="H728" s="50">
        <v>0.0</v>
      </c>
      <c r="I728" s="56">
        <v>0.0</v>
      </c>
      <c r="J728" s="56">
        <v>0.0</v>
      </c>
      <c r="K728" s="50">
        <v>56786.74808398171</v>
      </c>
      <c r="L728" s="56">
        <v>0.02195197924822856</v>
      </c>
      <c r="M728" s="56">
        <v>1.0</v>
      </c>
      <c r="N728" s="51">
        <v>-2.2169516328129912E-4</v>
      </c>
      <c r="O728" s="7">
        <v>-0.004805402865897035</v>
      </c>
      <c r="P728" s="52">
        <v>54.375952547710796</v>
      </c>
      <c r="Q728" s="30">
        <v>5034.286177657953</v>
      </c>
      <c r="R728" s="13">
        <v>5173.2336987002545</v>
      </c>
      <c r="S728" s="56">
        <v>-0.005524008889311001</v>
      </c>
      <c r="T728" s="52">
        <v>280235.69559610984</v>
      </c>
      <c r="U728" s="50">
        <v>56786.74808398171</v>
      </c>
      <c r="V728" s="50">
        <v>-240888.92673436433</v>
      </c>
    </row>
    <row r="729">
      <c r="A729" s="54">
        <v>44927.95995597223</v>
      </c>
      <c r="B729" s="47">
        <v>0.9952321971734674</v>
      </c>
      <c r="C729" s="7">
        <v>7.078488815760453E-4</v>
      </c>
      <c r="D729" s="48">
        <v>-0.820678883392168</v>
      </c>
      <c r="E729" s="81">
        <v>10.0</v>
      </c>
      <c r="F729" s="7">
        <v>7.356192972417519E-4</v>
      </c>
      <c r="G729" s="48">
        <v>-0.8160951756895523</v>
      </c>
      <c r="H729" s="50">
        <v>0.0</v>
      </c>
      <c r="I729" s="56">
        <v>0.0</v>
      </c>
      <c r="J729" s="56">
        <v>0.0</v>
      </c>
      <c r="K729" s="50">
        <v>50252.17784766692</v>
      </c>
      <c r="L729" s="56">
        <v>6.663780096457517E-4</v>
      </c>
      <c r="M729" s="56">
        <v>1.0</v>
      </c>
      <c r="N729" s="51">
        <v>-2.7770415665706594E-5</v>
      </c>
      <c r="O729" s="7">
        <v>-0.004583707702615736</v>
      </c>
      <c r="P729" s="52">
        <v>54.375952547710796</v>
      </c>
      <c r="Q729" s="30">
        <v>5025.217784766692</v>
      </c>
      <c r="R729" s="13">
        <v>5173.2336987002545</v>
      </c>
      <c r="S729" s="56">
        <v>-0.00731538480439926</v>
      </c>
      <c r="T729" s="52">
        <v>280235.69559610984</v>
      </c>
      <c r="U729" s="50">
        <v>50252.17784766692</v>
      </c>
      <c r="V729" s="50">
        <v>-247423.49697067912</v>
      </c>
    </row>
    <row r="730">
      <c r="A730" s="54">
        <v>44926.959952199075</v>
      </c>
      <c r="B730" s="47">
        <v>0.9913036358807205</v>
      </c>
      <c r="C730" s="7">
        <v>0.003092161410332306</v>
      </c>
      <c r="D730" s="48">
        <v>-0.821386732273744</v>
      </c>
      <c r="E730" s="81">
        <v>9.96</v>
      </c>
      <c r="F730" s="7">
        <v>0.00312638201327764</v>
      </c>
      <c r="G730" s="48">
        <v>-0.816830794986794</v>
      </c>
      <c r="H730" s="50">
        <v>0.0</v>
      </c>
      <c r="I730" s="56">
        <v>0.0</v>
      </c>
      <c r="J730" s="56">
        <v>0.0</v>
      </c>
      <c r="K730" s="50">
        <v>50053.81332396153</v>
      </c>
      <c r="L730" s="56">
        <v>0.002911000384054563</v>
      </c>
      <c r="M730" s="56">
        <v>1.0</v>
      </c>
      <c r="N730" s="51">
        <v>-3.422060294533402E-5</v>
      </c>
      <c r="O730" s="7">
        <v>-0.004555937286950029</v>
      </c>
      <c r="P730" s="52">
        <v>54.375952547710796</v>
      </c>
      <c r="Q730" s="30">
        <v>5025.483265457984</v>
      </c>
      <c r="R730" s="13">
        <v>5173.2336987002545</v>
      </c>
      <c r="S730" s="56">
        <v>-0.007262941585186684</v>
      </c>
      <c r="T730" s="52">
        <v>280235.69559610984</v>
      </c>
      <c r="U730" s="50">
        <v>50053.81332396153</v>
      </c>
      <c r="V730" s="50">
        <v>-247621.86149438453</v>
      </c>
    </row>
    <row r="731">
      <c r="A731" s="54">
        <v>44925.959960057866</v>
      </c>
      <c r="B731" s="47">
        <v>0.974142140053376</v>
      </c>
      <c r="C731" s="7">
        <v>0.011096575194771252</v>
      </c>
      <c r="D731" s="48">
        <v>-0.8244788936840763</v>
      </c>
      <c r="E731" s="81">
        <v>9.79</v>
      </c>
      <c r="F731" s="7">
        <v>0.011218194282937244</v>
      </c>
      <c r="G731" s="48">
        <v>-0.8199571770000716</v>
      </c>
      <c r="H731" s="50">
        <v>0.0</v>
      </c>
      <c r="I731" s="56">
        <v>0.0</v>
      </c>
      <c r="J731" s="56">
        <v>0.0</v>
      </c>
      <c r="K731" s="50">
        <v>49187.2793202416</v>
      </c>
      <c r="L731" s="56">
        <v>0.010446458113646306</v>
      </c>
      <c r="M731" s="56">
        <v>1.0</v>
      </c>
      <c r="N731" s="51">
        <v>-1.2161908816599176E-4</v>
      </c>
      <c r="O731" s="7">
        <v>-0.004521716684004695</v>
      </c>
      <c r="P731" s="52">
        <v>54.375952547710796</v>
      </c>
      <c r="Q731" s="30">
        <v>5024.236907072687</v>
      </c>
      <c r="R731" s="13">
        <v>5173.2336987002545</v>
      </c>
      <c r="S731" s="56">
        <v>-0.007509147987992697</v>
      </c>
      <c r="T731" s="52">
        <v>280235.69559610984</v>
      </c>
      <c r="U731" s="50">
        <v>49187.2793202416</v>
      </c>
      <c r="V731" s="50">
        <v>-248488.39549810445</v>
      </c>
    </row>
    <row r="732">
      <c r="A732" s="54">
        <v>44924.95996237268</v>
      </c>
      <c r="B732" s="47">
        <v>0.9125561477223958</v>
      </c>
      <c r="C732" s="7">
        <v>-0.009221779013701137</v>
      </c>
      <c r="D732" s="48">
        <v>-0.8355754688788476</v>
      </c>
      <c r="E732" s="81">
        <v>9.18</v>
      </c>
      <c r="F732" s="7">
        <v>-0.00993086051276415</v>
      </c>
      <c r="G732" s="48">
        <v>-0.8311753712830089</v>
      </c>
      <c r="H732" s="50">
        <v>0.0</v>
      </c>
      <c r="I732" s="56">
        <v>0.0</v>
      </c>
      <c r="J732" s="56">
        <v>0.0</v>
      </c>
      <c r="K732" s="50">
        <v>46077.622851800355</v>
      </c>
      <c r="L732" s="56">
        <v>-0.008681500959442312</v>
      </c>
      <c r="M732" s="56">
        <v>1.0</v>
      </c>
      <c r="N732" s="51">
        <v>7.090814990630134E-4</v>
      </c>
      <c r="O732" s="7">
        <v>-0.004400097595838703</v>
      </c>
      <c r="P732" s="52">
        <v>54.375952547710796</v>
      </c>
      <c r="Q732" s="30">
        <v>5019.348894531629</v>
      </c>
      <c r="R732" s="13">
        <v>5173.2336987002545</v>
      </c>
      <c r="S732" s="56">
        <v>-0.008474728994869705</v>
      </c>
      <c r="T732" s="52">
        <v>280235.69559610984</v>
      </c>
      <c r="U732" s="50">
        <v>46077.622851800355</v>
      </c>
      <c r="V732" s="50">
        <v>-251598.0519665457</v>
      </c>
    </row>
    <row r="733">
      <c r="A733" s="54">
        <v>44923.95995664352</v>
      </c>
      <c r="B733" s="47">
        <v>0.9637370212484369</v>
      </c>
      <c r="C733" s="7">
        <v>-0.023738973980148792</v>
      </c>
      <c r="D733" s="48">
        <v>-0.8263536898651465</v>
      </c>
      <c r="E733" s="81">
        <v>9.72</v>
      </c>
      <c r="F733" s="7">
        <v>-0.023907627160358214</v>
      </c>
      <c r="G733" s="48">
        <v>-0.8212445107702447</v>
      </c>
      <c r="H733" s="50">
        <v>0.0</v>
      </c>
      <c r="I733" s="56">
        <v>0.0</v>
      </c>
      <c r="J733" s="56">
        <v>0.0</v>
      </c>
      <c r="K733" s="50">
        <v>48661.89450833848</v>
      </c>
      <c r="L733" s="56">
        <v>-0.022348174368377993</v>
      </c>
      <c r="M733" s="56">
        <v>1.0</v>
      </c>
      <c r="N733" s="51">
        <v>1.6865318020942155E-4</v>
      </c>
      <c r="O733" s="7">
        <v>-0.005109179094901717</v>
      </c>
      <c r="P733" s="52">
        <v>54.375952547710796</v>
      </c>
      <c r="Q733" s="30">
        <v>5006.367747771448</v>
      </c>
      <c r="R733" s="13">
        <v>5173.2336987002545</v>
      </c>
      <c r="S733" s="56">
        <v>-0.011039032718280646</v>
      </c>
      <c r="T733" s="52">
        <v>280235.69559610984</v>
      </c>
      <c r="U733" s="50">
        <v>48661.89450833848</v>
      </c>
      <c r="V733" s="50">
        <v>-249013.78031000757</v>
      </c>
    </row>
    <row r="734">
      <c r="A734" s="54">
        <v>44922.95997334491</v>
      </c>
      <c r="B734" s="47">
        <v>1.0954883268382631</v>
      </c>
      <c r="C734" s="7">
        <v>-0.0032976717037359604</v>
      </c>
      <c r="D734" s="48">
        <v>-0.8026147158849977</v>
      </c>
      <c r="E734" s="81">
        <v>11.02</v>
      </c>
      <c r="F734" s="7">
        <v>-0.0034941916618985713</v>
      </c>
      <c r="G734" s="48">
        <v>-0.7973368836098865</v>
      </c>
      <c r="H734" s="50">
        <v>0.0</v>
      </c>
      <c r="I734" s="56">
        <v>0.0</v>
      </c>
      <c r="J734" s="56">
        <v>0.0</v>
      </c>
      <c r="K734" s="50">
        <v>55314.402394403456</v>
      </c>
      <c r="L734" s="56">
        <v>-0.003104470408299198</v>
      </c>
      <c r="M734" s="56">
        <v>1.0</v>
      </c>
      <c r="N734" s="51">
        <v>1.9651995816261092E-4</v>
      </c>
      <c r="O734" s="7">
        <v>-0.005277832275111138</v>
      </c>
      <c r="P734" s="52">
        <v>54.375952547710796</v>
      </c>
      <c r="Q734" s="30">
        <v>5019.45575266819</v>
      </c>
      <c r="R734" s="13">
        <v>5173.2336987002545</v>
      </c>
      <c r="S734" s="56">
        <v>-0.00845362017278166</v>
      </c>
      <c r="T734" s="52">
        <v>280235.69559610984</v>
      </c>
      <c r="U734" s="50">
        <v>55314.402394403456</v>
      </c>
      <c r="V734" s="50">
        <v>-242361.27242394257</v>
      </c>
    </row>
    <row r="735">
      <c r="A735" s="54">
        <v>44921.95996266203</v>
      </c>
      <c r="B735" s="47">
        <v>1.1137904047939977</v>
      </c>
      <c r="C735" s="7">
        <v>-0.0032563847787830946</v>
      </c>
      <c r="D735" s="48">
        <v>-0.7993170441812617</v>
      </c>
      <c r="E735" s="81">
        <v>11.21</v>
      </c>
      <c r="F735" s="7">
        <v>-0.00331028683758805</v>
      </c>
      <c r="G735" s="48">
        <v>-0.793842691947988</v>
      </c>
      <c r="H735" s="50">
        <v>0.0</v>
      </c>
      <c r="I735" s="56">
        <v>0.0</v>
      </c>
      <c r="J735" s="56">
        <v>0.0</v>
      </c>
      <c r="K735" s="50">
        <v>56238.527718147525</v>
      </c>
      <c r="L735" s="56">
        <v>-0.0030656023679722644</v>
      </c>
      <c r="M735" s="56">
        <v>1.0</v>
      </c>
      <c r="N735" s="51">
        <v>5.3902058804955466E-5</v>
      </c>
      <c r="O735" s="7">
        <v>-0.005474352233273749</v>
      </c>
      <c r="P735" s="52">
        <v>54.375952547710796</v>
      </c>
      <c r="Q735" s="30">
        <v>5016.817816070252</v>
      </c>
      <c r="R735" s="13">
        <v>5173.2336987002545</v>
      </c>
      <c r="S735" s="56">
        <v>-0.008974719792498208</v>
      </c>
      <c r="T735" s="52">
        <v>280235.69559610984</v>
      </c>
      <c r="U735" s="50">
        <v>56238.527718147525</v>
      </c>
      <c r="V735" s="50">
        <v>-241437.14710019852</v>
      </c>
    </row>
    <row r="736">
      <c r="A736" s="54">
        <v>44920.95997457176</v>
      </c>
      <c r="B736" s="47">
        <v>1.1318633403162435</v>
      </c>
      <c r="C736" s="7">
        <v>-0.001067418561120248</v>
      </c>
      <c r="D736" s="48">
        <v>-0.7960606594024786</v>
      </c>
      <c r="E736" s="81">
        <v>11.39</v>
      </c>
      <c r="F736" s="7">
        <v>-9.195241215521621E-4</v>
      </c>
      <c r="G736" s="48">
        <v>-0.7905324051103999</v>
      </c>
      <c r="H736" s="50">
        <v>0.0</v>
      </c>
      <c r="I736" s="56">
        <v>0.0</v>
      </c>
      <c r="J736" s="56">
        <v>0.0</v>
      </c>
      <c r="K736" s="50">
        <v>57151.08297175836</v>
      </c>
      <c r="L736" s="56">
        <v>-0.0010048815145888845</v>
      </c>
      <c r="M736" s="56">
        <v>1.0</v>
      </c>
      <c r="N736" s="51">
        <v>-1.478944395680859E-4</v>
      </c>
      <c r="O736" s="7">
        <v>-0.005528254292078705</v>
      </c>
      <c r="P736" s="52">
        <v>54.375952547710796</v>
      </c>
      <c r="Q736" s="30">
        <v>5017.654343437959</v>
      </c>
      <c r="R736" s="13">
        <v>5173.2336987002545</v>
      </c>
      <c r="S736" s="56">
        <v>-0.00880947166123704</v>
      </c>
      <c r="T736" s="52">
        <v>280235.69559610984</v>
      </c>
      <c r="U736" s="50">
        <v>57151.08297175836</v>
      </c>
      <c r="V736" s="50">
        <v>-240524.5918465877</v>
      </c>
    </row>
    <row r="737">
      <c r="A737" s="54">
        <v>44919.959956412036</v>
      </c>
      <c r="B737" s="47">
        <v>1.1377875133304611</v>
      </c>
      <c r="C737" s="7">
        <v>-0.006382646403949033</v>
      </c>
      <c r="D737" s="48">
        <v>-0.7949932408413584</v>
      </c>
      <c r="E737" s="81">
        <v>11.44</v>
      </c>
      <c r="F737" s="7">
        <v>-0.006620573675176211</v>
      </c>
      <c r="G737" s="48">
        <v>-0.7896128809888477</v>
      </c>
      <c r="H737" s="50">
        <v>0.0</v>
      </c>
      <c r="I737" s="56">
        <v>0.0</v>
      </c>
      <c r="J737" s="56">
        <v>0.0</v>
      </c>
      <c r="K737" s="50">
        <v>57450.2117547261</v>
      </c>
      <c r="L737" s="56">
        <v>-0.0060087051313352235</v>
      </c>
      <c r="M737" s="56">
        <v>1.0</v>
      </c>
      <c r="N737" s="51">
        <v>2.379272712271785E-4</v>
      </c>
      <c r="O737" s="7">
        <v>-0.005380359852510619</v>
      </c>
      <c r="P737" s="52">
        <v>54.375952547710796</v>
      </c>
      <c r="Q737" s="30">
        <v>5021.871656881653</v>
      </c>
      <c r="R737" s="13">
        <v>5173.2336987002545</v>
      </c>
      <c r="S737" s="56">
        <v>-0.007976380966998315</v>
      </c>
      <c r="T737" s="52">
        <v>280235.69559610984</v>
      </c>
      <c r="U737" s="50">
        <v>57450.2117547261</v>
      </c>
      <c r="V737" s="50">
        <v>-240225.46306361994</v>
      </c>
    </row>
    <row r="738">
      <c r="A738" s="54">
        <v>44918.96006877314</v>
      </c>
      <c r="B738" s="47">
        <v>1.1732112008723783</v>
      </c>
      <c r="C738" s="7">
        <v>5.68790431586752E-4</v>
      </c>
      <c r="D738" s="48">
        <v>-0.7886105944374093</v>
      </c>
      <c r="E738" s="81">
        <v>11.8</v>
      </c>
      <c r="F738" s="7">
        <v>-3.6780964862082044E-4</v>
      </c>
      <c r="G738" s="48">
        <v>-0.7829923073136715</v>
      </c>
      <c r="H738" s="50">
        <v>0.0</v>
      </c>
      <c r="I738" s="56">
        <v>0.0</v>
      </c>
      <c r="J738" s="56">
        <v>0.0</v>
      </c>
      <c r="K738" s="50">
        <v>59238.85710948077</v>
      </c>
      <c r="L738" s="56">
        <v>5.354666025074728E-4</v>
      </c>
      <c r="M738" s="56">
        <v>1.0</v>
      </c>
      <c r="N738" s="51">
        <v>9.366000802075725E-4</v>
      </c>
      <c r="O738" s="7">
        <v>-0.005618287123737797</v>
      </c>
      <c r="P738" s="52">
        <v>54.375952547710796</v>
      </c>
      <c r="Q738" s="30">
        <v>5020.242127922099</v>
      </c>
      <c r="R738" s="13">
        <v>5173.2336987002545</v>
      </c>
      <c r="S738" s="56">
        <v>-0.008298279120958568</v>
      </c>
      <c r="T738" s="52">
        <v>280235.69559610984</v>
      </c>
      <c r="U738" s="50">
        <v>59238.85710948077</v>
      </c>
      <c r="V738" s="50">
        <v>-238436.81770886527</v>
      </c>
    </row>
    <row r="739">
      <c r="A739" s="54">
        <v>44917.95998472223</v>
      </c>
      <c r="B739" s="47">
        <v>1.1700544139770717</v>
      </c>
      <c r="C739" s="7">
        <v>-0.004697526280284414</v>
      </c>
      <c r="D739" s="48">
        <v>-0.7891793848689961</v>
      </c>
      <c r="E739" s="81">
        <v>11.82</v>
      </c>
      <c r="F739" s="7">
        <v>-0.004781525432071665</v>
      </c>
      <c r="G739" s="48">
        <v>-0.7826244976650507</v>
      </c>
      <c r="H739" s="50">
        <v>0.0</v>
      </c>
      <c r="I739" s="56">
        <v>0.0</v>
      </c>
      <c r="J739" s="56">
        <v>0.0</v>
      </c>
      <c r="K739" s="50">
        <v>59079.461727236645</v>
      </c>
      <c r="L739" s="56">
        <v>-0.004422311448659122</v>
      </c>
      <c r="M739" s="56">
        <v>1.0</v>
      </c>
      <c r="N739" s="51">
        <v>8.39991517872507E-5</v>
      </c>
      <c r="O739" s="7">
        <v>-0.00655488720394537</v>
      </c>
      <c r="P739" s="52">
        <v>54.375952547710796</v>
      </c>
      <c r="Q739" s="30">
        <v>4998.262413471797</v>
      </c>
      <c r="R739" s="13">
        <v>5173.2336987002545</v>
      </c>
      <c r="S739" s="56">
        <v>-0.012640165446233528</v>
      </c>
      <c r="T739" s="52">
        <v>280235.69559610984</v>
      </c>
      <c r="U739" s="50">
        <v>59079.461727236645</v>
      </c>
      <c r="V739" s="50">
        <v>-238596.2130911094</v>
      </c>
    </row>
    <row r="740">
      <c r="A740" s="54">
        <v>44916.95996050926</v>
      </c>
      <c r="B740" s="47">
        <v>1.1961256848326505</v>
      </c>
      <c r="C740" s="7">
        <v>-0.003794258103200332</v>
      </c>
      <c r="D740" s="48">
        <v>-0.7844818585887117</v>
      </c>
      <c r="E740" s="81">
        <v>12.08</v>
      </c>
      <c r="F740" s="7">
        <v>-0.0038620013105193918</v>
      </c>
      <c r="G740" s="48">
        <v>-0.777842972232979</v>
      </c>
      <c r="H740" s="50">
        <v>0.0</v>
      </c>
      <c r="I740" s="56">
        <v>0.0</v>
      </c>
      <c r="J740" s="56">
        <v>0.0</v>
      </c>
      <c r="K740" s="50">
        <v>60395.87627197316</v>
      </c>
      <c r="L740" s="56">
        <v>-0.0035719632095244647</v>
      </c>
      <c r="M740" s="56">
        <v>1.0</v>
      </c>
      <c r="N740" s="51">
        <v>6.77432073190598E-5</v>
      </c>
      <c r="O740" s="7">
        <v>-0.0066388863557326205</v>
      </c>
      <c r="P740" s="52">
        <v>54.375952547710796</v>
      </c>
      <c r="Q740" s="30">
        <v>4999.658631785857</v>
      </c>
      <c r="R740" s="13">
        <v>5173.2336987002545</v>
      </c>
      <c r="S740" s="56">
        <v>-0.01236435562083185</v>
      </c>
      <c r="T740" s="52">
        <v>280235.69559610984</v>
      </c>
      <c r="U740" s="50">
        <v>60395.87627197316</v>
      </c>
      <c r="V740" s="50">
        <v>-237279.79854637288</v>
      </c>
    </row>
    <row r="741">
      <c r="A741" s="54">
        <v>44915.95996057871</v>
      </c>
      <c r="B741" s="47">
        <v>1.2171838173054121</v>
      </c>
      <c r="C741" s="7">
        <v>0.0094239473171287</v>
      </c>
      <c r="D741" s="48">
        <v>-0.7806876004855113</v>
      </c>
      <c r="E741" s="81">
        <v>12.29</v>
      </c>
      <c r="F741" s="7">
        <v>0.00956305086414333</v>
      </c>
      <c r="G741" s="48">
        <v>-0.7739809709224597</v>
      </c>
      <c r="H741" s="50">
        <v>0.0</v>
      </c>
      <c r="I741" s="56">
        <v>0.0</v>
      </c>
      <c r="J741" s="56">
        <v>0.0</v>
      </c>
      <c r="K741" s="50">
        <v>61459.162830794674</v>
      </c>
      <c r="L741" s="56">
        <v>0.008871824791489069</v>
      </c>
      <c r="M741" s="56">
        <v>1.0</v>
      </c>
      <c r="N741" s="51">
        <v>-1.3910354701462957E-4</v>
      </c>
      <c r="O741" s="7">
        <v>-0.00670662956305168</v>
      </c>
      <c r="P741" s="52">
        <v>54.375952547710796</v>
      </c>
      <c r="Q741" s="30">
        <v>5000.745551732683</v>
      </c>
      <c r="R741" s="13">
        <v>5173.2336987002545</v>
      </c>
      <c r="S741" s="56">
        <v>-0.012149644785326517</v>
      </c>
      <c r="T741" s="52">
        <v>280235.69559610984</v>
      </c>
      <c r="U741" s="50">
        <v>61459.162830794674</v>
      </c>
      <c r="V741" s="50">
        <v>-236216.51198755138</v>
      </c>
    </row>
    <row r="742">
      <c r="A742" s="54">
        <v>44914.959973425925</v>
      </c>
      <c r="B742" s="47">
        <v>1.1648809096953476</v>
      </c>
      <c r="C742" s="7">
        <v>-0.012645550952529505</v>
      </c>
      <c r="D742" s="48">
        <v>-0.79011154780264</v>
      </c>
      <c r="E742" s="81">
        <v>11.77</v>
      </c>
      <c r="F742" s="7">
        <v>-0.01287333770173138</v>
      </c>
      <c r="G742" s="48">
        <v>-0.783544021786603</v>
      </c>
      <c r="H742" s="50">
        <v>0.0</v>
      </c>
      <c r="I742" s="56">
        <v>0.0</v>
      </c>
      <c r="J742" s="56">
        <v>0.0</v>
      </c>
      <c r="K742" s="50">
        <v>58818.23639911801</v>
      </c>
      <c r="L742" s="56">
        <v>-0.011904683745289857</v>
      </c>
      <c r="M742" s="56">
        <v>1.0</v>
      </c>
      <c r="N742" s="51">
        <v>2.277867492018748E-4</v>
      </c>
      <c r="O742" s="7">
        <v>-0.006567526016037051</v>
      </c>
      <c r="P742" s="52">
        <v>54.375952547710796</v>
      </c>
      <c r="Q742" s="30">
        <v>4997.301308336279</v>
      </c>
      <c r="R742" s="13">
        <v>5173.2336987002545</v>
      </c>
      <c r="S742" s="56">
        <v>-0.012830022746449673</v>
      </c>
      <c r="T742" s="52">
        <v>280235.69559610984</v>
      </c>
      <c r="U742" s="50">
        <v>58818.23639911801</v>
      </c>
      <c r="V742" s="50">
        <v>-238857.43841922804</v>
      </c>
    </row>
    <row r="743">
      <c r="A743" s="54">
        <v>44913.95997444444</v>
      </c>
      <c r="B743" s="47">
        <v>1.2350637174818866</v>
      </c>
      <c r="C743" s="7">
        <v>0.0014434875113560341</v>
      </c>
      <c r="D743" s="48">
        <v>-0.7774659968501105</v>
      </c>
      <c r="E743" s="81">
        <v>12.47</v>
      </c>
      <c r="F743" s="7">
        <v>0.0014712385944835038</v>
      </c>
      <c r="G743" s="48">
        <v>-0.7706706840848716</v>
      </c>
      <c r="H743" s="50">
        <v>0.0</v>
      </c>
      <c r="I743" s="56">
        <v>0.0</v>
      </c>
      <c r="J743" s="56">
        <v>0.0</v>
      </c>
      <c r="K743" s="50">
        <v>62361.97116649618</v>
      </c>
      <c r="L743" s="56">
        <v>0.0013589176444330775</v>
      </c>
      <c r="M743" s="56">
        <v>1.0</v>
      </c>
      <c r="N743" s="51">
        <v>-2.7751083127469656E-5</v>
      </c>
      <c r="O743" s="7">
        <v>-0.006795312765238926</v>
      </c>
      <c r="P743" s="52">
        <v>54.375952547710796</v>
      </c>
      <c r="Q743" s="30">
        <v>5000.959997313246</v>
      </c>
      <c r="R743" s="13">
        <v>5173.2336987002545</v>
      </c>
      <c r="S743" s="56">
        <v>-0.012107283073309435</v>
      </c>
      <c r="T743" s="52">
        <v>280235.69559610984</v>
      </c>
      <c r="U743" s="50">
        <v>62361.97116649618</v>
      </c>
      <c r="V743" s="50">
        <v>-235313.70365184988</v>
      </c>
    </row>
    <row r="744">
      <c r="A744" s="54">
        <v>44912.95995428241</v>
      </c>
      <c r="B744" s="47">
        <v>1.2270523617938607</v>
      </c>
      <c r="C744" s="7">
        <v>-0.001625799950166762</v>
      </c>
      <c r="D744" s="48">
        <v>-0.7789094843614666</v>
      </c>
      <c r="E744" s="81">
        <v>12.39</v>
      </c>
      <c r="F744" s="7">
        <v>-0.001655143418793914</v>
      </c>
      <c r="G744" s="48">
        <v>-0.7721419226793551</v>
      </c>
      <c r="H744" s="50">
        <v>0.0</v>
      </c>
      <c r="I744" s="56">
        <v>0.0</v>
      </c>
      <c r="J744" s="56">
        <v>0.0</v>
      </c>
      <c r="K744" s="50">
        <v>61957.454439667024</v>
      </c>
      <c r="L744" s="56">
        <v>-0.0015305489110359893</v>
      </c>
      <c r="M744" s="56">
        <v>1.0</v>
      </c>
      <c r="N744" s="51">
        <v>2.9343468627152092E-5</v>
      </c>
      <c r="O744" s="7">
        <v>-0.006767561682111456</v>
      </c>
      <c r="P744" s="52">
        <v>54.375952547710796</v>
      </c>
      <c r="Q744" s="30">
        <v>5000.6016496906395</v>
      </c>
      <c r="R744" s="13">
        <v>5173.2336987002545</v>
      </c>
      <c r="S744" s="56">
        <v>-0.012178071283311392</v>
      </c>
      <c r="T744" s="52">
        <v>280235.69559610984</v>
      </c>
      <c r="U744" s="50">
        <v>61957.454439667024</v>
      </c>
      <c r="V744" s="50">
        <v>-235718.22037867902</v>
      </c>
    </row>
    <row r="745">
      <c r="A745" s="54">
        <v>44911.95996337963</v>
      </c>
      <c r="B745" s="47">
        <v>1.2360755515172859</v>
      </c>
      <c r="C745" s="7">
        <v>-0.03179661882444573</v>
      </c>
      <c r="D745" s="48">
        <v>-0.7772836844112998</v>
      </c>
      <c r="E745" s="81">
        <v>12.48</v>
      </c>
      <c r="F745" s="7">
        <v>-0.027769628470877716</v>
      </c>
      <c r="G745" s="48">
        <v>-0.7704867792605612</v>
      </c>
      <c r="H745" s="50">
        <v>0.0</v>
      </c>
      <c r="I745" s="56">
        <v>0.0</v>
      </c>
      <c r="J745" s="56">
        <v>0.0</v>
      </c>
      <c r="K745" s="50">
        <v>62413.061619602115</v>
      </c>
      <c r="L745" s="56">
        <v>-0.029924003075303962</v>
      </c>
      <c r="M745" s="56">
        <v>1.0</v>
      </c>
      <c r="N745" s="51">
        <v>-0.004026990353568016</v>
      </c>
      <c r="O745" s="7">
        <v>-0.006796905150738608</v>
      </c>
      <c r="P745" s="52">
        <v>54.375952547710796</v>
      </c>
      <c r="Q745" s="30">
        <v>5001.0466041347845</v>
      </c>
      <c r="R745" s="13">
        <v>5173.2336987002545</v>
      </c>
      <c r="S745" s="56">
        <v>-0.012090174708459536</v>
      </c>
      <c r="T745" s="52">
        <v>280235.69559610984</v>
      </c>
      <c r="U745" s="50">
        <v>62413.061619602115</v>
      </c>
      <c r="V745" s="50">
        <v>-235262.61319874393</v>
      </c>
    </row>
    <row r="746">
      <c r="A746" s="54">
        <v>44910.95997915509</v>
      </c>
      <c r="B746" s="47">
        <v>1.41254678599296</v>
      </c>
      <c r="C746" s="7">
        <v>-0.0039717396835941</v>
      </c>
      <c r="D746" s="48">
        <v>-0.7454870655868541</v>
      </c>
      <c r="E746" s="81">
        <v>13.99</v>
      </c>
      <c r="F746" s="7">
        <v>-0.004045906134829802</v>
      </c>
      <c r="G746" s="48">
        <v>-0.7427171507896835</v>
      </c>
      <c r="H746" s="50">
        <v>0.0</v>
      </c>
      <c r="I746" s="56">
        <v>0.0</v>
      </c>
      <c r="J746" s="56">
        <v>0.0</v>
      </c>
      <c r="K746" s="50">
        <v>71323.60921347504</v>
      </c>
      <c r="L746" s="56">
        <v>-0.003748788068777098</v>
      </c>
      <c r="M746" s="56">
        <v>1.0</v>
      </c>
      <c r="N746" s="51">
        <v>7.416645123570209E-5</v>
      </c>
      <c r="O746" s="7">
        <v>-0.0027699147971705917</v>
      </c>
      <c r="P746" s="52">
        <v>54.375952547710796</v>
      </c>
      <c r="Q746" s="13">
        <v>5098.1850760168</v>
      </c>
      <c r="R746" s="13">
        <v>5173.2336987002545</v>
      </c>
      <c r="S746" s="56">
        <v>0.007057673491731226</v>
      </c>
      <c r="T746" s="52">
        <v>280235.69559610984</v>
      </c>
      <c r="U746" s="52">
        <v>71323.60921347504</v>
      </c>
      <c r="V746" s="52">
        <v>-226352.06560487102</v>
      </c>
    </row>
    <row r="747">
      <c r="A747" s="54">
        <v>44909.959992488424</v>
      </c>
      <c r="B747" s="47">
        <v>1.4345899412369072</v>
      </c>
      <c r="C747" s="7">
        <v>0.007044995974120227</v>
      </c>
      <c r="D747" s="48">
        <v>-0.74151532590326</v>
      </c>
      <c r="E747" s="81">
        <v>14.21</v>
      </c>
      <c r="F747" s="7">
        <v>0.006988383323797032</v>
      </c>
      <c r="G747" s="48">
        <v>-0.7386712446548537</v>
      </c>
      <c r="H747" s="50">
        <v>0.0</v>
      </c>
      <c r="I747" s="56">
        <v>0.0</v>
      </c>
      <c r="J747" s="56">
        <v>0.0</v>
      </c>
      <c r="K747" s="50">
        <v>72436.6324464337</v>
      </c>
      <c r="L747" s="56">
        <v>0.006632249506057675</v>
      </c>
      <c r="M747" s="56">
        <v>1.0</v>
      </c>
      <c r="N747" s="51">
        <v>5.6612650323195624E-5</v>
      </c>
      <c r="O747" s="7">
        <v>-0.002844081248406294</v>
      </c>
      <c r="P747" s="52">
        <v>54.375952547710796</v>
      </c>
      <c r="Q747" s="30">
        <v>5097.581452950999</v>
      </c>
      <c r="R747" s="13">
        <v>5173.2336987002545</v>
      </c>
      <c r="S747" s="56">
        <v>0.006979378762552547</v>
      </c>
      <c r="T747" s="52">
        <v>280235.69559610984</v>
      </c>
      <c r="U747" s="50">
        <v>72436.6324464337</v>
      </c>
      <c r="V747" s="50">
        <v>-225239.04237191234</v>
      </c>
    </row>
    <row r="748">
      <c r="A748" s="54">
        <v>44908.9599771412</v>
      </c>
      <c r="B748" s="47">
        <v>1.3954902135805398</v>
      </c>
      <c r="C748" s="7">
        <v>0.009288851896601669</v>
      </c>
      <c r="D748" s="48">
        <v>-0.7485603218773802</v>
      </c>
      <c r="E748" s="81">
        <v>13.83</v>
      </c>
      <c r="F748" s="7">
        <v>0.009379146039832809</v>
      </c>
      <c r="G748" s="48">
        <v>-0.7456596279786507</v>
      </c>
      <c r="H748" s="50">
        <v>0.0</v>
      </c>
      <c r="I748" s="56">
        <v>0.0</v>
      </c>
      <c r="J748" s="56">
        <v>0.0</v>
      </c>
      <c r="K748" s="50">
        <v>70462.37309915433</v>
      </c>
      <c r="L748" s="56">
        <v>0.008744644231081011</v>
      </c>
      <c r="M748" s="56">
        <v>1.0</v>
      </c>
      <c r="N748" s="51">
        <v>-9.029414323113993E-5</v>
      </c>
      <c r="O748" s="7">
        <v>-0.0029006938987294895</v>
      </c>
      <c r="P748" s="52">
        <v>54.375952547710796</v>
      </c>
      <c r="Q748" s="30">
        <v>5094.893210351</v>
      </c>
      <c r="R748" s="13">
        <v>5173.2336987002545</v>
      </c>
      <c r="S748" s="56">
        <v>0.006448341664215802</v>
      </c>
      <c r="T748" s="52">
        <v>280235.69559610984</v>
      </c>
      <c r="U748" s="50">
        <v>70462.37309915433</v>
      </c>
      <c r="V748" s="50">
        <v>-227213.30171919172</v>
      </c>
    </row>
    <row r="749">
      <c r="A749" s="54">
        <v>44907.959978865736</v>
      </c>
      <c r="B749" s="47">
        <v>1.3439370855544008</v>
      </c>
      <c r="C749" s="7">
        <v>-0.0034345975344571844</v>
      </c>
      <c r="D749" s="48">
        <v>-0.7578491737739819</v>
      </c>
      <c r="E749" s="81">
        <v>13.32</v>
      </c>
      <c r="F749" s="7">
        <v>-0.0034941916618984603</v>
      </c>
      <c r="G749" s="48">
        <v>-0.7550387740184835</v>
      </c>
      <c r="H749" s="50">
        <v>0.0</v>
      </c>
      <c r="I749" s="56">
        <v>0.0</v>
      </c>
      <c r="J749" s="56">
        <v>0.0</v>
      </c>
      <c r="K749" s="50">
        <v>67859.30522662093</v>
      </c>
      <c r="L749" s="56">
        <v>-0.00323337414032443</v>
      </c>
      <c r="M749" s="56">
        <v>1.0</v>
      </c>
      <c r="N749" s="51">
        <v>5.95941274412759E-5</v>
      </c>
      <c r="O749" s="7">
        <v>-0.0028103997554983495</v>
      </c>
      <c r="P749" s="52">
        <v>54.375952547710796</v>
      </c>
      <c r="Q749" s="30">
        <v>5094.542434431</v>
      </c>
      <c r="R749" s="13">
        <v>5173.2336987002545</v>
      </c>
      <c r="S749" s="56">
        <v>0.006379049173008775</v>
      </c>
      <c r="T749" s="52">
        <v>280235.69559610984</v>
      </c>
      <c r="U749" s="50">
        <v>67859.30522662093</v>
      </c>
      <c r="V749" s="50">
        <v>-229816.36959172512</v>
      </c>
    </row>
    <row r="750">
      <c r="A750" s="54">
        <v>44906.959957314815</v>
      </c>
      <c r="B750" s="47">
        <v>1.3629991018706378</v>
      </c>
      <c r="C750" s="7">
        <v>-0.0018071603639089329</v>
      </c>
      <c r="D750" s="48">
        <v>-0.7544145762395247</v>
      </c>
      <c r="E750" s="81">
        <v>13.51</v>
      </c>
      <c r="F750" s="7">
        <v>-0.0018390482431044353</v>
      </c>
      <c r="G750" s="48">
        <v>-0.7515445823565851</v>
      </c>
      <c r="H750" s="50">
        <v>0.0</v>
      </c>
      <c r="I750" s="56">
        <v>0.0</v>
      </c>
      <c r="J750" s="56">
        <v>0.0</v>
      </c>
      <c r="K750" s="50">
        <v>68821.80205578219</v>
      </c>
      <c r="L750" s="56">
        <v>-0.001701283929037234</v>
      </c>
      <c r="M750" s="56">
        <v>1.0</v>
      </c>
      <c r="N750" s="51">
        <v>3.18878791955024E-5</v>
      </c>
      <c r="O750" s="7">
        <v>-0.0028699938829396254</v>
      </c>
      <c r="P750" s="52">
        <v>54.375952547710796</v>
      </c>
      <c r="Q750" s="30">
        <v>5094.137827963153</v>
      </c>
      <c r="R750" s="13">
        <v>5173.2336987002545</v>
      </c>
      <c r="S750" s="56">
        <v>0.006299122962236646</v>
      </c>
      <c r="T750" s="52">
        <v>280235.69559610984</v>
      </c>
      <c r="U750" s="50">
        <v>68821.80205578219</v>
      </c>
      <c r="V750" s="50">
        <v>-228853.87276256387</v>
      </c>
    </row>
    <row r="751">
      <c r="A751" s="54">
        <v>44905.959963229165</v>
      </c>
      <c r="B751" s="47">
        <v>1.3730288418903327</v>
      </c>
      <c r="C751" s="7">
        <v>0.0010996746533677992</v>
      </c>
      <c r="D751" s="48">
        <v>-0.7526074158756157</v>
      </c>
      <c r="E751" s="81">
        <v>13.61</v>
      </c>
      <c r="F751" s="7">
        <v>0.0011034289458625723</v>
      </c>
      <c r="G751" s="48">
        <v>-0.7497055341134806</v>
      </c>
      <c r="H751" s="52">
        <v>0.0</v>
      </c>
      <c r="I751" s="7">
        <v>0.0</v>
      </c>
      <c r="J751" s="7">
        <v>0.0</v>
      </c>
      <c r="K751" s="52">
        <v>69328.23289741595</v>
      </c>
      <c r="L751" s="7">
        <v>0.0010352478132585885</v>
      </c>
      <c r="M751" s="7">
        <v>1.0</v>
      </c>
      <c r="N751" s="51">
        <v>-3.7542924947731038E-6</v>
      </c>
      <c r="O751" s="7">
        <v>-0.002901881762135128</v>
      </c>
      <c r="P751" s="52">
        <v>54.375952547710796</v>
      </c>
      <c r="Q751" s="13">
        <v>5093.918655210577</v>
      </c>
      <c r="R751" s="13">
        <v>5173.2336987002545</v>
      </c>
      <c r="S751" s="7">
        <v>0.00625582744174959</v>
      </c>
      <c r="T751" s="52">
        <v>280235.69559610984</v>
      </c>
      <c r="U751" s="52">
        <v>69328.23289741595</v>
      </c>
      <c r="V751" s="52">
        <v>-228347.4419209301</v>
      </c>
    </row>
    <row r="752">
      <c r="A752" s="54">
        <v>44904.95997107639</v>
      </c>
      <c r="B752" s="47">
        <v>1.3669256475641414</v>
      </c>
      <c r="C752" s="7">
        <v>-0.002445682887487366</v>
      </c>
      <c r="D752" s="48">
        <v>-0.7537070905289835</v>
      </c>
      <c r="E752" s="81">
        <v>13.55</v>
      </c>
      <c r="F752" s="7">
        <v>-0.0022068578917252557</v>
      </c>
      <c r="G752" s="48">
        <v>-0.7508089630593432</v>
      </c>
      <c r="H752" s="52">
        <v>0.0</v>
      </c>
      <c r="I752" s="7">
        <v>0.0</v>
      </c>
      <c r="J752" s="7">
        <v>0.0</v>
      </c>
      <c r="K752" s="52">
        <v>69020.06480600001</v>
      </c>
      <c r="L752" s="7">
        <v>-0.002302397216704888</v>
      </c>
      <c r="M752" s="7">
        <v>1.0</v>
      </c>
      <c r="N752" s="51">
        <v>-2.3882499576211025E-4</v>
      </c>
      <c r="O752" s="7">
        <v>-0.0028981274696403547</v>
      </c>
      <c r="P752" s="52">
        <v>54.375952547710796</v>
      </c>
      <c r="Q752" s="13">
        <v>5093.731720000001</v>
      </c>
      <c r="R752" s="13">
        <v>5173.2336987002545</v>
      </c>
      <c r="S752" s="7">
        <v>0.006218900145157667</v>
      </c>
      <c r="T752" s="52">
        <v>280235.69559610984</v>
      </c>
      <c r="U752" s="52">
        <v>69020.06480600001</v>
      </c>
      <c r="V752" s="52">
        <v>-228655.61001234603</v>
      </c>
    </row>
    <row r="753">
      <c r="A753" s="54">
        <v>44903.95997834491</v>
      </c>
      <c r="B753" s="47">
        <v>1.380499187589696</v>
      </c>
      <c r="C753" s="7">
        <v>0.001455675741673823</v>
      </c>
      <c r="D753" s="48">
        <v>-0.7512614076414962</v>
      </c>
      <c r="E753" s="81">
        <v>13.67</v>
      </c>
      <c r="F753" s="7">
        <v>0.004139162173310451</v>
      </c>
      <c r="G753" s="48">
        <v>-0.7486021051676179</v>
      </c>
      <c r="H753" s="50">
        <v>0.0</v>
      </c>
      <c r="I753" s="56">
        <v>0.0</v>
      </c>
      <c r="J753" s="56">
        <v>0.0</v>
      </c>
      <c r="K753" s="50">
        <v>69705.43245118251</v>
      </c>
      <c r="L753" s="56">
        <v>0.0013703918006712223</v>
      </c>
      <c r="M753" s="56">
        <v>1.0</v>
      </c>
      <c r="N753" s="51">
        <v>-0.002683486431636628</v>
      </c>
      <c r="O753" s="7">
        <v>-0.0026593024738782445</v>
      </c>
      <c r="P753" s="52">
        <v>54.375952547710796</v>
      </c>
      <c r="Q753" s="30">
        <v>5099.153800379116</v>
      </c>
      <c r="R753" s="13">
        <v>5173.2336987002545</v>
      </c>
      <c r="S753" s="56">
        <v>0.007289981241586455</v>
      </c>
      <c r="T753" s="52">
        <v>280235.69559610984</v>
      </c>
      <c r="U753" s="50">
        <v>69705.43245118251</v>
      </c>
      <c r="V753" s="50">
        <v>-227970.24236716353</v>
      </c>
    </row>
    <row r="754">
      <c r="A754" s="54">
        <v>44902.95997491898</v>
      </c>
      <c r="B754" s="47">
        <v>1.372420187223406</v>
      </c>
      <c r="C754" s="7">
        <v>-0.00964385178858862</v>
      </c>
      <c r="D754" s="48">
        <v>-0.75271708338317</v>
      </c>
      <c r="E754" s="81">
        <v>13.59</v>
      </c>
      <c r="F754" s="7">
        <v>-0.009642908632031544</v>
      </c>
      <c r="G754" s="48">
        <v>-0.7527412673409284</v>
      </c>
      <c r="H754" s="50">
        <v>0.0</v>
      </c>
      <c r="I754" s="56">
        <v>0.0</v>
      </c>
      <c r="J754" s="56">
        <v>0.0</v>
      </c>
      <c r="K754" s="50">
        <v>69297.50014715217</v>
      </c>
      <c r="L754" s="56">
        <v>-0.009078845679446723</v>
      </c>
      <c r="M754" s="56">
        <v>1.0</v>
      </c>
      <c r="N754" s="51">
        <v>-9.43156557076108E-7</v>
      </c>
      <c r="O754" s="7">
        <v>2.4183957758383556E-5</v>
      </c>
      <c r="P754" s="52">
        <v>54.96266948329922</v>
      </c>
      <c r="Q754" s="30">
        <v>5099.153800379115</v>
      </c>
      <c r="R754" s="13">
        <v>5099.834508491525</v>
      </c>
      <c r="S754" s="56">
        <v>0.007289981241586275</v>
      </c>
      <c r="T754" s="52">
        <v>280235.69559610984</v>
      </c>
      <c r="U754" s="50">
        <v>69297.50014715217</v>
      </c>
      <c r="V754" s="50">
        <v>-228378.17467119388</v>
      </c>
    </row>
    <row r="755">
      <c r="A755" s="54">
        <v>44901.959971828706</v>
      </c>
      <c r="B755" s="47">
        <v>1.4259435646500733</v>
      </c>
      <c r="C755" s="7">
        <v>0.005094865095858214</v>
      </c>
      <c r="D755" s="48">
        <v>-0.7430732315945814</v>
      </c>
      <c r="E755" s="81">
        <v>14.12</v>
      </c>
      <c r="F755" s="7">
        <v>0.0050943668244693985</v>
      </c>
      <c r="G755" s="48">
        <v>-0.7430983587088968</v>
      </c>
      <c r="H755" s="50">
        <v>0.0</v>
      </c>
      <c r="I755" s="56">
        <v>0.0</v>
      </c>
      <c r="J755" s="56">
        <v>0.0</v>
      </c>
      <c r="K755" s="50">
        <v>72000.0516613531</v>
      </c>
      <c r="L755" s="56">
        <v>0.004796371302349112</v>
      </c>
      <c r="M755" s="56">
        <v>1.0</v>
      </c>
      <c r="N755" s="51">
        <v>4.98271388815752E-7</v>
      </c>
      <c r="O755" s="7">
        <v>2.5127114315459664E-5</v>
      </c>
      <c r="P755" s="52">
        <v>54.96266948329922</v>
      </c>
      <c r="Q755" s="30">
        <v>5099.153800379116</v>
      </c>
      <c r="R755" s="13">
        <v>5099.834508491525</v>
      </c>
      <c r="S755" s="56">
        <v>0.007289981241586455</v>
      </c>
      <c r="T755" s="52">
        <v>280235.69559610984</v>
      </c>
      <c r="U755" s="50">
        <v>72000.0516613531</v>
      </c>
      <c r="V755" s="50">
        <v>-225675.62315699295</v>
      </c>
    </row>
    <row r="756">
      <c r="A756" s="54">
        <v>44900.95997737268</v>
      </c>
      <c r="B756" s="47">
        <v>1.3976670633680606</v>
      </c>
      <c r="C756" s="7">
        <v>0.00254744256765016</v>
      </c>
      <c r="D756" s="48">
        <v>-0.7481680966904396</v>
      </c>
      <c r="E756" s="81">
        <v>13.84</v>
      </c>
      <c r="F756" s="7">
        <v>0.0025471834122348103</v>
      </c>
      <c r="G756" s="48">
        <v>-0.7481927255333662</v>
      </c>
      <c r="H756" s="50">
        <v>0.0</v>
      </c>
      <c r="I756" s="56">
        <v>0.0</v>
      </c>
      <c r="J756" s="56">
        <v>0.0</v>
      </c>
      <c r="K756" s="50">
        <v>70572.28859724695</v>
      </c>
      <c r="L756" s="56">
        <v>0.002398195083868515</v>
      </c>
      <c r="M756" s="56">
        <v>1.0</v>
      </c>
      <c r="N756" s="51">
        <v>2.5915541534971E-7</v>
      </c>
      <c r="O756" s="7">
        <v>2.4628842926643912E-5</v>
      </c>
      <c r="P756" s="52">
        <v>54.96266948329922</v>
      </c>
      <c r="Q756" s="30">
        <v>5099.153800379115</v>
      </c>
      <c r="R756" s="13">
        <v>5099.834508491525</v>
      </c>
      <c r="S756" s="56">
        <v>0.007289981241586275</v>
      </c>
      <c r="T756" s="52">
        <v>280235.69559610984</v>
      </c>
      <c r="U756" s="50">
        <v>70572.28859724695</v>
      </c>
      <c r="V756" s="50">
        <v>-227103.3862210991</v>
      </c>
    </row>
    <row r="757">
      <c r="A757" s="54">
        <v>44899.95996523148</v>
      </c>
      <c r="B757" s="47">
        <v>1.383528757117602</v>
      </c>
      <c r="C757" s="7">
        <v>0.006732500034635436</v>
      </c>
      <c r="D757" s="48">
        <v>-0.7507155392580898</v>
      </c>
      <c r="E757" s="81">
        <v>13.7</v>
      </c>
      <c r="F757" s="7">
        <v>0.006731841875191824</v>
      </c>
      <c r="G757" s="48">
        <v>-0.750739908945601</v>
      </c>
      <c r="H757" s="50">
        <v>0.0</v>
      </c>
      <c r="I757" s="56">
        <v>0.0</v>
      </c>
      <c r="J757" s="56">
        <v>0.0</v>
      </c>
      <c r="K757" s="50">
        <v>69858.40425731037</v>
      </c>
      <c r="L757" s="56">
        <v>0.006338061823352725</v>
      </c>
      <c r="M757" s="56">
        <v>1.0</v>
      </c>
      <c r="N757" s="51">
        <v>6.581594436116944E-7</v>
      </c>
      <c r="O757" s="7">
        <v>2.4369687511294202E-5</v>
      </c>
      <c r="P757" s="52">
        <v>54.96266948329922</v>
      </c>
      <c r="Q757" s="30">
        <v>5099.153595424114</v>
      </c>
      <c r="R757" s="13">
        <v>5099.834508491525</v>
      </c>
      <c r="S757" s="56">
        <v>0.007289940754649327</v>
      </c>
      <c r="T757" s="52">
        <v>280235.69559610984</v>
      </c>
      <c r="U757" s="50">
        <v>69858.40425731037</v>
      </c>
      <c r="V757" s="50">
        <v>-227817.27056103566</v>
      </c>
    </row>
    <row r="758">
      <c r="A758" s="54">
        <v>44898.95997094907</v>
      </c>
      <c r="B758" s="47">
        <v>1.3461633819253749</v>
      </c>
      <c r="C758" s="7">
        <v>-0.008916013559382208</v>
      </c>
      <c r="D758" s="48">
        <v>-0.7574480392927252</v>
      </c>
      <c r="E758" s="81">
        <v>13.33</v>
      </c>
      <c r="F758" s="7">
        <v>-0.008915141942821614</v>
      </c>
      <c r="G758" s="48">
        <v>-0.7574717508207929</v>
      </c>
      <c r="H758" s="50">
        <v>0.0</v>
      </c>
      <c r="I758" s="56">
        <v>0.0</v>
      </c>
      <c r="J758" s="56">
        <v>0.0</v>
      </c>
      <c r="K758" s="50">
        <v>67971.71742700344</v>
      </c>
      <c r="L758" s="56">
        <v>-0.008393649441737483</v>
      </c>
      <c r="M758" s="56">
        <v>1.0</v>
      </c>
      <c r="N758" s="51">
        <v>-8.716165605937576E-7</v>
      </c>
      <c r="O758" s="7">
        <v>2.3711528067682508E-5</v>
      </c>
      <c r="P758" s="52">
        <v>54.96266948329922</v>
      </c>
      <c r="Q758" s="30">
        <v>5099.153595424114</v>
      </c>
      <c r="R758" s="13">
        <v>5099.834508491525</v>
      </c>
      <c r="S758" s="56">
        <v>0.007289940754649327</v>
      </c>
      <c r="T758" s="52">
        <v>280235.69559610984</v>
      </c>
      <c r="U758" s="50">
        <v>67971.71742700344</v>
      </c>
      <c r="V758" s="50">
        <v>-229703.9573913426</v>
      </c>
    </row>
    <row r="759">
      <c r="A759" s="54">
        <v>44897.959977094906</v>
      </c>
      <c r="B759" s="47">
        <v>1.3956472571799463</v>
      </c>
      <c r="C759" s="7">
        <v>0.006850066504711205</v>
      </c>
      <c r="D759" s="48">
        <v>-0.748532025733343</v>
      </c>
      <c r="E759" s="81">
        <v>13.82</v>
      </c>
      <c r="F759" s="7">
        <v>0.0050943668244695095</v>
      </c>
      <c r="G759" s="48">
        <v>-0.7485566088779713</v>
      </c>
      <c r="H759" s="50">
        <v>0.0</v>
      </c>
      <c r="I759" s="56">
        <v>0.0</v>
      </c>
      <c r="J759" s="56">
        <v>0.0</v>
      </c>
      <c r="K759" s="50">
        <v>70470.30268876128</v>
      </c>
      <c r="L759" s="56">
        <v>0.006448740405136544</v>
      </c>
      <c r="M759" s="56">
        <v>1.0</v>
      </c>
      <c r="N759" s="51">
        <v>0.0017556996802416958</v>
      </c>
      <c r="O759" s="7">
        <v>2.4583144628276266E-5</v>
      </c>
      <c r="P759" s="52">
        <v>54.96266948329922</v>
      </c>
      <c r="Q759" s="30">
        <v>5099.153595424115</v>
      </c>
      <c r="R759" s="13">
        <v>5099.834508491525</v>
      </c>
      <c r="S759" s="56">
        <v>0.007289940754649507</v>
      </c>
      <c r="T759" s="52">
        <v>280235.69559610984</v>
      </c>
      <c r="U759" s="50">
        <v>70470.30268876128</v>
      </c>
      <c r="V759" s="50">
        <v>-227205.37212958478</v>
      </c>
    </row>
    <row r="760">
      <c r="A760" s="54">
        <v>44896.959963263886</v>
      </c>
      <c r="B760" s="47">
        <v>1.3576293880787993</v>
      </c>
      <c r="C760" s="7">
        <v>-0.005781220862911551</v>
      </c>
      <c r="D760" s="48">
        <v>-0.7553820922380542</v>
      </c>
      <c r="E760" s="81">
        <v>13.54</v>
      </c>
      <c r="F760" s="7">
        <v>-0.005822133513679439</v>
      </c>
      <c r="G760" s="48">
        <v>-0.7536509757024408</v>
      </c>
      <c r="H760" s="50">
        <v>0.0</v>
      </c>
      <c r="I760" s="56">
        <v>0.0</v>
      </c>
      <c r="J760" s="56">
        <v>0.0</v>
      </c>
      <c r="K760" s="50">
        <v>68550.66953693393</v>
      </c>
      <c r="L760" s="56">
        <v>-0.005442515418505045</v>
      </c>
      <c r="M760" s="56">
        <v>1.0</v>
      </c>
      <c r="N760" s="51">
        <v>4.091265076788808E-5</v>
      </c>
      <c r="O760" s="7">
        <v>-0.0017311165356134195</v>
      </c>
      <c r="P760" s="52">
        <v>54.96266948329922</v>
      </c>
      <c r="Q760" s="30">
        <v>5062.826405977396</v>
      </c>
      <c r="R760" s="13">
        <v>5099.834508491525</v>
      </c>
      <c r="S760" s="56">
        <v>1.1384538493828905E-4</v>
      </c>
      <c r="T760" s="52">
        <v>280235.69559610984</v>
      </c>
      <c r="U760" s="50">
        <v>68550.66953693393</v>
      </c>
      <c r="V760" s="50">
        <v>-229125.0052814121</v>
      </c>
    </row>
    <row r="761">
      <c r="A761" s="54">
        <v>44895.959990601856</v>
      </c>
      <c r="B761" s="47">
        <v>1.3897151638679583</v>
      </c>
      <c r="C761" s="7">
        <v>0.008310504512266448</v>
      </c>
      <c r="D761" s="48">
        <v>-0.7496008713751426</v>
      </c>
      <c r="E761" s="81">
        <v>13.86</v>
      </c>
      <c r="F761" s="7">
        <v>0.008404206309988949</v>
      </c>
      <c r="G761" s="48">
        <v>-0.7478288421887613</v>
      </c>
      <c r="H761" s="50">
        <v>0.0</v>
      </c>
      <c r="I761" s="56">
        <v>0.0</v>
      </c>
      <c r="J761" s="56">
        <v>0.0</v>
      </c>
      <c r="K761" s="50">
        <v>70170.77398684669</v>
      </c>
      <c r="L761" s="56">
        <v>0.00782361546394672</v>
      </c>
      <c r="M761" s="56">
        <v>1.0</v>
      </c>
      <c r="N761" s="51">
        <v>-9.370179772250076E-5</v>
      </c>
      <c r="O761" s="7">
        <v>-0.0017720291863813076</v>
      </c>
      <c r="P761" s="52">
        <v>54.96266948329922</v>
      </c>
      <c r="Q761" s="30">
        <v>5062.826405977395</v>
      </c>
      <c r="R761" s="13">
        <v>5099.834508491525</v>
      </c>
      <c r="S761" s="56">
        <v>1.1384538493810939E-4</v>
      </c>
      <c r="T761" s="52">
        <v>280235.69559610984</v>
      </c>
      <c r="U761" s="50">
        <v>70170.77398684669</v>
      </c>
      <c r="V761" s="50">
        <v>-227504.90083149937</v>
      </c>
    </row>
    <row r="762">
      <c r="A762" s="54">
        <v>44894.95996732639</v>
      </c>
      <c r="B762" s="47">
        <v>1.3435918638248796</v>
      </c>
      <c r="C762" s="7">
        <v>3.613263046456927E-4</v>
      </c>
      <c r="D762" s="48">
        <v>-0.7579113758874091</v>
      </c>
      <c r="E762" s="81">
        <v>13.4</v>
      </c>
      <c r="F762" s="7">
        <v>3.6383127089734124E-4</v>
      </c>
      <c r="G762" s="48">
        <v>-0.7562330484987503</v>
      </c>
      <c r="H762" s="50">
        <v>0.0</v>
      </c>
      <c r="I762" s="56">
        <v>0.0</v>
      </c>
      <c r="J762" s="56">
        <v>0.0</v>
      </c>
      <c r="K762" s="50">
        <v>67841.87397409709</v>
      </c>
      <c r="L762" s="56">
        <v>3.401572143284515E-4</v>
      </c>
      <c r="M762" s="56">
        <v>1.0</v>
      </c>
      <c r="N762" s="51">
        <v>-2.5049662516485327E-6</v>
      </c>
      <c r="O762" s="7">
        <v>-0.0016783273886588068</v>
      </c>
      <c r="P762" s="52">
        <v>54.970536069288706</v>
      </c>
      <c r="Q762" s="30">
        <v>5062.826415977394</v>
      </c>
      <c r="R762" s="13">
        <v>5098.860075777839</v>
      </c>
      <c r="S762" s="56">
        <v>1.1384736034421642E-4</v>
      </c>
      <c r="T762" s="52">
        <v>280235.69559610984</v>
      </c>
      <c r="U762" s="50">
        <v>67841.87397409709</v>
      </c>
      <c r="V762" s="50">
        <v>-229833.80084424897</v>
      </c>
    </row>
    <row r="763">
      <c r="A763" s="54">
        <v>44893.95998644676</v>
      </c>
      <c r="B763" s="47">
        <v>1.341586502834096</v>
      </c>
      <c r="C763" s="7">
        <v>-0.018608304689251454</v>
      </c>
      <c r="D763" s="48">
        <v>-0.7582727021920548</v>
      </c>
      <c r="E763" s="81">
        <v>13.38</v>
      </c>
      <c r="F763" s="7">
        <v>-0.018737310451215405</v>
      </c>
      <c r="G763" s="48">
        <v>-0.7565968797696476</v>
      </c>
      <c r="H763" s="50">
        <v>0.0</v>
      </c>
      <c r="I763" s="56">
        <v>0.0</v>
      </c>
      <c r="J763" s="56">
        <v>0.0</v>
      </c>
      <c r="K763" s="50">
        <v>67740.61744577753</v>
      </c>
      <c r="L763" s="56">
        <v>-0.017518096537914807</v>
      </c>
      <c r="M763" s="56">
        <v>1.0</v>
      </c>
      <c r="N763" s="51">
        <v>1.2900576196395175E-4</v>
      </c>
      <c r="O763" s="7">
        <v>-0.0016758224224071583</v>
      </c>
      <c r="P763" s="52">
        <v>54.970536069288706</v>
      </c>
      <c r="Q763" s="30">
        <v>5062.8264159773935</v>
      </c>
      <c r="R763" s="13">
        <v>5098.860075777839</v>
      </c>
      <c r="S763" s="56">
        <v>1.1384736034403675E-4</v>
      </c>
      <c r="T763" s="52">
        <v>280235.69559610984</v>
      </c>
      <c r="U763" s="50">
        <v>67740.61744577753</v>
      </c>
      <c r="V763" s="50">
        <v>-229935.05737256852</v>
      </c>
    </row>
    <row r="764">
      <c r="A764" s="54">
        <v>44892.95996810185</v>
      </c>
      <c r="B764" s="47">
        <v>1.4448625938594415</v>
      </c>
      <c r="C764" s="7">
        <v>0.00596188402665343</v>
      </c>
      <c r="D764" s="48">
        <v>-0.7396643975028033</v>
      </c>
      <c r="E764" s="81">
        <v>14.41</v>
      </c>
      <c r="F764" s="7">
        <v>0.006003215969806908</v>
      </c>
      <c r="G764" s="48">
        <v>-0.7378595693184322</v>
      </c>
      <c r="H764" s="50">
        <v>0.0</v>
      </c>
      <c r="I764" s="56">
        <v>0.0</v>
      </c>
      <c r="J764" s="56">
        <v>0.0</v>
      </c>
      <c r="K764" s="50">
        <v>72955.32865423425</v>
      </c>
      <c r="L764" s="56">
        <v>0.005612594036419338</v>
      </c>
      <c r="M764" s="56">
        <v>1.0</v>
      </c>
      <c r="N764" s="51">
        <v>-4.1331943153477546E-5</v>
      </c>
      <c r="O764" s="7">
        <v>-0.00180482818437111</v>
      </c>
      <c r="P764" s="52">
        <v>54.970536069288706</v>
      </c>
      <c r="Q764" s="30">
        <v>5062.826415977394</v>
      </c>
      <c r="R764" s="13">
        <v>5098.860075777839</v>
      </c>
      <c r="S764" s="56">
        <v>1.1384736034421642E-4</v>
      </c>
      <c r="T764" s="52">
        <v>280235.69559610984</v>
      </c>
      <c r="U764" s="50">
        <v>72955.32865423425</v>
      </c>
      <c r="V764" s="50">
        <v>-224720.3461641118</v>
      </c>
    </row>
    <row r="765">
      <c r="A765" s="54">
        <v>44891.95995497685</v>
      </c>
      <c r="B765" s="47">
        <v>1.4117741375115151</v>
      </c>
      <c r="C765" s="7">
        <v>-0.0016260717390632617</v>
      </c>
      <c r="D765" s="48">
        <v>-0.7456262815294568</v>
      </c>
      <c r="E765" s="81">
        <v>14.08</v>
      </c>
      <c r="F765" s="7">
        <v>-0.0016372407190383687</v>
      </c>
      <c r="G765" s="48">
        <v>-0.7438627852882391</v>
      </c>
      <c r="H765" s="50">
        <v>0.0</v>
      </c>
      <c r="I765" s="56">
        <v>0.0</v>
      </c>
      <c r="J765" s="56">
        <v>0.0</v>
      </c>
      <c r="K765" s="50">
        <v>71284.59593696172</v>
      </c>
      <c r="L765" s="56">
        <v>-0.001530804776586625</v>
      </c>
      <c r="M765" s="56">
        <v>1.0</v>
      </c>
      <c r="N765" s="51">
        <v>1.1168979975106907E-5</v>
      </c>
      <c r="O765" s="7">
        <v>-0.0017634962412176325</v>
      </c>
      <c r="P765" s="52">
        <v>54.970536069288706</v>
      </c>
      <c r="Q765" s="30">
        <v>5062.826415977394</v>
      </c>
      <c r="R765" s="13">
        <v>5098.860075777839</v>
      </c>
      <c r="S765" s="56">
        <v>1.1384736034421642E-4</v>
      </c>
      <c r="T765" s="52">
        <v>280235.69559610984</v>
      </c>
      <c r="U765" s="50">
        <v>71284.59593696172</v>
      </c>
      <c r="V765" s="50">
        <v>-226391.07888138434</v>
      </c>
    </row>
    <row r="766">
      <c r="A766" s="54">
        <v>44890.95996299769</v>
      </c>
      <c r="B766" s="47">
        <v>1.4207988356633163</v>
      </c>
      <c r="C766" s="7">
        <v>-0.007942677856310754</v>
      </c>
      <c r="D766" s="48">
        <v>-0.7440002097903935</v>
      </c>
      <c r="E766" s="81">
        <v>14.17</v>
      </c>
      <c r="F766" s="7">
        <v>-0.008004287959742395</v>
      </c>
      <c r="G766" s="48">
        <v>-0.7422255445692008</v>
      </c>
      <c r="H766" s="50">
        <v>0.0</v>
      </c>
      <c r="I766" s="56">
        <v>0.0</v>
      </c>
      <c r="J766" s="56">
        <v>0.0</v>
      </c>
      <c r="K766" s="50">
        <v>71740.27928184728</v>
      </c>
      <c r="L766" s="56">
        <v>-0.007477338735579764</v>
      </c>
      <c r="M766" s="56">
        <v>1.0</v>
      </c>
      <c r="N766" s="51">
        <v>6.161010343164186E-5</v>
      </c>
      <c r="O766" s="7">
        <v>-0.0017746652211927394</v>
      </c>
      <c r="P766" s="52">
        <v>54.970536069288706</v>
      </c>
      <c r="Q766" s="30">
        <v>5062.828460257395</v>
      </c>
      <c r="R766" s="13">
        <v>5098.860075777839</v>
      </c>
      <c r="S766" s="56">
        <v>1.1425118867416828E-4</v>
      </c>
      <c r="T766" s="52">
        <v>280235.69559610984</v>
      </c>
      <c r="U766" s="50">
        <v>71740.27928184728</v>
      </c>
      <c r="V766" s="50">
        <v>-225935.39553649875</v>
      </c>
    </row>
    <row r="767">
      <c r="A767" s="54">
        <v>44889.95996554398</v>
      </c>
      <c r="B767" s="47">
        <v>1.464880697765841</v>
      </c>
      <c r="C767" s="7">
        <v>0.008319800513246323</v>
      </c>
      <c r="D767" s="48">
        <v>-0.7360575319340827</v>
      </c>
      <c r="E767" s="81">
        <v>14.61</v>
      </c>
      <c r="F767" s="7">
        <v>0.008368119230639848</v>
      </c>
      <c r="G767" s="48">
        <v>-0.7342212566094584</v>
      </c>
      <c r="H767" s="50">
        <v>0.0</v>
      </c>
      <c r="I767" s="56">
        <v>0.0</v>
      </c>
      <c r="J767" s="56">
        <v>0.0</v>
      </c>
      <c r="K767" s="50">
        <v>73966.10113580634</v>
      </c>
      <c r="L767" s="56">
        <v>0.007832366838416482</v>
      </c>
      <c r="M767" s="56">
        <v>1.0</v>
      </c>
      <c r="N767" s="51">
        <v>-4.831871739352511E-5</v>
      </c>
      <c r="O767" s="7">
        <v>-0.0018362753246243813</v>
      </c>
      <c r="P767" s="52">
        <v>54.970536069288706</v>
      </c>
      <c r="Q767" s="30">
        <v>5062.703705394</v>
      </c>
      <c r="R767" s="13">
        <v>5098.860075777839</v>
      </c>
      <c r="S767" s="56">
        <v>8.960703614846322E-5</v>
      </c>
      <c r="T767" s="52">
        <v>280235.69559610984</v>
      </c>
      <c r="U767" s="50">
        <v>73966.10113580634</v>
      </c>
      <c r="V767" s="50">
        <v>-223709.5736825397</v>
      </c>
    </row>
    <row r="768">
      <c r="A768" s="54">
        <v>44888.95998680555</v>
      </c>
      <c r="B768" s="47">
        <v>1.418705804917324</v>
      </c>
      <c r="C768" s="7">
        <v>0.03908637392329317</v>
      </c>
      <c r="D768" s="48">
        <v>-0.7443773324473291</v>
      </c>
      <c r="E768" s="81">
        <v>14.15</v>
      </c>
      <c r="F768" s="7">
        <v>0.03420013946435441</v>
      </c>
      <c r="G768" s="48">
        <v>-0.7425893758400982</v>
      </c>
      <c r="H768" s="50">
        <v>0.0</v>
      </c>
      <c r="I768" s="56">
        <v>0.0</v>
      </c>
      <c r="J768" s="56">
        <v>0.0</v>
      </c>
      <c r="K768" s="50">
        <v>71634.59605175589</v>
      </c>
      <c r="L768" s="56">
        <v>0.036796413383148985</v>
      </c>
      <c r="M768" s="56">
        <v>1.0</v>
      </c>
      <c r="N768" s="51">
        <v>0.004886234458938765</v>
      </c>
      <c r="O768" s="7">
        <v>-0.0017879566072308561</v>
      </c>
      <c r="P768" s="52">
        <v>54.970536069288706</v>
      </c>
      <c r="Q768" s="30">
        <v>5062.515622032218</v>
      </c>
      <c r="R768" s="13">
        <v>5098.860075777839</v>
      </c>
      <c r="S768" s="56">
        <v>5.245293306029802E-5</v>
      </c>
      <c r="T768" s="52">
        <v>280235.69559610984</v>
      </c>
      <c r="U768" s="50">
        <v>71634.59605175589</v>
      </c>
      <c r="V768" s="50">
        <v>-226041.07876659016</v>
      </c>
    </row>
    <row r="769">
      <c r="A769" s="54">
        <v>44887.95996945602</v>
      </c>
      <c r="B769" s="47">
        <v>1.2017764296430469</v>
      </c>
      <c r="C769" s="7">
        <v>0.007175570543063614</v>
      </c>
      <c r="D769" s="48">
        <v>-0.7834637063706222</v>
      </c>
      <c r="E769" s="81">
        <v>12.27</v>
      </c>
      <c r="F769" s="7">
        <v>0.007276625417947824</v>
      </c>
      <c r="G769" s="48">
        <v>-0.7767895153044526</v>
      </c>
      <c r="H769" s="50">
        <v>0.0</v>
      </c>
      <c r="I769" s="56">
        <v>0.0</v>
      </c>
      <c r="J769" s="56">
        <v>0.0</v>
      </c>
      <c r="K769" s="50">
        <v>60681.19886703218</v>
      </c>
      <c r="L769" s="56">
        <v>0.006755174078841075</v>
      </c>
      <c r="M769" s="56">
        <v>1.0</v>
      </c>
      <c r="N769" s="51">
        <v>-1.0105487488420994E-4</v>
      </c>
      <c r="O769" s="7">
        <v>-0.006674191066169621</v>
      </c>
      <c r="P769" s="52">
        <v>54.970536069288706</v>
      </c>
      <c r="Q769" s="30">
        <v>4945.492980198222</v>
      </c>
      <c r="R769" s="13">
        <v>5098.860075777839</v>
      </c>
      <c r="S769" s="56">
        <v>-0.023064271784880748</v>
      </c>
      <c r="T769" s="52">
        <v>280235.69559610984</v>
      </c>
      <c r="U769" s="50">
        <v>60681.19886703218</v>
      </c>
      <c r="V769" s="50">
        <v>-236994.47595131386</v>
      </c>
    </row>
    <row r="770">
      <c r="A770" s="54">
        <v>44886.95996663194</v>
      </c>
      <c r="B770" s="47">
        <v>1.1619520131290433</v>
      </c>
      <c r="C770" s="7">
        <v>-0.009856905936204807</v>
      </c>
      <c r="D770" s="48">
        <v>-0.7906392769136859</v>
      </c>
      <c r="E770" s="81">
        <v>11.87</v>
      </c>
      <c r="F770" s="7">
        <v>-0.010187275585126887</v>
      </c>
      <c r="G770" s="48">
        <v>-0.7840661407224004</v>
      </c>
      <c r="H770" s="50">
        <v>0.0</v>
      </c>
      <c r="I770" s="56">
        <v>0.0</v>
      </c>
      <c r="J770" s="56">
        <v>0.0</v>
      </c>
      <c r="K770" s="50">
        <v>58670.347864597774</v>
      </c>
      <c r="L770" s="56">
        <v>-0.009279417584736938</v>
      </c>
      <c r="M770" s="56">
        <v>1.0</v>
      </c>
      <c r="N770" s="51">
        <v>3.3036964892207976E-4</v>
      </c>
      <c r="O770" s="7">
        <v>-0.006573136191285411</v>
      </c>
      <c r="P770" s="52">
        <v>54.970536069288706</v>
      </c>
      <c r="Q770" s="30">
        <v>4942.742027346064</v>
      </c>
      <c r="R770" s="13">
        <v>5098.860075777839</v>
      </c>
      <c r="S770" s="56">
        <v>-0.023607696705039156</v>
      </c>
      <c r="T770" s="52">
        <v>280235.69559610984</v>
      </c>
      <c r="U770" s="50">
        <v>58670.347864597774</v>
      </c>
      <c r="V770" s="50">
        <v>-239005.32695374827</v>
      </c>
    </row>
    <row r="771">
      <c r="A771" s="54">
        <v>44885.95996903935</v>
      </c>
      <c r="B771" s="47">
        <v>1.2166578410749804</v>
      </c>
      <c r="C771" s="7">
        <v>-0.008788535891697924</v>
      </c>
      <c r="D771" s="48">
        <v>-0.780782370977481</v>
      </c>
      <c r="E771" s="81">
        <v>12.43</v>
      </c>
      <c r="F771" s="7">
        <v>-0.009095781772434752</v>
      </c>
      <c r="G771" s="48">
        <v>-0.7738788651372736</v>
      </c>
      <c r="H771" s="50">
        <v>0.0</v>
      </c>
      <c r="I771" s="56">
        <v>0.0</v>
      </c>
      <c r="J771" s="56">
        <v>0.0</v>
      </c>
      <c r="K771" s="50">
        <v>61432.60475605557</v>
      </c>
      <c r="L771" s="56">
        <v>-0.008273640331492471</v>
      </c>
      <c r="M771" s="56">
        <v>1.0</v>
      </c>
      <c r="N771" s="51">
        <v>3.0724588073682835E-4</v>
      </c>
      <c r="O771" s="7">
        <v>-0.006903505840207491</v>
      </c>
      <c r="P771" s="52">
        <v>54.970536069288706</v>
      </c>
      <c r="Q771" s="30">
        <v>4942.285177478324</v>
      </c>
      <c r="R771" s="13">
        <v>5098.860075777839</v>
      </c>
      <c r="S771" s="56">
        <v>-0.023697943109191898</v>
      </c>
      <c r="T771" s="52">
        <v>280235.69559610984</v>
      </c>
      <c r="U771" s="50">
        <v>61432.60475605557</v>
      </c>
      <c r="V771" s="50">
        <v>-236243.07006229047</v>
      </c>
    </row>
    <row r="772">
      <c r="A772" s="54">
        <v>44884.95997840278</v>
      </c>
      <c r="B772" s="47">
        <v>1.2654342152739035</v>
      </c>
      <c r="C772" s="7">
        <v>-0.004936514681712856</v>
      </c>
      <c r="D772" s="48">
        <v>-0.7719938350857831</v>
      </c>
      <c r="E772" s="81">
        <v>12.93</v>
      </c>
      <c r="F772" s="7">
        <v>-0.005278323088660941</v>
      </c>
      <c r="G772" s="48">
        <v>-0.7647830833648388</v>
      </c>
      <c r="H772" s="50">
        <v>0.0</v>
      </c>
      <c r="I772" s="56">
        <v>0.0</v>
      </c>
      <c r="J772" s="56">
        <v>0.0</v>
      </c>
      <c r="K772" s="50">
        <v>63895.46622493689</v>
      </c>
      <c r="L772" s="56">
        <v>-0.004647298192888671</v>
      </c>
      <c r="M772" s="56">
        <v>1.0</v>
      </c>
      <c r="N772" s="51">
        <v>3.4180840694808534E-4</v>
      </c>
      <c r="O772" s="7">
        <v>-0.0072107517209443195</v>
      </c>
      <c r="P772" s="52">
        <v>54.970536069288706</v>
      </c>
      <c r="Q772" s="30">
        <v>4941.644719639357</v>
      </c>
      <c r="R772" s="13">
        <v>5098.860075777839</v>
      </c>
      <c r="S772" s="56">
        <v>-0.023824459545026933</v>
      </c>
      <c r="T772" s="52">
        <v>280235.69559610984</v>
      </c>
      <c r="U772" s="50">
        <v>63895.46622493689</v>
      </c>
      <c r="V772" s="50">
        <v>-233780.20859340916</v>
      </c>
    </row>
    <row r="773">
      <c r="A773" s="54">
        <v>44883.95997251157</v>
      </c>
      <c r="B773" s="47">
        <v>1.2928318717574099</v>
      </c>
      <c r="C773" s="7">
        <v>-0.00982408768605958</v>
      </c>
      <c r="D773" s="48">
        <v>-0.7670573204040703</v>
      </c>
      <c r="E773" s="81">
        <v>13.22</v>
      </c>
      <c r="F773" s="7">
        <v>-0.01018739290811943</v>
      </c>
      <c r="G773" s="48">
        <v>-0.7595047602761779</v>
      </c>
      <c r="H773" s="50">
        <v>0.0</v>
      </c>
      <c r="I773" s="56">
        <v>0.0</v>
      </c>
      <c r="J773" s="56">
        <v>0.0</v>
      </c>
      <c r="K773" s="50">
        <v>65278.853850587104</v>
      </c>
      <c r="L773" s="56">
        <v>-0.009248522063417308</v>
      </c>
      <c r="M773" s="56">
        <v>1.0</v>
      </c>
      <c r="N773" s="51">
        <v>3.6330522205985094E-4</v>
      </c>
      <c r="O773" s="7">
        <v>-0.007552560127892405</v>
      </c>
      <c r="P773" s="52">
        <v>54.969903001745365</v>
      </c>
      <c r="Q773" s="30">
        <v>4937.886070392367</v>
      </c>
      <c r="R773" s="13">
        <v>5098.936753078748</v>
      </c>
      <c r="S773" s="56">
        <v>-0.024566945431452394</v>
      </c>
      <c r="T773" s="52">
        <v>280235.69559610984</v>
      </c>
      <c r="U773" s="50">
        <v>65278.853850587104</v>
      </c>
      <c r="V773" s="50">
        <v>-232396.82096775895</v>
      </c>
    </row>
    <row r="774">
      <c r="A774" s="54">
        <v>44882.95997001157</v>
      </c>
      <c r="B774" s="47">
        <v>1.3473555584150407</v>
      </c>
      <c r="C774" s="7">
        <v>-0.008288167981363781</v>
      </c>
      <c r="D774" s="48">
        <v>-0.7572332327180107</v>
      </c>
      <c r="E774" s="81">
        <v>13.78</v>
      </c>
      <c r="F774" s="7">
        <v>-0.008732051064102464</v>
      </c>
      <c r="G774" s="48">
        <v>-0.7493173673680584</v>
      </c>
      <c r="H774" s="50">
        <v>0.0</v>
      </c>
      <c r="I774" s="56">
        <v>0.0</v>
      </c>
      <c r="J774" s="56">
        <v>0.0</v>
      </c>
      <c r="K774" s="50">
        <v>68031.9138968872</v>
      </c>
      <c r="L774" s="7">
        <v>-0.007802587567466657</v>
      </c>
      <c r="M774" s="56">
        <v>1.0</v>
      </c>
      <c r="N774" s="51">
        <v>4.4388308273868304E-4</v>
      </c>
      <c r="O774" s="7">
        <v>-0.007915865349952256</v>
      </c>
      <c r="P774" s="52">
        <v>54.969903001745365</v>
      </c>
      <c r="Q774" s="30">
        <v>4937.00391124</v>
      </c>
      <c r="R774" s="13">
        <v>5098.936753078748</v>
      </c>
      <c r="S774" s="7">
        <v>-0.02474120769355051</v>
      </c>
      <c r="T774" s="52">
        <v>280235.69559610984</v>
      </c>
      <c r="U774" s="50">
        <v>68031.9138968872</v>
      </c>
      <c r="V774" s="52">
        <v>-229643.76092145883</v>
      </c>
    </row>
    <row r="775">
      <c r="A775" s="54">
        <v>44881.95996928241</v>
      </c>
      <c r="B775" s="47">
        <v>1.3933548907116093</v>
      </c>
      <c r="C775" s="7">
        <v>-0.0018791000269078317</v>
      </c>
      <c r="D775" s="48">
        <v>-0.7489450647366469</v>
      </c>
      <c r="E775" s="81">
        <v>14.26</v>
      </c>
      <c r="F775" s="7">
        <v>-0.001962453832305755</v>
      </c>
      <c r="G775" s="48">
        <v>-0.740585316303956</v>
      </c>
      <c r="H775" s="50">
        <v>0.0</v>
      </c>
      <c r="I775" s="56">
        <v>0.0</v>
      </c>
      <c r="J775" s="56">
        <v>0.0</v>
      </c>
      <c r="K775" s="50">
        <v>70354.55441636207</v>
      </c>
      <c r="L775" s="56">
        <v>-0.0017690088498381051</v>
      </c>
      <c r="M775" s="56">
        <v>1.0</v>
      </c>
      <c r="N775" s="51">
        <v>8.335380539792325E-5</v>
      </c>
      <c r="O775" s="7">
        <v>-0.008359748432690939</v>
      </c>
      <c r="P775" s="52">
        <v>54.969903001745365</v>
      </c>
      <c r="Q775" s="30">
        <v>4933.699468188083</v>
      </c>
      <c r="R775" s="13">
        <v>5098.936753078748</v>
      </c>
      <c r="S775" s="56">
        <v>-0.02539396940854949</v>
      </c>
      <c r="T775" s="52">
        <v>280235.69559610984</v>
      </c>
      <c r="U775" s="50">
        <v>70354.55441636207</v>
      </c>
      <c r="V775" s="50">
        <v>-227321.12040198396</v>
      </c>
    </row>
    <row r="776">
      <c r="A776" s="54">
        <v>44880.9599808912</v>
      </c>
      <c r="B776" s="47">
        <v>1.4037838958609479</v>
      </c>
      <c r="C776" s="7">
        <v>0.00939951586059773</v>
      </c>
      <c r="D776" s="48">
        <v>-0.7470659647097391</v>
      </c>
      <c r="E776" s="81">
        <v>14.37</v>
      </c>
      <c r="F776" s="7">
        <v>0.009458323696224125</v>
      </c>
      <c r="G776" s="48">
        <v>-0.7386228624716502</v>
      </c>
      <c r="H776" s="50">
        <v>0.0</v>
      </c>
      <c r="I776" s="56">
        <v>0.0</v>
      </c>
      <c r="J776" s="56">
        <v>0.0</v>
      </c>
      <c r="K776" s="50">
        <v>70881.14531949726</v>
      </c>
      <c r="L776" s="56">
        <v>0.008848824705171787</v>
      </c>
      <c r="M776" s="56">
        <v>1.0</v>
      </c>
      <c r="N776" s="51">
        <v>-5.8807835626395466E-5</v>
      </c>
      <c r="O776" s="7">
        <v>-0.008443102238088862</v>
      </c>
      <c r="P776" s="52">
        <v>54.97802958547352</v>
      </c>
      <c r="Q776" s="30">
        <v>4932.5779623867265</v>
      </c>
      <c r="R776" s="13">
        <v>5097.920632714574</v>
      </c>
      <c r="S776" s="56">
        <v>-0.025615512355053084</v>
      </c>
      <c r="T776" s="52">
        <v>280235.69559610984</v>
      </c>
      <c r="U776" s="50">
        <v>70881.14531949726</v>
      </c>
      <c r="V776" s="50">
        <v>-226794.52949884877</v>
      </c>
    </row>
    <row r="777">
      <c r="A777" s="54">
        <v>44879.95998850695</v>
      </c>
      <c r="B777" s="47">
        <v>1.351616582834631</v>
      </c>
      <c r="C777" s="7">
        <v>0.0010775543029766244</v>
      </c>
      <c r="D777" s="48">
        <v>-0.7564654805703368</v>
      </c>
      <c r="E777" s="81">
        <v>13.85</v>
      </c>
      <c r="F777" s="7">
        <v>0.0010913450418720272</v>
      </c>
      <c r="G777" s="48">
        <v>-0.7480811861678743</v>
      </c>
      <c r="H777" s="50">
        <v>0.0</v>
      </c>
      <c r="I777" s="56">
        <v>0.0</v>
      </c>
      <c r="J777" s="56">
        <v>0.0</v>
      </c>
      <c r="K777" s="50">
        <v>68247.06545403601</v>
      </c>
      <c r="L777" s="56">
        <v>0.0010144234318827383</v>
      </c>
      <c r="M777" s="56">
        <v>1.0</v>
      </c>
      <c r="N777" s="51">
        <v>-1.3790738895402832E-5</v>
      </c>
      <c r="O777" s="7">
        <v>-0.008384294402462467</v>
      </c>
      <c r="P777" s="52">
        <v>54.97802958547352</v>
      </c>
      <c r="Q777" s="30">
        <v>4927.585953360001</v>
      </c>
      <c r="R777" s="13">
        <v>5097.920632714574</v>
      </c>
      <c r="S777" s="56">
        <v>-0.02660163689173874</v>
      </c>
      <c r="T777" s="52">
        <v>280235.69559610984</v>
      </c>
      <c r="U777" s="50">
        <v>68247.06545403601</v>
      </c>
      <c r="V777" s="50">
        <v>-229428.60936431005</v>
      </c>
    </row>
    <row r="778">
      <c r="A778" s="54">
        <v>44878.959959872685</v>
      </c>
      <c r="B778" s="47">
        <v>1.3456361564531105</v>
      </c>
      <c r="C778" s="7">
        <v>-0.022205484817977794</v>
      </c>
      <c r="D778" s="48">
        <v>-0.7575430348733134</v>
      </c>
      <c r="E778" s="81">
        <v>13.79</v>
      </c>
      <c r="F778" s="7">
        <v>-0.02310013671962452</v>
      </c>
      <c r="G778" s="48">
        <v>-0.7491725312097464</v>
      </c>
      <c r="H778" s="50">
        <v>0.0</v>
      </c>
      <c r="I778" s="56">
        <v>0.0</v>
      </c>
      <c r="J778" s="56">
        <v>0.0</v>
      </c>
      <c r="K778" s="50">
        <v>67945.09627439876</v>
      </c>
      <c r="L778" s="56">
        <v>-0.020904528016312485</v>
      </c>
      <c r="M778" s="56">
        <v>1.0</v>
      </c>
      <c r="N778" s="51">
        <v>8.946519016467258E-4</v>
      </c>
      <c r="O778" s="7">
        <v>-0.008370503663567064</v>
      </c>
      <c r="P778" s="52">
        <v>54.97802958547352</v>
      </c>
      <c r="Q778" s="30">
        <v>4927.128083712746</v>
      </c>
      <c r="R778" s="13">
        <v>5097.920632714574</v>
      </c>
      <c r="S778" s="56">
        <v>-0.026692084743764832</v>
      </c>
      <c r="T778" s="52">
        <v>280235.69559610984</v>
      </c>
      <c r="U778" s="50">
        <v>67945.09627439876</v>
      </c>
      <c r="V778" s="50">
        <v>-229730.57854394728</v>
      </c>
    </row>
    <row r="779">
      <c r="A779" s="54">
        <v>44877.95996085648</v>
      </c>
      <c r="B779" s="47">
        <v>1.468876597192887</v>
      </c>
      <c r="C779" s="7">
        <v>-0.012950140180631453</v>
      </c>
      <c r="D779" s="48">
        <v>-0.7353375500553356</v>
      </c>
      <c r="E779" s="81">
        <v>15.06</v>
      </c>
      <c r="F779" s="7">
        <v>-0.02673795352586461</v>
      </c>
      <c r="G779" s="48">
        <v>-0.7260723944901218</v>
      </c>
      <c r="H779" s="50">
        <v>0.0</v>
      </c>
      <c r="I779" s="56">
        <v>0.0</v>
      </c>
      <c r="J779" s="56">
        <v>0.0</v>
      </c>
      <c r="K779" s="50">
        <v>74167.86575841361</v>
      </c>
      <c r="L779" s="56">
        <v>-0.012191427948558542</v>
      </c>
      <c r="M779" s="56">
        <v>1.0</v>
      </c>
      <c r="N779" s="51">
        <v>0.013787813345233157</v>
      </c>
      <c r="O779" s="7">
        <v>-0.00926515556521379</v>
      </c>
      <c r="P779" s="52">
        <v>54.97802958547352</v>
      </c>
      <c r="Q779" s="30">
        <v>4924.82508356</v>
      </c>
      <c r="R779" s="13">
        <v>5097.920632714574</v>
      </c>
      <c r="S779" s="56">
        <v>-0.027147020811879956</v>
      </c>
      <c r="T779" s="52">
        <v>280235.69559610984</v>
      </c>
      <c r="U779" s="50">
        <v>74167.86575841361</v>
      </c>
      <c r="V779" s="50">
        <v>-223507.80905993242</v>
      </c>
    </row>
    <row r="780">
      <c r="A780" s="54">
        <v>44876.95996605324</v>
      </c>
      <c r="B780" s="47">
        <v>1.5407498751953919</v>
      </c>
      <c r="C780" s="7">
        <v>-0.022348624296735897</v>
      </c>
      <c r="D780" s="48">
        <v>-0.7223874098747042</v>
      </c>
      <c r="E780" s="81">
        <v>16.53</v>
      </c>
      <c r="F780" s="7">
        <v>-0.028011189408048587</v>
      </c>
      <c r="G780" s="48">
        <v>-0.6993344409642572</v>
      </c>
      <c r="H780" s="50">
        <v>0.0</v>
      </c>
      <c r="I780" s="7">
        <v>0.0</v>
      </c>
      <c r="J780" s="7">
        <v>0.0</v>
      </c>
      <c r="K780" s="50">
        <v>77796.95730000001</v>
      </c>
      <c r="L780" s="7">
        <v>-0.021039281356240447</v>
      </c>
      <c r="M780" s="7">
        <v>1.0</v>
      </c>
      <c r="N780" s="51">
        <v>0.00566256511131269</v>
      </c>
      <c r="O780" s="7">
        <v>-0.023052968910446947</v>
      </c>
      <c r="P780" s="52">
        <v>54.97802958547352</v>
      </c>
      <c r="Q780" s="30">
        <v>4706.41</v>
      </c>
      <c r="R780" s="13">
        <v>5097.920632714574</v>
      </c>
      <c r="S780" s="7">
        <v>-0.07029287089502022</v>
      </c>
      <c r="T780" s="52">
        <v>280235.69559610984</v>
      </c>
      <c r="U780" s="50">
        <v>77796.95730000001</v>
      </c>
      <c r="V780" s="52">
        <v>-219878.71751834603</v>
      </c>
    </row>
    <row r="781">
      <c r="A781" s="54">
        <v>44875.959959618056</v>
      </c>
      <c r="B781" s="47">
        <v>1.664784740042276</v>
      </c>
      <c r="C781" s="7">
        <v>0.06175191401625768</v>
      </c>
      <c r="D781" s="48">
        <v>-0.7000387855779683</v>
      </c>
      <c r="E781" s="81">
        <v>18.07</v>
      </c>
      <c r="F781" s="7">
        <v>0.06766339259606546</v>
      </c>
      <c r="G781" s="48">
        <v>-0.6713232515562086</v>
      </c>
      <c r="H781" s="50">
        <v>0.0</v>
      </c>
      <c r="I781" s="56">
        <v>0.0</v>
      </c>
      <c r="J781" s="56">
        <v>0.0</v>
      </c>
      <c r="K781" s="50">
        <v>84059.83957541191</v>
      </c>
      <c r="L781" s="56">
        <v>0.05813404333188266</v>
      </c>
      <c r="M781" s="56">
        <v>1.0</v>
      </c>
      <c r="N781" s="51">
        <v>-0.005911478579807783</v>
      </c>
      <c r="O781" s="7">
        <v>-0.028715534021759637</v>
      </c>
      <c r="P781" s="52">
        <v>54.97802958547352</v>
      </c>
      <c r="Q781" s="30">
        <v>4651.900363885551</v>
      </c>
      <c r="R781" s="13">
        <v>5097.920632714574</v>
      </c>
      <c r="S781" s="56">
        <v>-0.08106073797428473</v>
      </c>
      <c r="T781" s="52">
        <v>280235.69559610984</v>
      </c>
      <c r="U781" s="50">
        <v>84059.83957541191</v>
      </c>
      <c r="V781" s="50">
        <v>-213615.83524293412</v>
      </c>
    </row>
    <row r="782">
      <c r="A782" s="54">
        <v>44874.95997045139</v>
      </c>
      <c r="B782" s="47">
        <v>1.3220616172520459</v>
      </c>
      <c r="C782" s="7">
        <v>-0.15720153831656314</v>
      </c>
      <c r="D782" s="48">
        <v>-0.761790699594226</v>
      </c>
      <c r="E782" s="81">
        <v>14.35</v>
      </c>
      <c r="F782" s="7">
        <v>-0.1722506257754679</v>
      </c>
      <c r="G782" s="48">
        <v>-0.7389866441522741</v>
      </c>
      <c r="H782" s="50">
        <v>0.0</v>
      </c>
      <c r="I782" s="56">
        <v>0.0</v>
      </c>
      <c r="J782" s="56">
        <v>0.0</v>
      </c>
      <c r="K782" s="50">
        <v>66754.74899667478</v>
      </c>
      <c r="L782" s="56">
        <v>-0.14799154303019157</v>
      </c>
      <c r="M782" s="56">
        <v>1.0</v>
      </c>
      <c r="N782" s="51">
        <v>0.015049087458904764</v>
      </c>
      <c r="O782" s="7">
        <v>-0.022804055441951854</v>
      </c>
      <c r="P782" s="52">
        <v>54.97802958547352</v>
      </c>
      <c r="Q782" s="30">
        <v>4651.898884785699</v>
      </c>
      <c r="R782" s="13">
        <v>5097.920632714574</v>
      </c>
      <c r="S782" s="56">
        <v>-0.08106103015658019</v>
      </c>
      <c r="T782" s="52">
        <v>280235.69559610984</v>
      </c>
      <c r="U782" s="50">
        <v>66754.74899667478</v>
      </c>
      <c r="V782" s="50">
        <v>-230920.92582167126</v>
      </c>
    </row>
    <row r="783">
      <c r="A783" s="54">
        <v>44873.95997296296</v>
      </c>
      <c r="B783" s="47">
        <v>2.1945301549089713</v>
      </c>
      <c r="C783" s="7">
        <v>-0.09329172601257496</v>
      </c>
      <c r="D783" s="48">
        <v>-0.6045891612776628</v>
      </c>
      <c r="E783" s="81">
        <v>23.82</v>
      </c>
      <c r="F783" s="7">
        <v>-0.10222265225534621</v>
      </c>
      <c r="G783" s="48">
        <v>-0.5667360183768062</v>
      </c>
      <c r="H783" s="50">
        <v>0.0</v>
      </c>
      <c r="I783" s="56">
        <v>0.0</v>
      </c>
      <c r="J783" s="56">
        <v>0.0</v>
      </c>
      <c r="K783" s="50">
        <v>110808.23143559536</v>
      </c>
      <c r="L783" s="56">
        <v>-0.08782602659236294</v>
      </c>
      <c r="M783" s="56">
        <v>1.0</v>
      </c>
      <c r="N783" s="51">
        <v>0.008930926242771253</v>
      </c>
      <c r="O783" s="7">
        <v>-0.03785314290085662</v>
      </c>
      <c r="P783" s="52">
        <v>54.97802958547352</v>
      </c>
      <c r="Q783" s="30">
        <v>4651.898884785699</v>
      </c>
      <c r="R783" s="13">
        <v>5097.920632714574</v>
      </c>
      <c r="S783" s="56">
        <v>-0.08106103015658019</v>
      </c>
      <c r="T783" s="52">
        <v>280235.69559610984</v>
      </c>
      <c r="U783" s="50">
        <v>110808.23143559536</v>
      </c>
      <c r="V783" s="50">
        <v>-186867.44338275067</v>
      </c>
    </row>
    <row r="784">
      <c r="A784" s="54">
        <v>44872.95996662037</v>
      </c>
      <c r="B784" s="47">
        <v>2.7122992342787624</v>
      </c>
      <c r="C784" s="7">
        <v>-0.06639256194457199</v>
      </c>
      <c r="D784" s="48">
        <v>-0.5112974352650879</v>
      </c>
      <c r="E784" s="81">
        <v>29.44</v>
      </c>
      <c r="F784" s="7">
        <v>-0.07334915277300824</v>
      </c>
      <c r="G784" s="48">
        <v>-0.46451336612146</v>
      </c>
      <c r="H784" s="50">
        <v>0.0</v>
      </c>
      <c r="I784" s="56">
        <v>0.0</v>
      </c>
      <c r="J784" s="56">
        <v>0.0</v>
      </c>
      <c r="K784" s="50">
        <v>136951.903168091</v>
      </c>
      <c r="L784" s="56">
        <v>-0.06252398790177549</v>
      </c>
      <c r="M784" s="56">
        <v>1.0</v>
      </c>
      <c r="N784" s="51">
        <v>0.006956590828436249</v>
      </c>
      <c r="O784" s="7">
        <v>-0.04678406914362787</v>
      </c>
      <c r="P784" s="52">
        <v>54.97802958547352</v>
      </c>
      <c r="Q784" s="30">
        <v>4651.898884785699</v>
      </c>
      <c r="R784" s="13">
        <v>5097.920632714574</v>
      </c>
      <c r="S784" s="56">
        <v>-0.08106103015658019</v>
      </c>
      <c r="T784" s="52">
        <v>280235.69559610984</v>
      </c>
      <c r="U784" s="50">
        <v>136951.903168091</v>
      </c>
      <c r="V784" s="50">
        <v>-160723.77165025505</v>
      </c>
    </row>
    <row r="785">
      <c r="A785" s="54">
        <v>44871.959984375004</v>
      </c>
      <c r="B785" s="47">
        <v>3.080777953071137</v>
      </c>
      <c r="C785" s="7">
        <v>-0.0597233250462087</v>
      </c>
      <c r="D785" s="48">
        <v>-0.44490487332051587</v>
      </c>
      <c r="E785" s="81">
        <v>33.46</v>
      </c>
      <c r="F785" s="7">
        <v>-0.06550534464870217</v>
      </c>
      <c r="G785" s="48">
        <v>-0.39116421334845175</v>
      </c>
      <c r="H785" s="50">
        <v>0.0</v>
      </c>
      <c r="I785" s="56">
        <v>0.0</v>
      </c>
      <c r="J785" s="56">
        <v>0.0</v>
      </c>
      <c r="K785" s="50">
        <v>155652.53668492948</v>
      </c>
      <c r="L785" s="56">
        <v>-0.05342439542604227</v>
      </c>
      <c r="M785" s="56">
        <v>1.0</v>
      </c>
      <c r="N785" s="51">
        <v>0.005782019602493471</v>
      </c>
      <c r="O785" s="7">
        <v>-0.05374065997206412</v>
      </c>
      <c r="P785" s="52">
        <v>54.957347668444434</v>
      </c>
      <c r="Q785" s="30">
        <v>4651.898884785699</v>
      </c>
      <c r="R785" s="13">
        <v>5102.955421513297</v>
      </c>
      <c r="S785" s="56">
        <v>-0.08197153935149233</v>
      </c>
      <c r="T785" s="52">
        <v>280406.95946301176</v>
      </c>
      <c r="U785" s="50">
        <v>155652.53668492948</v>
      </c>
      <c r="V785" s="50">
        <v>-142192.98907341654</v>
      </c>
    </row>
    <row r="786">
      <c r="A786" s="54">
        <v>44870.95997467593</v>
      </c>
      <c r="B786" s="47">
        <v>3.412242407077595</v>
      </c>
      <c r="C786" s="7">
        <v>0.05375099254158788</v>
      </c>
      <c r="D786" s="48">
        <v>-0.3851815482743072</v>
      </c>
      <c r="E786" s="81">
        <v>37.06</v>
      </c>
      <c r="F786" s="7">
        <v>0.05895481018383186</v>
      </c>
      <c r="G786" s="48">
        <v>-0.3256588686997496</v>
      </c>
      <c r="H786" s="50">
        <v>0.0</v>
      </c>
      <c r="I786" s="56">
        <v>0.0</v>
      </c>
      <c r="J786" s="56">
        <v>0.0</v>
      </c>
      <c r="K786" s="50">
        <v>172399.37267015802</v>
      </c>
      <c r="L786" s="56">
        <v>0.05035894070242963</v>
      </c>
      <c r="M786" s="56">
        <v>1.0</v>
      </c>
      <c r="N786" s="51">
        <v>-0.00520381764224398</v>
      </c>
      <c r="O786" s="7">
        <v>-0.05952267957455759</v>
      </c>
      <c r="P786" s="52">
        <v>54.957347668444434</v>
      </c>
      <c r="Q786" s="30">
        <v>4651.898884785699</v>
      </c>
      <c r="R786" s="13">
        <v>5102.955421513297</v>
      </c>
      <c r="S786" s="56">
        <v>-0.0904980598917746</v>
      </c>
      <c r="T786" s="52">
        <v>280406.95946301176</v>
      </c>
      <c r="U786" s="50">
        <v>172399.37267015802</v>
      </c>
      <c r="V786" s="50">
        <v>-126895.095729542</v>
      </c>
    </row>
    <row r="787">
      <c r="A787" s="54">
        <v>44869.95996269676</v>
      </c>
      <c r="B787" s="47">
        <v>3.113924398471782</v>
      </c>
      <c r="C787" s="7">
        <v>0.06604144801188006</v>
      </c>
      <c r="D787" s="48">
        <v>-0.43893254081589506</v>
      </c>
      <c r="E787" s="81">
        <v>33.82</v>
      </c>
      <c r="F787" s="7">
        <v>0.03894986513647081</v>
      </c>
      <c r="G787" s="48">
        <v>-0.38461367888358144</v>
      </c>
      <c r="H787" s="50">
        <v>0.0</v>
      </c>
      <c r="I787" s="56">
        <v>0.0</v>
      </c>
      <c r="J787" s="56">
        <v>0.0</v>
      </c>
      <c r="K787" s="50">
        <v>157327.22028345233</v>
      </c>
      <c r="L787" s="56">
        <v>0.06067403606189503</v>
      </c>
      <c r="M787" s="56">
        <v>1.0</v>
      </c>
      <c r="N787" s="51">
        <v>0.027091582875409248</v>
      </c>
      <c r="O787" s="7">
        <v>-0.05431886193231361</v>
      </c>
      <c r="P787" s="52">
        <v>54.957347668444434</v>
      </c>
      <c r="Q787" s="30">
        <v>4651.898884785699</v>
      </c>
      <c r="R787" s="13">
        <v>5102.955421513297</v>
      </c>
      <c r="S787" s="56">
        <v>-0.0904980598917746</v>
      </c>
      <c r="T787" s="52">
        <v>280406.95946301176</v>
      </c>
      <c r="U787" s="50">
        <v>157327.22028345233</v>
      </c>
      <c r="V787" s="50">
        <v>-141967.24811624768</v>
      </c>
    </row>
    <row r="788">
      <c r="A788" s="54">
        <v>44868.95996461806</v>
      </c>
      <c r="B788" s="47">
        <v>2.7473943620058483</v>
      </c>
      <c r="C788" s="7">
        <v>-0.020215756094971504</v>
      </c>
      <c r="D788" s="48">
        <v>-0.5049739888277751</v>
      </c>
      <c r="E788" s="81">
        <v>31.02</v>
      </c>
      <c r="F788" s="7">
        <v>0.009477195117658654</v>
      </c>
      <c r="G788" s="48">
        <v>-0.42356354402005225</v>
      </c>
      <c r="H788" s="50">
        <v>0.0</v>
      </c>
      <c r="I788" s="56">
        <v>0.0</v>
      </c>
      <c r="J788" s="56">
        <v>0.0</v>
      </c>
      <c r="K788" s="50">
        <v>143817.68029752196</v>
      </c>
      <c r="L788" s="56">
        <v>-0.01898899997794945</v>
      </c>
      <c r="M788" s="56">
        <v>1.0</v>
      </c>
      <c r="N788" s="51">
        <v>-0.02969295121263016</v>
      </c>
      <c r="O788" s="7">
        <v>-0.08141044480772286</v>
      </c>
      <c r="P788" s="52">
        <v>53.813390319433715</v>
      </c>
      <c r="Q788" s="30">
        <v>4636.288855497162</v>
      </c>
      <c r="R788" s="13">
        <v>5399.463513526428</v>
      </c>
      <c r="S788" s="56">
        <v>-0.14310139197646687</v>
      </c>
      <c r="T788" s="52">
        <v>290525.5017952708</v>
      </c>
      <c r="U788" s="50">
        <v>143817.68029752196</v>
      </c>
      <c r="V788" s="50">
        <v>-165476.78968417805</v>
      </c>
    </row>
    <row r="789">
      <c r="A789" s="54">
        <v>44867.959964988426</v>
      </c>
      <c r="B789" s="47">
        <v>2.8595918083329397</v>
      </c>
      <c r="C789" s="7">
        <v>-0.031073249812246573</v>
      </c>
      <c r="D789" s="48">
        <v>-0.4847582327328036</v>
      </c>
      <c r="E789" s="81">
        <v>30.51</v>
      </c>
      <c r="F789" s="7">
        <v>-0.03419223336567068</v>
      </c>
      <c r="G789" s="48">
        <v>-0.4330407391377109</v>
      </c>
      <c r="H789" s="50">
        <v>0.0</v>
      </c>
      <c r="I789" s="56">
        <v>0.0</v>
      </c>
      <c r="J789" s="56">
        <v>0.0</v>
      </c>
      <c r="K789" s="50">
        <v>149690.87298118437</v>
      </c>
      <c r="L789" s="56">
        <v>-0.0291876265833233</v>
      </c>
      <c r="M789" s="56">
        <v>1.0</v>
      </c>
      <c r="N789" s="51">
        <v>0.003118983553424104</v>
      </c>
      <c r="O789" s="7">
        <v>-0.0517174935950927</v>
      </c>
      <c r="P789" s="52">
        <v>53.813390319433715</v>
      </c>
      <c r="Q789" s="30">
        <v>4906.2888554960455</v>
      </c>
      <c r="R789" s="13">
        <v>5399.463513526428</v>
      </c>
      <c r="S789" s="56">
        <v>-0.09319884462092959</v>
      </c>
      <c r="T789" s="52">
        <v>290525.5017952708</v>
      </c>
      <c r="U789" s="50">
        <v>149690.87298118437</v>
      </c>
      <c r="V789" s="50">
        <v>-159603.59700051564</v>
      </c>
    </row>
    <row r="790">
      <c r="A790" s="54">
        <v>44866.95998101852</v>
      </c>
      <c r="B790" s="47">
        <v>3.0320483447909083</v>
      </c>
      <c r="C790" s="7">
        <v>-0.0033775271535050333</v>
      </c>
      <c r="D790" s="48">
        <v>-0.45368498292055703</v>
      </c>
      <c r="E790" s="81">
        <v>32.35</v>
      </c>
      <c r="F790" s="7">
        <v>-0.003716547104964052</v>
      </c>
      <c r="G790" s="48">
        <v>-0.39884850577204023</v>
      </c>
      <c r="H790" s="50">
        <v>0.0</v>
      </c>
      <c r="I790" s="56">
        <v>0.0</v>
      </c>
      <c r="J790" s="56">
        <v>0.0</v>
      </c>
      <c r="K790" s="50">
        <v>158718.4444752971</v>
      </c>
      <c r="L790" s="56">
        <v>-0.0031725681068828226</v>
      </c>
      <c r="M790" s="56">
        <v>1.0</v>
      </c>
      <c r="N790" s="51">
        <v>3.3901995145901864E-4</v>
      </c>
      <c r="O790" s="7">
        <v>-0.054836477148516805</v>
      </c>
      <c r="P790" s="52">
        <v>53.813390319433715</v>
      </c>
      <c r="Q790" s="30">
        <v>4906.2888554960455</v>
      </c>
      <c r="R790" s="13">
        <v>5399.463513526428</v>
      </c>
      <c r="S790" s="56">
        <v>-0.09319884462092959</v>
      </c>
      <c r="T790" s="52">
        <v>290525.5017952708</v>
      </c>
      <c r="U790" s="50">
        <v>158718.4444752971</v>
      </c>
      <c r="V790" s="50">
        <v>-150576.02550640292</v>
      </c>
    </row>
    <row r="791">
      <c r="A791" s="54">
        <v>44865.959956770836</v>
      </c>
      <c r="B791" s="47">
        <v>3.050793620492861</v>
      </c>
      <c r="C791" s="7">
        <v>0.0027020217228040933</v>
      </c>
      <c r="D791" s="48">
        <v>-0.450307455767052</v>
      </c>
      <c r="E791" s="81">
        <v>32.55</v>
      </c>
      <c r="F791" s="7">
        <v>0.002973237683971286</v>
      </c>
      <c r="G791" s="48">
        <v>-0.3951319586670762</v>
      </c>
      <c r="H791" s="50">
        <v>0.0</v>
      </c>
      <c r="I791" s="56">
        <v>0.0</v>
      </c>
      <c r="J791" s="56">
        <v>0.0</v>
      </c>
      <c r="K791" s="50">
        <v>159699.70224639628</v>
      </c>
      <c r="L791" s="56">
        <v>0.002538054485506258</v>
      </c>
      <c r="M791" s="56">
        <v>1.0</v>
      </c>
      <c r="N791" s="51">
        <v>-2.712159611671927E-4</v>
      </c>
      <c r="O791" s="7">
        <v>-0.05517549709997582</v>
      </c>
      <c r="P791" s="52">
        <v>53.813390319433715</v>
      </c>
      <c r="Q791" s="30">
        <v>4906.2888554960455</v>
      </c>
      <c r="R791" s="13">
        <v>5399.463513526428</v>
      </c>
      <c r="S791" s="56">
        <v>-0.09319884462092959</v>
      </c>
      <c r="T791" s="52">
        <v>290525.5017952708</v>
      </c>
      <c r="U791" s="50">
        <v>159699.70224639628</v>
      </c>
      <c r="V791" s="50">
        <v>-149594.76773530373</v>
      </c>
    </row>
    <row r="792">
      <c r="A792" s="54">
        <v>44864.95998511574</v>
      </c>
      <c r="B792" s="47">
        <v>3.0357973999312984</v>
      </c>
      <c r="C792" s="7">
        <v>-0.010976963248891414</v>
      </c>
      <c r="D792" s="48">
        <v>-0.4530094774898561</v>
      </c>
      <c r="E792" s="81">
        <v>32.39</v>
      </c>
      <c r="F792" s="7">
        <v>-0.012078778091133668</v>
      </c>
      <c r="G792" s="48">
        <v>-0.39810519635104746</v>
      </c>
      <c r="H792" s="50">
        <v>0.0</v>
      </c>
      <c r="I792" s="56">
        <v>0.0</v>
      </c>
      <c r="J792" s="56">
        <v>0.0</v>
      </c>
      <c r="K792" s="50">
        <v>158914.69602951693</v>
      </c>
      <c r="L792" s="56">
        <v>-0.010310846347369451</v>
      </c>
      <c r="M792" s="56">
        <v>1.0</v>
      </c>
      <c r="N792" s="51">
        <v>0.0011018148422422547</v>
      </c>
      <c r="O792" s="7">
        <v>-0.05490428113880863</v>
      </c>
      <c r="P792" s="52">
        <v>53.813390319433715</v>
      </c>
      <c r="Q792" s="30">
        <v>4906.2888554960455</v>
      </c>
      <c r="R792" s="13">
        <v>5399.463513526428</v>
      </c>
      <c r="S792" s="56">
        <v>-0.09319884462092959</v>
      </c>
      <c r="T792" s="52">
        <v>290525.5017952708</v>
      </c>
      <c r="U792" s="50">
        <v>158914.69602951693</v>
      </c>
      <c r="V792" s="50">
        <v>-150379.77395218308</v>
      </c>
    </row>
    <row r="793">
      <c r="A793" s="54">
        <v>44863.9599944213</v>
      </c>
      <c r="B793" s="47">
        <v>3.096719545962646</v>
      </c>
      <c r="C793" s="7">
        <v>0.014185614044721184</v>
      </c>
      <c r="D793" s="48">
        <v>-0.4420325142409647</v>
      </c>
      <c r="E793" s="81">
        <v>33.04</v>
      </c>
      <c r="F793" s="7">
        <v>0.01560949784084964</v>
      </c>
      <c r="G793" s="48">
        <v>-0.3860264182599138</v>
      </c>
      <c r="H793" s="50">
        <v>0.0</v>
      </c>
      <c r="I793" s="56">
        <v>0.0</v>
      </c>
      <c r="J793" s="56">
        <v>0.0</v>
      </c>
      <c r="K793" s="50">
        <v>162103.78378558933</v>
      </c>
      <c r="L793" s="56">
        <v>0.0133247860489083</v>
      </c>
      <c r="M793" s="56">
        <v>1.0</v>
      </c>
      <c r="N793" s="51">
        <v>-0.0014238837961284556</v>
      </c>
      <c r="O793" s="7">
        <v>-0.056006095981050885</v>
      </c>
      <c r="P793" s="52">
        <v>53.813390319433715</v>
      </c>
      <c r="Q793" s="30">
        <v>4906.2888554960455</v>
      </c>
      <c r="R793" s="13">
        <v>5399.463513526428</v>
      </c>
      <c r="S793" s="56">
        <v>-0.09319884462092959</v>
      </c>
      <c r="T793" s="52">
        <v>290525.5017952708</v>
      </c>
      <c r="U793" s="50">
        <v>162103.78378558933</v>
      </c>
      <c r="V793" s="50">
        <v>-147190.68619611068</v>
      </c>
    </row>
    <row r="794">
      <c r="A794" s="54">
        <v>44862.959960381944</v>
      </c>
      <c r="B794" s="47">
        <v>3.0179893880144433</v>
      </c>
      <c r="C794" s="7">
        <v>0.021141882258133626</v>
      </c>
      <c r="D794" s="48">
        <v>-0.45621812828568586</v>
      </c>
      <c r="E794" s="81">
        <v>32.2</v>
      </c>
      <c r="F794" s="7">
        <v>0.02675913915574224</v>
      </c>
      <c r="G794" s="48">
        <v>-0.40163591610076343</v>
      </c>
      <c r="H794" s="50">
        <v>0.0</v>
      </c>
      <c r="I794" s="56">
        <v>0.0</v>
      </c>
      <c r="J794" s="56">
        <v>0.0</v>
      </c>
      <c r="K794" s="50">
        <v>157982.50114697267</v>
      </c>
      <c r="L794" s="56">
        <v>0.01985892587185345</v>
      </c>
      <c r="M794" s="56">
        <v>1.0</v>
      </c>
      <c r="N794" s="51">
        <v>-0.0056172568976086135</v>
      </c>
      <c r="O794" s="7">
        <v>-0.05458221218492243</v>
      </c>
      <c r="P794" s="52">
        <v>53.813390319433715</v>
      </c>
      <c r="Q794" s="30">
        <v>4906.2888554960455</v>
      </c>
      <c r="R794" s="13">
        <v>5399.463513526428</v>
      </c>
      <c r="S794" s="56">
        <v>-0.09319884462092959</v>
      </c>
      <c r="T794" s="52">
        <v>290525.5017952708</v>
      </c>
      <c r="U794" s="50">
        <v>157982.50114697267</v>
      </c>
      <c r="V794" s="50">
        <v>-151311.96883472733</v>
      </c>
    </row>
    <row r="795">
      <c r="A795" s="54">
        <v>44861.959965057875</v>
      </c>
      <c r="B795" s="47">
        <v>2.9006519414818017</v>
      </c>
      <c r="C795" s="7">
        <v>-0.007475994647617612</v>
      </c>
      <c r="D795" s="48">
        <v>-0.4773600105438195</v>
      </c>
      <c r="E795" s="81">
        <v>30.76</v>
      </c>
      <c r="F795" s="7">
        <v>-0.008176403630921203</v>
      </c>
      <c r="G795" s="48">
        <v>-0.4283950552565057</v>
      </c>
      <c r="H795" s="50">
        <v>0.0</v>
      </c>
      <c r="I795" s="56">
        <v>0.0</v>
      </c>
      <c r="J795" s="56">
        <v>0.0</v>
      </c>
      <c r="K795" s="50">
        <v>151840.24519503186</v>
      </c>
      <c r="L795" s="56">
        <v>-0.007022327610792245</v>
      </c>
      <c r="M795" s="56">
        <v>1.0</v>
      </c>
      <c r="N795" s="51">
        <v>7.004089833035909E-4</v>
      </c>
      <c r="O795" s="7">
        <v>-0.048964955287313816</v>
      </c>
      <c r="P795" s="52">
        <v>53.813390319433715</v>
      </c>
      <c r="Q795" s="30">
        <v>4936.288855495184</v>
      </c>
      <c r="R795" s="13">
        <v>5399.463513526428</v>
      </c>
      <c r="S795" s="56">
        <v>-0.08765411713711725</v>
      </c>
      <c r="T795" s="52">
        <v>290525.5017952708</v>
      </c>
      <c r="U795" s="50">
        <v>151840.24519503186</v>
      </c>
      <c r="V795" s="50">
        <v>-157454.22478666814</v>
      </c>
    </row>
    <row r="796">
      <c r="A796" s="54">
        <v>44860.95998134259</v>
      </c>
      <c r="B796" s="47">
        <v>2.9421437117760796</v>
      </c>
      <c r="C796" s="7">
        <v>0.0025486345389604814</v>
      </c>
      <c r="D796" s="48">
        <v>-0.4698840158962019</v>
      </c>
      <c r="E796" s="81">
        <v>31.2</v>
      </c>
      <c r="F796" s="7">
        <v>0.0027874103287230945</v>
      </c>
      <c r="G796" s="48">
        <v>-0.42021865162558447</v>
      </c>
      <c r="H796" s="50">
        <v>0.0</v>
      </c>
      <c r="I796" s="56">
        <v>0.0</v>
      </c>
      <c r="J796" s="56">
        <v>0.0</v>
      </c>
      <c r="K796" s="50">
        <v>154012.21229144974</v>
      </c>
      <c r="L796" s="56">
        <v>0.0023939753218610305</v>
      </c>
      <c r="M796" s="56">
        <v>1.0</v>
      </c>
      <c r="N796" s="51">
        <v>-2.3877578976261304E-4</v>
      </c>
      <c r="O796" s="7">
        <v>-0.04966536427061741</v>
      </c>
      <c r="P796" s="52">
        <v>53.813390319433715</v>
      </c>
      <c r="Q796" s="30">
        <v>4936.288855495184</v>
      </c>
      <c r="R796" s="13">
        <v>5399.463513526428</v>
      </c>
      <c r="S796" s="56">
        <v>-0.08765411713711725</v>
      </c>
      <c r="T796" s="52">
        <v>290525.5017952708</v>
      </c>
      <c r="U796" s="50">
        <v>154012.21229144974</v>
      </c>
      <c r="V796" s="50">
        <v>-155282.25769025026</v>
      </c>
    </row>
    <row r="797">
      <c r="A797" s="54">
        <v>44859.95996788194</v>
      </c>
      <c r="B797" s="47">
        <v>2.9279987900848488</v>
      </c>
      <c r="C797" s="7">
        <v>0.04570551273202628</v>
      </c>
      <c r="D797" s="48">
        <v>-0.47243265043516236</v>
      </c>
      <c r="E797" s="81">
        <v>31.05</v>
      </c>
      <c r="F797" s="7">
        <v>0.04998755856176862</v>
      </c>
      <c r="G797" s="48">
        <v>-0.42300606195430757</v>
      </c>
      <c r="H797" s="50">
        <v>0.0</v>
      </c>
      <c r="I797" s="56">
        <v>0.0</v>
      </c>
      <c r="J797" s="56">
        <v>0.0</v>
      </c>
      <c r="K797" s="50">
        <v>153271.76896312548</v>
      </c>
      <c r="L797" s="56">
        <v>0.0429319574387077</v>
      </c>
      <c r="M797" s="56">
        <v>1.0</v>
      </c>
      <c r="N797" s="51">
        <v>-0.0042820458297423425</v>
      </c>
      <c r="O797" s="7">
        <v>-0.049426588480854794</v>
      </c>
      <c r="P797" s="52">
        <v>53.813390319433715</v>
      </c>
      <c r="Q797" s="30">
        <v>4936.288855495184</v>
      </c>
      <c r="R797" s="13">
        <v>5399.463513526428</v>
      </c>
      <c r="S797" s="56">
        <v>-0.08765411713711725</v>
      </c>
      <c r="T797" s="52">
        <v>290525.5017952708</v>
      </c>
      <c r="U797" s="50">
        <v>153271.76896312548</v>
      </c>
      <c r="V797" s="50">
        <v>-156022.70101857453</v>
      </c>
    </row>
    <row r="798">
      <c r="A798" s="54">
        <v>44858.95996091435</v>
      </c>
      <c r="B798" s="47">
        <v>2.674333194422103</v>
      </c>
      <c r="C798" s="7">
        <v>-0.00545711289168227</v>
      </c>
      <c r="D798" s="48">
        <v>-0.5181381631671886</v>
      </c>
      <c r="E798" s="81">
        <v>28.36</v>
      </c>
      <c r="F798" s="7">
        <v>-0.007433094209928548</v>
      </c>
      <c r="G798" s="48">
        <v>-0.4729936205160762</v>
      </c>
      <c r="H798" s="50">
        <v>0.0</v>
      </c>
      <c r="I798" s="56">
        <v>0.0</v>
      </c>
      <c r="J798" s="56">
        <v>0.0</v>
      </c>
      <c r="K798" s="50">
        <v>139993.15194184342</v>
      </c>
      <c r="L798" s="56">
        <v>-0.005125957994991603</v>
      </c>
      <c r="M798" s="56">
        <v>1.0</v>
      </c>
      <c r="N798" s="51">
        <v>0.001975981318246278</v>
      </c>
      <c r="O798" s="7">
        <v>-0.04514454265111245</v>
      </c>
      <c r="P798" s="52">
        <v>53.813390319433715</v>
      </c>
      <c r="Q798" s="30">
        <v>4936.288855495184</v>
      </c>
      <c r="R798" s="13">
        <v>5399.463513526428</v>
      </c>
      <c r="S798" s="56">
        <v>-0.08765411713711725</v>
      </c>
      <c r="T798" s="52">
        <v>290525.5017952708</v>
      </c>
      <c r="U798" s="50">
        <v>139993.15194184342</v>
      </c>
      <c r="V798" s="50">
        <v>-169301.3180398566</v>
      </c>
    </row>
    <row r="799">
      <c r="A799" s="54">
        <v>44857.95996648148</v>
      </c>
      <c r="B799" s="47">
        <v>2.7046201709709394</v>
      </c>
      <c r="C799" s="7">
        <v>0.012877691300091199</v>
      </c>
      <c r="D799" s="48">
        <v>-0.5126810502755064</v>
      </c>
      <c r="E799" s="81">
        <v>28.76</v>
      </c>
      <c r="F799" s="7">
        <v>0.014122878998863997</v>
      </c>
      <c r="G799" s="48">
        <v>-0.46556052630614764</v>
      </c>
      <c r="H799" s="50">
        <v>0.0</v>
      </c>
      <c r="I799" s="56">
        <v>0.0</v>
      </c>
      <c r="J799" s="56">
        <v>0.0</v>
      </c>
      <c r="K799" s="50">
        <v>141578.58240305283</v>
      </c>
      <c r="L799" s="56">
        <v>0.012096232199511725</v>
      </c>
      <c r="M799" s="56">
        <v>1.0</v>
      </c>
      <c r="N799" s="51">
        <v>-0.0012451876987727983</v>
      </c>
      <c r="O799" s="7">
        <v>-0.04712052396935873</v>
      </c>
      <c r="P799" s="52">
        <v>53.813390319433715</v>
      </c>
      <c r="Q799" s="30">
        <v>4922.760167004619</v>
      </c>
      <c r="R799" s="13">
        <v>5399.463513526428</v>
      </c>
      <c r="S799" s="56">
        <v>-0.09015454683364149</v>
      </c>
      <c r="T799" s="52">
        <v>290525.5017952708</v>
      </c>
      <c r="U799" s="50">
        <v>141578.58240305283</v>
      </c>
      <c r="V799" s="50">
        <v>-167715.88757864718</v>
      </c>
    </row>
    <row r="800">
      <c r="A800" s="54">
        <v>44856.95998175926</v>
      </c>
      <c r="B800" s="47">
        <v>2.633148984255434</v>
      </c>
      <c r="C800" s="7">
        <v>-0.002434913001763128</v>
      </c>
      <c r="D800" s="48">
        <v>-0.5255587415755976</v>
      </c>
      <c r="E800" s="81">
        <v>28.0</v>
      </c>
      <c r="F800" s="7">
        <v>-0.005012169652252929</v>
      </c>
      <c r="G800" s="48">
        <v>-0.47968340530501163</v>
      </c>
      <c r="H800" s="50">
        <v>0.0</v>
      </c>
      <c r="I800" s="56">
        <v>0.0</v>
      </c>
      <c r="J800" s="56">
        <v>0.0</v>
      </c>
      <c r="K800" s="50">
        <v>137837.2846761293</v>
      </c>
      <c r="L800" s="56">
        <v>-0.003342379949865193</v>
      </c>
      <c r="M800" s="56">
        <v>1.0</v>
      </c>
      <c r="N800" s="51">
        <v>0.002577256650489801</v>
      </c>
      <c r="O800" s="7">
        <v>-0.04587533627058593</v>
      </c>
      <c r="P800" s="52">
        <v>53.813390319433715</v>
      </c>
      <c r="Q800" s="30">
        <v>4922.760167004618</v>
      </c>
      <c r="R800" s="13">
        <v>5399.463513526428</v>
      </c>
      <c r="S800" s="56">
        <v>-0.09015454683364166</v>
      </c>
      <c r="T800" s="52">
        <v>290525.5017952708</v>
      </c>
      <c r="U800" s="50">
        <v>137837.2846761293</v>
      </c>
      <c r="V800" s="50">
        <v>-171457.18530557072</v>
      </c>
    </row>
    <row r="801">
      <c r="A801" s="54">
        <v>44855.95996861111</v>
      </c>
      <c r="B801" s="47">
        <v>2.646662751415219</v>
      </c>
      <c r="C801" s="7">
        <v>1.7390559276075912E-5</v>
      </c>
      <c r="D801" s="48">
        <v>-0.5231238285738344</v>
      </c>
      <c r="E801" s="81">
        <v>28.21</v>
      </c>
      <c r="F801" s="7">
        <v>-0.002420869881784471</v>
      </c>
      <c r="G801" s="48">
        <v>-0.4746712356527587</v>
      </c>
      <c r="H801" s="50">
        <v>0.0</v>
      </c>
      <c r="I801" s="56">
        <v>0.0</v>
      </c>
      <c r="J801" s="56">
        <v>0.0</v>
      </c>
      <c r="K801" s="50">
        <v>138871.0643112003</v>
      </c>
      <c r="L801" s="56">
        <v>1.6373726647200826E-5</v>
      </c>
      <c r="M801" s="56">
        <v>1.0</v>
      </c>
      <c r="N801" s="51">
        <v>0.002438260441060547</v>
      </c>
      <c r="O801" s="7">
        <v>-0.04845259292107573</v>
      </c>
      <c r="P801" s="52">
        <v>53.69970562158909</v>
      </c>
      <c r="Q801" s="30">
        <v>4922.760167004619</v>
      </c>
      <c r="R801" s="13">
        <v>5423.6406549181365</v>
      </c>
      <c r="S801" s="56">
        <v>-0.09015454683364149</v>
      </c>
      <c r="T801" s="52">
        <v>291209.90444099304</v>
      </c>
      <c r="U801" s="50">
        <v>138871.0643112003</v>
      </c>
      <c r="V801" s="50">
        <v>-170423.40567049972</v>
      </c>
    </row>
    <row r="802">
      <c r="A802" s="54">
        <v>44854.96000641204</v>
      </c>
      <c r="B802" s="47">
        <v>2.6465662338112366</v>
      </c>
      <c r="C802" s="7">
        <v>-0.021705992495352322</v>
      </c>
      <c r="D802" s="48">
        <v>-0.5231412191331105</v>
      </c>
      <c r="E802" s="81">
        <v>28.34</v>
      </c>
      <c r="F802" s="7">
        <v>-0.024022478057707963</v>
      </c>
      <c r="G802" s="48">
        <v>-0.47225036577097423</v>
      </c>
      <c r="H802" s="50">
        <v>0.0</v>
      </c>
      <c r="I802" s="56">
        <v>0.0</v>
      </c>
      <c r="J802" s="56">
        <v>0.0</v>
      </c>
      <c r="K802" s="50">
        <v>138866.00000809532</v>
      </c>
      <c r="L802" s="56">
        <v>-0.020436834841380924</v>
      </c>
      <c r="M802" s="56">
        <v>1.0</v>
      </c>
      <c r="N802" s="51">
        <v>0.0023164855623556413</v>
      </c>
      <c r="O802" s="7">
        <v>-0.05089085336213628</v>
      </c>
      <c r="P802" s="52">
        <v>53.69970562158909</v>
      </c>
      <c r="Q802" s="30">
        <v>4900.00000028565</v>
      </c>
      <c r="R802" s="13">
        <v>5423.6406549181365</v>
      </c>
      <c r="S802" s="56">
        <v>-0.09436117756518958</v>
      </c>
      <c r="T802" s="52">
        <v>291209.90444099304</v>
      </c>
      <c r="U802" s="50">
        <v>138866.00000809532</v>
      </c>
      <c r="V802" s="50">
        <v>-170428.4699736047</v>
      </c>
    </row>
    <row r="803">
      <c r="A803" s="54">
        <v>44853.95996366898</v>
      </c>
      <c r="B803" s="47">
        <v>2.7670344921604424</v>
      </c>
      <c r="C803" s="7">
        <v>-0.012481026343805435</v>
      </c>
      <c r="D803" s="48">
        <v>-0.5014352266377582</v>
      </c>
      <c r="E803" s="81">
        <v>29.63</v>
      </c>
      <c r="F803" s="7">
        <v>-0.011173245608236182</v>
      </c>
      <c r="G803" s="48">
        <v>-0.44822788771326627</v>
      </c>
      <c r="H803" s="50">
        <v>0.0</v>
      </c>
      <c r="I803" s="56">
        <v>0.0</v>
      </c>
      <c r="J803" s="56">
        <v>0.0</v>
      </c>
      <c r="K803" s="50">
        <v>145187.0000084638</v>
      </c>
      <c r="L803" s="56">
        <v>-0.011751255976610642</v>
      </c>
      <c r="M803" s="56">
        <v>1.0</v>
      </c>
      <c r="N803" s="51">
        <v>-0.0013077807355692528</v>
      </c>
      <c r="O803" s="7">
        <v>-0.05320733892449192</v>
      </c>
      <c r="P803" s="52">
        <v>53.69970562158909</v>
      </c>
      <c r="Q803" s="30">
        <v>4900.00000028565</v>
      </c>
      <c r="R803" s="13">
        <v>5423.6406549181365</v>
      </c>
      <c r="S803" s="56">
        <v>-0.09436117756518958</v>
      </c>
      <c r="T803" s="52">
        <v>291209.90444099304</v>
      </c>
      <c r="U803" s="50">
        <v>145187.0000084638</v>
      </c>
      <c r="V803" s="50">
        <v>-164107.4699732362</v>
      </c>
    </row>
    <row r="804">
      <c r="A804" s="54">
        <v>44852.95996346065</v>
      </c>
      <c r="B804" s="47">
        <v>2.8363041883685622</v>
      </c>
      <c r="C804" s="7">
        <v>-0.01250988725711133</v>
      </c>
      <c r="D804" s="48">
        <v>-0.48895420029395276</v>
      </c>
      <c r="E804" s="81">
        <v>30.23</v>
      </c>
      <c r="F804" s="7">
        <v>-0.013780336250158065</v>
      </c>
      <c r="G804" s="48">
        <v>-0.4370546421050301</v>
      </c>
      <c r="H804" s="50">
        <v>0.0</v>
      </c>
      <c r="I804" s="56">
        <v>0.0</v>
      </c>
      <c r="J804" s="56">
        <v>0.0</v>
      </c>
      <c r="K804" s="50">
        <v>148821.5984973689</v>
      </c>
      <c r="L804" s="56">
        <v>-0.011778429381315902</v>
      </c>
      <c r="M804" s="56">
        <v>1.0</v>
      </c>
      <c r="N804" s="51">
        <v>0.0012704489930467355</v>
      </c>
      <c r="O804" s="7">
        <v>-0.05189955818892267</v>
      </c>
      <c r="P804" s="52">
        <v>53.69970562158909</v>
      </c>
      <c r="Q804" s="30">
        <v>4922.977125285111</v>
      </c>
      <c r="R804" s="13">
        <v>5423.6406549181365</v>
      </c>
      <c r="S804" s="56">
        <v>-0.09011444768228423</v>
      </c>
      <c r="T804" s="52">
        <v>291209.90444099304</v>
      </c>
      <c r="U804" s="50">
        <v>148821.5984973689</v>
      </c>
      <c r="V804" s="50">
        <v>-160472.87148433112</v>
      </c>
    </row>
    <row r="805">
      <c r="A805" s="54">
        <v>44851.959968587966</v>
      </c>
      <c r="B805" s="47">
        <v>2.90573406264553</v>
      </c>
      <c r="C805" s="7">
        <v>0.012847992318114287</v>
      </c>
      <c r="D805" s="48">
        <v>-0.4764443130368414</v>
      </c>
      <c r="E805" s="81">
        <v>30.97</v>
      </c>
      <c r="F805" s="7">
        <v>0.014152777770432556</v>
      </c>
      <c r="G805" s="48">
        <v>-0.423274305854872</v>
      </c>
      <c r="H805" s="50">
        <v>0.0</v>
      </c>
      <c r="I805" s="56">
        <v>0.0</v>
      </c>
      <c r="J805" s="56">
        <v>0.0</v>
      </c>
      <c r="K805" s="50">
        <v>152464.60157007986</v>
      </c>
      <c r="L805" s="56">
        <v>0.012096765310540603</v>
      </c>
      <c r="M805" s="56">
        <v>1.0</v>
      </c>
      <c r="N805" s="51">
        <v>-0.001304785452318269</v>
      </c>
      <c r="O805" s="7">
        <v>-0.0531700071819694</v>
      </c>
      <c r="P805" s="52">
        <v>53.69970562158909</v>
      </c>
      <c r="Q805" s="30">
        <v>4922.977125285111</v>
      </c>
      <c r="R805" s="13">
        <v>5423.6406549181365</v>
      </c>
      <c r="S805" s="56">
        <v>-0.09011444768228423</v>
      </c>
      <c r="T805" s="52">
        <v>291209.90444099304</v>
      </c>
      <c r="U805" s="50">
        <v>152464.60157007986</v>
      </c>
      <c r="V805" s="50">
        <v>-156829.86841162015</v>
      </c>
    </row>
    <row r="806">
      <c r="A806" s="54">
        <v>44850.96028706018</v>
      </c>
      <c r="B806" s="47">
        <v>2.8344277052799955</v>
      </c>
      <c r="C806" s="7">
        <v>0.007438311342066295</v>
      </c>
      <c r="D806" s="48">
        <v>-0.4892923053549557</v>
      </c>
      <c r="E806" s="81">
        <v>30.21</v>
      </c>
      <c r="F806" s="7">
        <v>0.008193713446039919</v>
      </c>
      <c r="G806" s="48">
        <v>-0.4374270836253046</v>
      </c>
      <c r="H806" s="50">
        <v>0.0</v>
      </c>
      <c r="I806" s="56">
        <v>0.0</v>
      </c>
      <c r="J806" s="56">
        <v>0.0</v>
      </c>
      <c r="K806" s="50">
        <v>148723.13895486319</v>
      </c>
      <c r="L806" s="56">
        <v>0.007003390442944513</v>
      </c>
      <c r="M806" s="56">
        <v>1.0</v>
      </c>
      <c r="N806" s="51">
        <v>-7.554021039736236E-4</v>
      </c>
      <c r="O806" s="7">
        <v>-0.051865221729651134</v>
      </c>
      <c r="P806" s="52">
        <v>53.69970562158909</v>
      </c>
      <c r="Q806" s="30">
        <v>4922.977125285111</v>
      </c>
      <c r="R806" s="13">
        <v>5423.6406549181365</v>
      </c>
      <c r="S806" s="56">
        <v>-0.09011444768228423</v>
      </c>
      <c r="T806" s="52">
        <v>291209.90444099304</v>
      </c>
      <c r="U806" s="50">
        <v>148723.13895486319</v>
      </c>
      <c r="V806" s="50">
        <v>-160571.33102683682</v>
      </c>
    </row>
    <row r="807">
      <c r="A807" s="54">
        <v>44849.959962974535</v>
      </c>
      <c r="B807" s="47">
        <v>2.793145077331528</v>
      </c>
      <c r="C807" s="7">
        <v>-0.006423996159057199</v>
      </c>
      <c r="D807" s="48">
        <v>-0.496730616697022</v>
      </c>
      <c r="E807" s="81">
        <v>29.77</v>
      </c>
      <c r="F807" s="7">
        <v>-0.007076388885216223</v>
      </c>
      <c r="G807" s="48">
        <v>-0.4456207970713445</v>
      </c>
      <c r="H807" s="50">
        <v>0.0</v>
      </c>
      <c r="I807" s="56">
        <v>0.0</v>
      </c>
      <c r="J807" s="56">
        <v>0.0</v>
      </c>
      <c r="K807" s="50">
        <v>146557.02901973773</v>
      </c>
      <c r="L807" s="56">
        <v>-0.00604838265527019</v>
      </c>
      <c r="M807" s="56">
        <v>1.0</v>
      </c>
      <c r="N807" s="51">
        <v>6.523927261590234E-4</v>
      </c>
      <c r="O807" s="7">
        <v>-0.05110981962567751</v>
      </c>
      <c r="P807" s="52">
        <v>53.69970562158909</v>
      </c>
      <c r="Q807" s="30">
        <v>4922.977125285111</v>
      </c>
      <c r="R807" s="13">
        <v>5423.6406549181365</v>
      </c>
      <c r="S807" s="56">
        <v>-0.09011444768228423</v>
      </c>
      <c r="T807" s="52">
        <v>291209.90444099304</v>
      </c>
      <c r="U807" s="50">
        <v>146557.02901973773</v>
      </c>
      <c r="V807" s="50">
        <v>-162737.44096196227</v>
      </c>
    </row>
    <row r="808">
      <c r="A808" s="54">
        <v>44848.95997113426</v>
      </c>
      <c r="B808" s="47">
        <v>2.828798256014295</v>
      </c>
      <c r="C808" s="7">
        <v>0.0018727997855020329</v>
      </c>
      <c r="D808" s="48">
        <v>-0.4903066205379648</v>
      </c>
      <c r="E808" s="81">
        <v>30.15</v>
      </c>
      <c r="F808" s="7">
        <v>-5.586622804119035E-4</v>
      </c>
      <c r="G808" s="48">
        <v>-0.4385444081861283</v>
      </c>
      <c r="H808" s="50">
        <v>0.0</v>
      </c>
      <c r="I808" s="56">
        <v>0.0</v>
      </c>
      <c r="J808" s="56">
        <v>0.0</v>
      </c>
      <c r="K808" s="50">
        <v>148427.76032734607</v>
      </c>
      <c r="L808" s="56">
        <v>0.001763296468266673</v>
      </c>
      <c r="M808" s="56">
        <v>1.0</v>
      </c>
      <c r="N808" s="51">
        <v>0.0024314620659139363</v>
      </c>
      <c r="O808" s="7">
        <v>-0.051762212351836534</v>
      </c>
      <c r="P808" s="52">
        <v>53.69970562158909</v>
      </c>
      <c r="Q808" s="30">
        <v>4922.977125285111</v>
      </c>
      <c r="R808" s="13">
        <v>5423.6406549181365</v>
      </c>
      <c r="S808" s="56">
        <v>-0.09011444768228423</v>
      </c>
      <c r="T808" s="52">
        <v>291209.90444099304</v>
      </c>
      <c r="U808" s="50">
        <v>148427.76032734607</v>
      </c>
      <c r="V808" s="50">
        <v>-160866.70965435394</v>
      </c>
    </row>
    <row r="809">
      <c r="A809" s="54">
        <v>44847.95996636574</v>
      </c>
      <c r="B809" s="47">
        <v>2.8184042172047588</v>
      </c>
      <c r="C809" s="7">
        <v>-0.017499450061749244</v>
      </c>
      <c r="D809" s="48">
        <v>-0.49217942032346684</v>
      </c>
      <c r="E809" s="81">
        <v>30.18</v>
      </c>
      <c r="F809" s="7">
        <v>-0.0193669590542761</v>
      </c>
      <c r="G809" s="48">
        <v>-0.4379857459057164</v>
      </c>
      <c r="H809" s="50">
        <v>0.0</v>
      </c>
      <c r="I809" s="56">
        <v>0.0</v>
      </c>
      <c r="J809" s="56">
        <v>0.0</v>
      </c>
      <c r="K809" s="50">
        <v>147882.3824807729</v>
      </c>
      <c r="L809" s="56">
        <v>-0.016476250547103</v>
      </c>
      <c r="M809" s="56">
        <v>1.0</v>
      </c>
      <c r="N809" s="51">
        <v>0.0018675089925268562</v>
      </c>
      <c r="O809" s="7">
        <v>-0.05419367441775047</v>
      </c>
      <c r="P809" s="52">
        <v>53.69970562158909</v>
      </c>
      <c r="Q809" s="30">
        <v>4900.012673319182</v>
      </c>
      <c r="R809" s="13">
        <v>5423.6406549181365</v>
      </c>
      <c r="S809" s="56">
        <v>-0.09435883528127852</v>
      </c>
      <c r="T809" s="52">
        <v>291209.90444099304</v>
      </c>
      <c r="U809" s="50">
        <v>147882.3824807729</v>
      </c>
      <c r="V809" s="50">
        <v>-161412.0875009271</v>
      </c>
    </row>
    <row r="810">
      <c r="A810" s="54">
        <v>44846.959972592595</v>
      </c>
      <c r="B810" s="47">
        <v>2.915526165047467</v>
      </c>
      <c r="C810" s="7">
        <v>6.744814368803143E-4</v>
      </c>
      <c r="D810" s="48">
        <v>-0.4746799702617176</v>
      </c>
      <c r="E810" s="81">
        <v>31.22</v>
      </c>
      <c r="F810" s="7">
        <v>7.448830405490936E-4</v>
      </c>
      <c r="G810" s="48">
        <v>-0.41861878685144027</v>
      </c>
      <c r="H810" s="50">
        <v>0.0</v>
      </c>
      <c r="I810" s="56">
        <v>0.0</v>
      </c>
      <c r="J810" s="56">
        <v>0.0</v>
      </c>
      <c r="K810" s="50">
        <v>152978.39566102484</v>
      </c>
      <c r="L810" s="56">
        <v>6.350442502018883E-4</v>
      </c>
      <c r="M810" s="56">
        <v>1.0</v>
      </c>
      <c r="N810" s="51">
        <v>-7.040160366877934E-5</v>
      </c>
      <c r="O810" s="7">
        <v>-0.05606118341027733</v>
      </c>
      <c r="P810" s="52">
        <v>53.69970562158909</v>
      </c>
      <c r="Q810" s="30">
        <v>4900.012673319182</v>
      </c>
      <c r="R810" s="13">
        <v>5423.6406549181365</v>
      </c>
      <c r="S810" s="56">
        <v>-0.09435883528127852</v>
      </c>
      <c r="T810" s="52">
        <v>291209.90444099304</v>
      </c>
      <c r="U810" s="50">
        <v>152978.39566102484</v>
      </c>
      <c r="V810" s="50">
        <v>-156316.07432067516</v>
      </c>
    </row>
    <row r="811">
      <c r="A811" s="54">
        <v>44845.959958935186</v>
      </c>
      <c r="B811" s="47">
        <v>2.9117827930727813</v>
      </c>
      <c r="C811" s="7">
        <v>-0.021201199193706444</v>
      </c>
      <c r="D811" s="48">
        <v>-0.4753544516985979</v>
      </c>
      <c r="E811" s="81">
        <v>31.18</v>
      </c>
      <c r="F811" s="7">
        <v>-0.02346381577729617</v>
      </c>
      <c r="G811" s="48">
        <v>-0.41936366989198937</v>
      </c>
      <c r="H811" s="50">
        <v>0.0</v>
      </c>
      <c r="I811" s="56">
        <v>0.0</v>
      </c>
      <c r="J811" s="56">
        <v>0.0</v>
      </c>
      <c r="K811" s="50">
        <v>152781.9799862437</v>
      </c>
      <c r="L811" s="56">
        <v>-0.019961556996473284</v>
      </c>
      <c r="M811" s="56">
        <v>1.0</v>
      </c>
      <c r="N811" s="51">
        <v>0.002262616583589727</v>
      </c>
      <c r="O811" s="7">
        <v>-0.05599078180660855</v>
      </c>
      <c r="P811" s="52">
        <v>53.69970562158909</v>
      </c>
      <c r="Q811" s="30">
        <v>4899.999358121992</v>
      </c>
      <c r="R811" s="13">
        <v>5423.6406549181365</v>
      </c>
      <c r="S811" s="56">
        <v>-0.09436129625260556</v>
      </c>
      <c r="T811" s="52">
        <v>291209.90444099304</v>
      </c>
      <c r="U811" s="50">
        <v>152781.9799862437</v>
      </c>
      <c r="V811" s="50">
        <v>-156512.4899954563</v>
      </c>
    </row>
    <row r="812">
      <c r="A812" s="54">
        <v>44844.95996305556</v>
      </c>
      <c r="B812" s="47">
        <v>3.0294494485978523</v>
      </c>
      <c r="C812" s="7">
        <v>-0.0077401203405594865</v>
      </c>
      <c r="D812" s="48">
        <v>-0.45415325250489147</v>
      </c>
      <c r="E812" s="81">
        <v>32.44</v>
      </c>
      <c r="F812" s="7">
        <v>-0.00856615496631441</v>
      </c>
      <c r="G812" s="48">
        <v>-0.3958998541146932</v>
      </c>
      <c r="H812" s="50">
        <v>0.0</v>
      </c>
      <c r="I812" s="56">
        <v>0.0</v>
      </c>
      <c r="J812" s="56">
        <v>0.0</v>
      </c>
      <c r="K812" s="50">
        <v>158955.97917747742</v>
      </c>
      <c r="L812" s="56">
        <v>-0.007287552554268051</v>
      </c>
      <c r="M812" s="56">
        <v>1.0</v>
      </c>
      <c r="N812" s="51">
        <v>8.260346257549234E-4</v>
      </c>
      <c r="O812" s="7">
        <v>-0.058253398390198274</v>
      </c>
      <c r="P812" s="52">
        <v>53.69970562158909</v>
      </c>
      <c r="Q812" s="30">
        <v>4899.999358121992</v>
      </c>
      <c r="R812" s="13">
        <v>5423.6406549181365</v>
      </c>
      <c r="S812" s="56">
        <v>-0.09436129625260556</v>
      </c>
      <c r="T812" s="52">
        <v>291209.90444099304</v>
      </c>
      <c r="U812" s="50">
        <v>158955.97917747742</v>
      </c>
      <c r="V812" s="50">
        <v>-150338.4908042226</v>
      </c>
    </row>
    <row r="813">
      <c r="A813" s="54">
        <v>44843.95996957176</v>
      </c>
      <c r="B813" s="47">
        <v>3.0724071164879576</v>
      </c>
      <c r="C813" s="7">
        <v>0.0050478327137784</v>
      </c>
      <c r="D813" s="48">
        <v>-0.446413132164332</v>
      </c>
      <c r="E813" s="81">
        <v>32.9</v>
      </c>
      <c r="F813" s="7">
        <v>0.0055866228041180355</v>
      </c>
      <c r="G813" s="48">
        <v>-0.3873336991483788</v>
      </c>
      <c r="H813" s="50">
        <v>0.0</v>
      </c>
      <c r="I813" s="56">
        <v>0.0</v>
      </c>
      <c r="J813" s="56">
        <v>0.0</v>
      </c>
      <c r="K813" s="50">
        <v>161209.97888221353</v>
      </c>
      <c r="L813" s="56">
        <v>0.004752684011131825</v>
      </c>
      <c r="M813" s="56">
        <v>1.0</v>
      </c>
      <c r="N813" s="51">
        <v>-5.387900903396359E-4</v>
      </c>
      <c r="O813" s="7">
        <v>-0.0590794330159532</v>
      </c>
      <c r="P813" s="52">
        <v>53.69970562158909</v>
      </c>
      <c r="Q813" s="30">
        <v>4899.999358121992</v>
      </c>
      <c r="R813" s="13">
        <v>5423.6406549181365</v>
      </c>
      <c r="S813" s="56">
        <v>-0.09436129625260556</v>
      </c>
      <c r="T813" s="52">
        <v>291209.90444099304</v>
      </c>
      <c r="U813" s="50">
        <v>161209.97888221353</v>
      </c>
      <c r="V813" s="50">
        <v>-148084.49109948648</v>
      </c>
    </row>
    <row r="814">
      <c r="A814" s="54">
        <v>44842.959966689814</v>
      </c>
      <c r="B814" s="47">
        <v>3.0443916449264874</v>
      </c>
      <c r="C814" s="7">
        <v>-0.004877675024714145</v>
      </c>
      <c r="D814" s="48">
        <v>-0.4514609648781104</v>
      </c>
      <c r="E814" s="81">
        <v>32.6</v>
      </c>
      <c r="F814" s="7">
        <v>-0.005401646995807363</v>
      </c>
      <c r="G814" s="48">
        <v>-0.3929203219524968</v>
      </c>
      <c r="H814" s="50">
        <v>0.0</v>
      </c>
      <c r="I814" s="56">
        <v>0.0</v>
      </c>
      <c r="J814" s="56">
        <v>0.0</v>
      </c>
      <c r="K814" s="50">
        <v>159740.0</v>
      </c>
      <c r="L814" s="7">
        <v>-0.00459425895560428</v>
      </c>
      <c r="M814" s="7">
        <v>1.0</v>
      </c>
      <c r="N814" s="51">
        <v>5.239719710932178E-4</v>
      </c>
      <c r="O814" s="7">
        <v>-0.05854064292561356</v>
      </c>
      <c r="P814" s="52">
        <v>53.69970562158909</v>
      </c>
      <c r="Q814" s="30">
        <v>4900.0</v>
      </c>
      <c r="R814" s="13">
        <v>5423.6406549181365</v>
      </c>
      <c r="S814" s="7">
        <v>-0.09436117761798454</v>
      </c>
      <c r="T814" s="52">
        <v>291209.90444099304</v>
      </c>
      <c r="U814" s="52">
        <v>159740.0</v>
      </c>
      <c r="V814" s="52">
        <v>-149554.4699817</v>
      </c>
    </row>
    <row r="815">
      <c r="A815" s="54">
        <v>44841.95995695602</v>
      </c>
      <c r="B815" s="47">
        <v>3.071462741313651</v>
      </c>
      <c r="C815" s="7">
        <v>-0.010613210655283312</v>
      </c>
      <c r="D815" s="48">
        <v>-0.44658328985339624</v>
      </c>
      <c r="E815" s="81">
        <v>32.89</v>
      </c>
      <c r="F815" s="7">
        <v>-0.012290595151370765</v>
      </c>
      <c r="G815" s="48">
        <v>-0.38751867495668946</v>
      </c>
      <c r="H815" s="50">
        <v>0.0</v>
      </c>
      <c r="I815" s="56">
        <v>0.0</v>
      </c>
      <c r="J815" s="56">
        <v>0.0</v>
      </c>
      <c r="K815" s="50">
        <v>161160.97888863232</v>
      </c>
      <c r="L815" s="56">
        <v>-0.009992686385558502</v>
      </c>
      <c r="M815" s="56">
        <v>1.0</v>
      </c>
      <c r="N815" s="51">
        <v>0.0016773844960874529</v>
      </c>
      <c r="O815" s="7">
        <v>-0.05906461489670678</v>
      </c>
      <c r="P815" s="52">
        <v>53.69959646961357</v>
      </c>
      <c r="Q815" s="30">
        <v>4899.999358121992</v>
      </c>
      <c r="R815" s="13">
        <v>5423.670240575741</v>
      </c>
      <c r="S815" s="56">
        <v>-0.09436129625260556</v>
      </c>
      <c r="T815" s="52">
        <v>291210.90117777564</v>
      </c>
      <c r="U815" s="50">
        <v>161160.97888863232</v>
      </c>
      <c r="V815" s="50">
        <v>-148133.49109306769</v>
      </c>
    </row>
    <row r="816">
      <c r="A816" s="54">
        <v>44840.96109304398</v>
      </c>
      <c r="B816" s="47">
        <v>3.130366060450473</v>
      </c>
      <c r="C816" s="7">
        <v>-0.005547835286575986</v>
      </c>
      <c r="D816" s="48">
        <v>-0.4359700791981129</v>
      </c>
      <c r="E816" s="81">
        <v>33.55</v>
      </c>
      <c r="F816" s="7">
        <v>-0.006145297575685493</v>
      </c>
      <c r="G816" s="48">
        <v>-0.3752280798053187</v>
      </c>
      <c r="H816" s="50">
        <v>0.0</v>
      </c>
      <c r="I816" s="56">
        <v>0.0</v>
      </c>
      <c r="J816" s="56">
        <v>0.0</v>
      </c>
      <c r="K816" s="50">
        <v>164251.66152794697</v>
      </c>
      <c r="L816" s="56">
        <v>-0.0052234691214660955</v>
      </c>
      <c r="M816" s="56">
        <v>1.0</v>
      </c>
      <c r="N816" s="51">
        <v>5.974622891095072E-4</v>
      </c>
      <c r="O816" s="7">
        <v>-0.06074199939279423</v>
      </c>
      <c r="P816" s="52">
        <v>53.69959646961357</v>
      </c>
      <c r="Q816" s="30">
        <v>4895.727616332249</v>
      </c>
      <c r="R816" s="13">
        <v>5423.670240575741</v>
      </c>
      <c r="S816" s="56">
        <v>-0.09515081772280613</v>
      </c>
      <c r="T816" s="52">
        <v>291210.90117777564</v>
      </c>
      <c r="U816" s="50">
        <v>164251.66152794697</v>
      </c>
      <c r="V816" s="50">
        <v>-145042.80845375304</v>
      </c>
    </row>
    <row r="817">
      <c r="A817" s="54">
        <v>44839.961237905096</v>
      </c>
      <c r="B817" s="47">
        <v>3.16115654629097</v>
      </c>
      <c r="C817" s="7">
        <v>-0.00403478929932799</v>
      </c>
      <c r="D817" s="48">
        <v>-0.43042224391153694</v>
      </c>
      <c r="E817" s="81">
        <v>33.88</v>
      </c>
      <c r="F817" s="7">
        <v>-0.004469307327771066</v>
      </c>
      <c r="G817" s="48">
        <v>-0.3690827822296332</v>
      </c>
      <c r="H817" s="50">
        <v>0.0</v>
      </c>
      <c r="I817" s="56">
        <v>0.0</v>
      </c>
      <c r="J817" s="56">
        <v>0.0</v>
      </c>
      <c r="K817" s="50">
        <v>165867.25164133662</v>
      </c>
      <c r="L817" s="56">
        <v>-0.0037988866337935745</v>
      </c>
      <c r="M817" s="56">
        <v>1.0</v>
      </c>
      <c r="N817" s="51">
        <v>4.345180284430761E-4</v>
      </c>
      <c r="O817" s="7">
        <v>-0.06133946168190374</v>
      </c>
      <c r="P817" s="52">
        <v>53.69959646961357</v>
      </c>
      <c r="Q817" s="30">
        <v>4895.727616332249</v>
      </c>
      <c r="R817" s="13">
        <v>5423.670240575741</v>
      </c>
      <c r="S817" s="56">
        <v>-0.09515081772280613</v>
      </c>
      <c r="T817" s="52">
        <v>291210.90117777564</v>
      </c>
      <c r="U817" s="50">
        <v>165867.25164133662</v>
      </c>
      <c r="V817" s="50">
        <v>-143427.21834036338</v>
      </c>
    </row>
    <row r="818">
      <c r="A818" s="54">
        <v>44838.95997777778</v>
      </c>
      <c r="B818" s="47">
        <v>3.18354962690224</v>
      </c>
      <c r="C818" s="7">
        <v>0.01933336539261321</v>
      </c>
      <c r="D818" s="48">
        <v>-0.42638745461220895</v>
      </c>
      <c r="E818" s="81">
        <v>34.12</v>
      </c>
      <c r="F818" s="7">
        <v>0.021415430945570302</v>
      </c>
      <c r="G818" s="48">
        <v>-0.36461347490186213</v>
      </c>
      <c r="H818" s="50">
        <v>0.0</v>
      </c>
      <c r="I818" s="56">
        <v>0.0</v>
      </c>
      <c r="J818" s="56">
        <v>0.0</v>
      </c>
      <c r="K818" s="50">
        <v>167042.22626925635</v>
      </c>
      <c r="L818" s="56">
        <v>0.018202998453594188</v>
      </c>
      <c r="M818" s="56">
        <v>1.0</v>
      </c>
      <c r="N818" s="51">
        <v>-0.002082065552957091</v>
      </c>
      <c r="O818" s="7">
        <v>-0.061773979710346816</v>
      </c>
      <c r="P818" s="52">
        <v>53.69959646961357</v>
      </c>
      <c r="Q818" s="30">
        <v>4895.727616332249</v>
      </c>
      <c r="R818" s="13">
        <v>5423.670240575741</v>
      </c>
      <c r="S818" s="56">
        <v>-0.09515081772280613</v>
      </c>
      <c r="T818" s="52">
        <v>291210.90117777564</v>
      </c>
      <c r="U818" s="50">
        <v>167042.22626925635</v>
      </c>
      <c r="V818" s="50">
        <v>-142252.24371244365</v>
      </c>
    </row>
    <row r="819">
      <c r="A819" s="54">
        <v>44837.959966319446</v>
      </c>
      <c r="B819" s="47">
        <v>3.076249448973237</v>
      </c>
      <c r="C819" s="7">
        <v>0.008405811040266498</v>
      </c>
      <c r="D819" s="48">
        <v>-0.44572082000482216</v>
      </c>
      <c r="E819" s="81">
        <v>32.97</v>
      </c>
      <c r="F819" s="7">
        <v>0.00931105693285661</v>
      </c>
      <c r="G819" s="48">
        <v>-0.38602890584743244</v>
      </c>
      <c r="H819" s="50">
        <v>0.0</v>
      </c>
      <c r="I819" s="56">
        <v>0.0</v>
      </c>
      <c r="J819" s="56">
        <v>0.0</v>
      </c>
      <c r="K819" s="50">
        <v>161412.13951047426</v>
      </c>
      <c r="L819" s="56">
        <v>0.007914347153736512</v>
      </c>
      <c r="M819" s="56">
        <v>1.0</v>
      </c>
      <c r="N819" s="51">
        <v>-9.052458925901119E-4</v>
      </c>
      <c r="O819" s="7">
        <v>-0.059691914157389725</v>
      </c>
      <c r="P819" s="52">
        <v>53.69959646961357</v>
      </c>
      <c r="Q819" s="30">
        <v>4895.727616332249</v>
      </c>
      <c r="R819" s="13">
        <v>5423.670240575741</v>
      </c>
      <c r="S819" s="56">
        <v>-0.09515081772280613</v>
      </c>
      <c r="T819" s="52">
        <v>291210.90117777564</v>
      </c>
      <c r="U819" s="50">
        <v>161412.13951047426</v>
      </c>
      <c r="V819" s="50">
        <v>-147882.33047122575</v>
      </c>
    </row>
    <row r="820">
      <c r="A820" s="54">
        <v>44836.95996633102</v>
      </c>
      <c r="B820" s="47">
        <v>3.0295971976997578</v>
      </c>
      <c r="C820" s="7">
        <v>-0.0033623244161066212</v>
      </c>
      <c r="D820" s="48">
        <v>-0.45412663104508866</v>
      </c>
      <c r="E820" s="81">
        <v>32.47</v>
      </c>
      <c r="F820" s="7">
        <v>-0.003724422773142666</v>
      </c>
      <c r="G820" s="48">
        <v>-0.39533996278028904</v>
      </c>
      <c r="H820" s="50">
        <v>0.0</v>
      </c>
      <c r="I820" s="56">
        <v>0.0</v>
      </c>
      <c r="J820" s="56">
        <v>0.0</v>
      </c>
      <c r="K820" s="50">
        <v>158964.27570230814</v>
      </c>
      <c r="L820" s="56">
        <v>-0.003165738861494627</v>
      </c>
      <c r="M820" s="56">
        <v>1.0</v>
      </c>
      <c r="N820" s="51">
        <v>3.6209835703604476E-4</v>
      </c>
      <c r="O820" s="7">
        <v>-0.05878666826479961</v>
      </c>
      <c r="P820" s="52">
        <v>53.69959646961357</v>
      </c>
      <c r="Q820" s="30">
        <v>4895.727616332249</v>
      </c>
      <c r="R820" s="13">
        <v>5423.670240575741</v>
      </c>
      <c r="S820" s="56">
        <v>-0.09515081772280613</v>
      </c>
      <c r="T820" s="52">
        <v>291210.90117777564</v>
      </c>
      <c r="U820" s="50">
        <v>158964.27570230814</v>
      </c>
      <c r="V820" s="50">
        <v>-150330.19427939187</v>
      </c>
    </row>
    <row r="821">
      <c r="A821" s="54">
        <v>44835.95997667824</v>
      </c>
      <c r="B821" s="47">
        <v>3.0482580982091494</v>
      </c>
      <c r="C821" s="7">
        <v>-0.011095670573151861</v>
      </c>
      <c r="D821" s="48">
        <v>-0.45076430662898204</v>
      </c>
      <c r="E821" s="81">
        <v>32.67</v>
      </c>
      <c r="F821" s="7">
        <v>-0.012290595151370765</v>
      </c>
      <c r="G821" s="48">
        <v>-0.3916155400071464</v>
      </c>
      <c r="H821" s="50">
        <v>0.0</v>
      </c>
      <c r="I821" s="56">
        <v>0.0</v>
      </c>
      <c r="J821" s="56">
        <v>0.0</v>
      </c>
      <c r="K821" s="50">
        <v>159943.4212255746</v>
      </c>
      <c r="L821" s="56">
        <v>-0.010446938242932302</v>
      </c>
      <c r="M821" s="56">
        <v>1.0</v>
      </c>
      <c r="N821" s="51">
        <v>0.0011949245782189033</v>
      </c>
      <c r="O821" s="7">
        <v>-0.05914876662183566</v>
      </c>
      <c r="P821" s="52">
        <v>53.69959646961357</v>
      </c>
      <c r="Q821" s="30">
        <v>4895.727616332249</v>
      </c>
      <c r="R821" s="13">
        <v>5423.670240575741</v>
      </c>
      <c r="S821" s="56">
        <v>-0.09515081772280613</v>
      </c>
      <c r="T821" s="52">
        <v>291210.90117777564</v>
      </c>
      <c r="U821" s="50">
        <v>159943.4212255746</v>
      </c>
      <c r="V821" s="50">
        <v>-149351.0487561254</v>
      </c>
    </row>
    <row r="822">
      <c r="A822" s="54">
        <v>44834.95996640046</v>
      </c>
      <c r="B822" s="47">
        <v>3.1098390698901426</v>
      </c>
      <c r="C822" s="7">
        <v>-0.008989319607841995</v>
      </c>
      <c r="D822" s="48">
        <v>-0.4396686360558302</v>
      </c>
      <c r="E822" s="81">
        <v>33.33</v>
      </c>
      <c r="F822" s="7">
        <v>-0.011319880461791554</v>
      </c>
      <c r="G822" s="48">
        <v>-0.3793249448557756</v>
      </c>
      <c r="H822" s="50">
        <v>0.0</v>
      </c>
      <c r="I822" s="56">
        <v>0.0</v>
      </c>
      <c r="J822" s="56">
        <v>0.0</v>
      </c>
      <c r="K822" s="50">
        <v>163174.60145235388</v>
      </c>
      <c r="L822" s="56">
        <v>-0.00918144034149293</v>
      </c>
      <c r="M822" s="56">
        <v>1.0</v>
      </c>
      <c r="N822" s="51">
        <v>0.0023305608539495593</v>
      </c>
      <c r="O822" s="7">
        <v>-0.06034369120005456</v>
      </c>
      <c r="P822" s="52">
        <v>53.69959646961357</v>
      </c>
      <c r="Q822" s="30">
        <v>4895.727616332249</v>
      </c>
      <c r="R822" s="13">
        <v>5423.670240575741</v>
      </c>
      <c r="S822" s="56">
        <v>-0.09515081772280613</v>
      </c>
      <c r="T822" s="52">
        <v>291210.90117777564</v>
      </c>
      <c r="U822" s="50">
        <v>163174.60145235388</v>
      </c>
      <c r="V822" s="50">
        <v>-146119.86852934613</v>
      </c>
    </row>
    <row r="823">
      <c r="A823" s="54">
        <v>44833.95996902778</v>
      </c>
      <c r="B823" s="47">
        <v>3.1597297937136655</v>
      </c>
      <c r="C823" s="7">
        <v>0.009401934025040526</v>
      </c>
      <c r="D823" s="48">
        <v>-0.4306793164479882</v>
      </c>
      <c r="E823" s="81">
        <v>33.91</v>
      </c>
      <c r="F823" s="7">
        <v>0.010436955586533903</v>
      </c>
      <c r="G823" s="48">
        <v>-0.36800506439398406</v>
      </c>
      <c r="H823" s="50">
        <v>0.0</v>
      </c>
      <c r="I823" s="56">
        <v>0.0</v>
      </c>
      <c r="J823" s="56">
        <v>0.0</v>
      </c>
      <c r="K823" s="50">
        <v>166014.37017644453</v>
      </c>
      <c r="L823" s="56">
        <v>0.008864081984705341</v>
      </c>
      <c r="M823" s="56">
        <v>1.0</v>
      </c>
      <c r="N823" s="51">
        <v>-0.0010350215614933767</v>
      </c>
      <c r="O823" s="7">
        <v>-0.06267425205400412</v>
      </c>
      <c r="P823" s="52">
        <v>53.655493247717104</v>
      </c>
      <c r="Q823" s="30">
        <v>4895.734891667489</v>
      </c>
      <c r="R823" s="13">
        <v>5435.398044550754</v>
      </c>
      <c r="S823" s="56">
        <v>-0.09514947306443085</v>
      </c>
      <c r="T823" s="52">
        <v>291600.8059652339</v>
      </c>
      <c r="U823" s="50">
        <v>166014.37017644453</v>
      </c>
      <c r="V823" s="50">
        <v>-143280.09980525548</v>
      </c>
    </row>
    <row r="824">
      <c r="A824" s="54">
        <v>44832.959975081016</v>
      </c>
      <c r="B824" s="47">
        <v>3.1075490598746907</v>
      </c>
      <c r="C824" s="7">
        <v>0.011080850815226473</v>
      </c>
      <c r="D824" s="48">
        <v>-0.4400812504730287</v>
      </c>
      <c r="E824" s="81">
        <v>33.35</v>
      </c>
      <c r="F824" s="7">
        <v>0.012300697655557968</v>
      </c>
      <c r="G824" s="48">
        <v>-0.37844201998051796</v>
      </c>
      <c r="H824" s="50">
        <v>0.0</v>
      </c>
      <c r="I824" s="56">
        <v>0.0</v>
      </c>
      <c r="J824" s="56">
        <v>0.0</v>
      </c>
      <c r="K824" s="50">
        <v>163272.75863711076</v>
      </c>
      <c r="L824" s="56">
        <v>0.01044695376768856</v>
      </c>
      <c r="M824" s="56">
        <v>1.0</v>
      </c>
      <c r="N824" s="51">
        <v>-0.0012198468403314955</v>
      </c>
      <c r="O824" s="7">
        <v>-0.061639230492510744</v>
      </c>
      <c r="P824" s="52">
        <v>53.655493247717104</v>
      </c>
      <c r="Q824" s="30">
        <v>4895.734891667489</v>
      </c>
      <c r="R824" s="13">
        <v>5435.398044550754</v>
      </c>
      <c r="S824" s="56">
        <v>-0.09514947306443085</v>
      </c>
      <c r="T824" s="52">
        <v>291600.8059652339</v>
      </c>
      <c r="U824" s="50">
        <v>163272.75863711076</v>
      </c>
      <c r="V824" s="50">
        <v>-146021.71134458925</v>
      </c>
    </row>
    <row r="825">
      <c r="A825" s="54">
        <v>44831.95996450231</v>
      </c>
      <c r="B825" s="47">
        <v>3.0460503378501835</v>
      </c>
      <c r="C825" s="7">
        <v>-0.012591875926393659</v>
      </c>
      <c r="D825" s="48">
        <v>-0.4511621012882552</v>
      </c>
      <c r="E825" s="81">
        <v>32.69</v>
      </c>
      <c r="F825" s="7">
        <v>-0.013978065517679439</v>
      </c>
      <c r="G825" s="48">
        <v>-0.39074271763607593</v>
      </c>
      <c r="H825" s="50">
        <v>0.0</v>
      </c>
      <c r="I825" s="56">
        <v>0.0</v>
      </c>
      <c r="J825" s="56">
        <v>0.0</v>
      </c>
      <c r="K825" s="50">
        <v>160041.5736086102</v>
      </c>
      <c r="L825" s="56">
        <v>-0.011871538372373314</v>
      </c>
      <c r="M825" s="56">
        <v>1.0</v>
      </c>
      <c r="N825" s="51">
        <v>0.0013861895912857802</v>
      </c>
      <c r="O825" s="7">
        <v>-0.06041938365217925</v>
      </c>
      <c r="P825" s="52">
        <v>53.655493247717104</v>
      </c>
      <c r="Q825" s="30">
        <v>4895.734891667489</v>
      </c>
      <c r="R825" s="13">
        <v>5435.398044550754</v>
      </c>
      <c r="S825" s="56">
        <v>-0.09514947306443085</v>
      </c>
      <c r="T825" s="52">
        <v>291600.8059652339</v>
      </c>
      <c r="U825" s="50">
        <v>160041.5736086102</v>
      </c>
      <c r="V825" s="50">
        <v>-149252.8963730898</v>
      </c>
    </row>
    <row r="826">
      <c r="A826" s="54">
        <v>44830.959966724535</v>
      </c>
      <c r="B826" s="47">
        <v>3.1159352492416685</v>
      </c>
      <c r="C826" s="7">
        <v>0.01913965140811824</v>
      </c>
      <c r="D826" s="48">
        <v>-0.4385702253618615</v>
      </c>
      <c r="E826" s="81">
        <v>33.44</v>
      </c>
      <c r="F826" s="7">
        <v>0.021246659586872885</v>
      </c>
      <c r="G826" s="48">
        <v>-0.3767646521183965</v>
      </c>
      <c r="H826" s="50">
        <v>0.0</v>
      </c>
      <c r="I826" s="56">
        <v>0.0</v>
      </c>
      <c r="J826" s="56">
        <v>0.0</v>
      </c>
      <c r="K826" s="50">
        <v>163713.37477736082</v>
      </c>
      <c r="L826" s="56">
        <v>0.018044738326007392</v>
      </c>
      <c r="M826" s="56">
        <v>1.0</v>
      </c>
      <c r="N826" s="51">
        <v>-0.0021070081787546435</v>
      </c>
      <c r="O826" s="7">
        <v>-0.06180557324346503</v>
      </c>
      <c r="P826" s="52">
        <v>53.655493247717104</v>
      </c>
      <c r="Q826" s="30">
        <v>4895.734891667489</v>
      </c>
      <c r="R826" s="13">
        <v>5435.398044550754</v>
      </c>
      <c r="S826" s="56">
        <v>-0.09514947306443085</v>
      </c>
      <c r="T826" s="52">
        <v>291600.8059652339</v>
      </c>
      <c r="U826" s="50">
        <v>163713.37477736082</v>
      </c>
      <c r="V826" s="50">
        <v>-145581.0952043392</v>
      </c>
    </row>
    <row r="827">
      <c r="A827" s="54">
        <v>44829.96051819445</v>
      </c>
      <c r="B827" s="47">
        <v>3.0097101839266123</v>
      </c>
      <c r="C827" s="7">
        <v>-0.020384065004092733</v>
      </c>
      <c r="D827" s="48">
        <v>-0.45770987676997976</v>
      </c>
      <c r="E827" s="81">
        <v>32.3</v>
      </c>
      <c r="F827" s="7">
        <v>-0.023954098234456378</v>
      </c>
      <c r="G827" s="48">
        <v>-0.3980113117052694</v>
      </c>
      <c r="H827" s="50">
        <v>0.0</v>
      </c>
      <c r="I827" s="56">
        <v>0.0</v>
      </c>
      <c r="J827" s="56">
        <v>0.0</v>
      </c>
      <c r="K827" s="50">
        <v>158132.2370008599</v>
      </c>
      <c r="L827" s="56">
        <v>-0.01994418446558721</v>
      </c>
      <c r="M827" s="56">
        <v>1.0</v>
      </c>
      <c r="N827" s="51">
        <v>0.003570033230363645</v>
      </c>
      <c r="O827" s="7">
        <v>-0.059698565064710385</v>
      </c>
      <c r="P827" s="52">
        <v>53.655493247717104</v>
      </c>
      <c r="Q827" s="30">
        <v>4895.734891667489</v>
      </c>
      <c r="R827" s="13">
        <v>5435.398044550754</v>
      </c>
      <c r="S827" s="56">
        <v>-0.09514947306443085</v>
      </c>
      <c r="T827" s="52">
        <v>291600.8059652339</v>
      </c>
      <c r="U827" s="50">
        <v>158132.2370008599</v>
      </c>
      <c r="V827" s="50">
        <v>-151162.2329808401</v>
      </c>
    </row>
    <row r="828">
      <c r="A828" s="54">
        <v>44828.96046752315</v>
      </c>
      <c r="B828" s="47">
        <v>3.122841744699327</v>
      </c>
      <c r="C828" s="7">
        <v>0.004023891691781523</v>
      </c>
      <c r="D828" s="48">
        <v>-0.43732581176588703</v>
      </c>
      <c r="E828" s="81">
        <v>33.56</v>
      </c>
      <c r="F828" s="7">
        <v>0.004476348890554371</v>
      </c>
      <c r="G828" s="48">
        <v>-0.374057213470813</v>
      </c>
      <c r="H828" s="50">
        <v>0.0</v>
      </c>
      <c r="I828" s="56">
        <v>0.0</v>
      </c>
      <c r="J828" s="56">
        <v>0.0</v>
      </c>
      <c r="K828" s="50">
        <v>164300.86296436095</v>
      </c>
      <c r="L828" s="56">
        <v>0.003798892279159416</v>
      </c>
      <c r="M828" s="56">
        <v>1.0</v>
      </c>
      <c r="N828" s="51">
        <v>-4.5245719877284873E-4</v>
      </c>
      <c r="O828" s="7">
        <v>-0.06326859829507403</v>
      </c>
      <c r="P828" s="52">
        <v>53.615123813612534</v>
      </c>
      <c r="Q828" s="30">
        <v>4895.734891667489</v>
      </c>
      <c r="R828" s="13">
        <v>5446.224483507824</v>
      </c>
      <c r="S828" s="56">
        <v>-0.09514947306443085</v>
      </c>
      <c r="T828" s="52">
        <v>291999.99999999994</v>
      </c>
      <c r="U828" s="50">
        <v>164300.86296436095</v>
      </c>
      <c r="V828" s="50">
        <v>-144993.60701733906</v>
      </c>
    </row>
    <row r="829">
      <c r="A829" s="54">
        <v>44827.95996857639</v>
      </c>
      <c r="B829" s="47">
        <v>3.1005091458099394</v>
      </c>
      <c r="C829" s="7">
        <v>0.023966830692171426</v>
      </c>
      <c r="D829" s="48">
        <v>-0.44134970345766855</v>
      </c>
      <c r="E829" s="81">
        <v>33.32</v>
      </c>
      <c r="F829" s="7">
        <v>0.022568258989878354</v>
      </c>
      <c r="G829" s="48">
        <v>-0.37853356236136737</v>
      </c>
      <c r="H829" s="50">
        <v>0.0</v>
      </c>
      <c r="I829" s="56">
        <v>0.0</v>
      </c>
      <c r="J829" s="56">
        <v>0.0</v>
      </c>
      <c r="K829" s="50">
        <v>163125.88659036075</v>
      </c>
      <c r="L829" s="56">
        <v>0.02262670445588022</v>
      </c>
      <c r="M829" s="56">
        <v>1.0</v>
      </c>
      <c r="N829" s="51">
        <v>0.0013985717022930721</v>
      </c>
      <c r="O829" s="7">
        <v>-0.06281614109630118</v>
      </c>
      <c r="P829" s="52">
        <v>53.615123813612534</v>
      </c>
      <c r="Q829" s="30">
        <v>4895.734891667489</v>
      </c>
      <c r="R829" s="13">
        <v>5446.224483507824</v>
      </c>
      <c r="S829" s="56">
        <v>-0.09514947306443085</v>
      </c>
      <c r="T829" s="52">
        <v>291999.99999999994</v>
      </c>
      <c r="U829" s="50">
        <v>163125.88659036075</v>
      </c>
      <c r="V829" s="50">
        <v>-146168.58339133926</v>
      </c>
    </row>
    <row r="830">
      <c r="A830" s="54">
        <v>44826.959970625</v>
      </c>
      <c r="B830" s="47">
        <v>2.967493235468388</v>
      </c>
      <c r="C830" s="7">
        <v>0.023645298084933764</v>
      </c>
      <c r="D830" s="48">
        <v>-0.46531653414984</v>
      </c>
      <c r="E830" s="81">
        <v>32.11</v>
      </c>
      <c r="F830" s="7">
        <v>0.026485064269113345</v>
      </c>
      <c r="G830" s="48">
        <v>-0.4011018213512457</v>
      </c>
      <c r="H830" s="50">
        <v>0.0</v>
      </c>
      <c r="I830" s="56">
        <v>0.0</v>
      </c>
      <c r="J830" s="56">
        <v>0.0</v>
      </c>
      <c r="K830" s="50">
        <v>156127.5720282467</v>
      </c>
      <c r="L830" s="56">
        <v>0.02232315062474033</v>
      </c>
      <c r="M830" s="56">
        <v>1.0</v>
      </c>
      <c r="N830" s="51">
        <v>-0.002839766184179582</v>
      </c>
      <c r="O830" s="7">
        <v>-0.06421471279859425</v>
      </c>
      <c r="P830" s="52">
        <v>53.615123813612534</v>
      </c>
      <c r="Q830" s="30">
        <v>4862.272563944151</v>
      </c>
      <c r="R830" s="13">
        <v>5446.224483507824</v>
      </c>
      <c r="S830" s="56">
        <v>-0.1013341226712726</v>
      </c>
      <c r="T830" s="52">
        <v>291999.99999999994</v>
      </c>
      <c r="U830" s="50">
        <v>156127.5720282467</v>
      </c>
      <c r="V830" s="50">
        <v>-153166.8979534533</v>
      </c>
    </row>
    <row r="831">
      <c r="A831" s="54">
        <v>44825.95997630787</v>
      </c>
      <c r="B831" s="47">
        <v>2.836261831097006</v>
      </c>
      <c r="C831" s="7">
        <v>-0.016818134553368336</v>
      </c>
      <c r="D831" s="48">
        <v>-0.48896183223477374</v>
      </c>
      <c r="E831" s="81">
        <v>30.69</v>
      </c>
      <c r="F831" s="7">
        <v>-0.018837968247749637</v>
      </c>
      <c r="G831" s="48">
        <v>-0.42758688562035907</v>
      </c>
      <c r="H831" s="50">
        <v>0.0</v>
      </c>
      <c r="I831" s="56">
        <v>0.0</v>
      </c>
      <c r="J831" s="56">
        <v>0.0</v>
      </c>
      <c r="K831" s="50">
        <v>149223.14498744602</v>
      </c>
      <c r="L831" s="56">
        <v>-0.015877733895061752</v>
      </c>
      <c r="M831" s="56">
        <v>1.0</v>
      </c>
      <c r="N831" s="51">
        <v>0.002019833694381301</v>
      </c>
      <c r="O831" s="7">
        <v>-0.06137494661441467</v>
      </c>
      <c r="P831" s="52">
        <v>53.615123813612534</v>
      </c>
      <c r="Q831" s="30">
        <v>4862.272563944151</v>
      </c>
      <c r="R831" s="13">
        <v>5446.224483507824</v>
      </c>
      <c r="S831" s="56">
        <v>-0.1013341226712726</v>
      </c>
      <c r="T831" s="52">
        <v>291999.99999999994</v>
      </c>
      <c r="U831" s="50">
        <v>149223.14498744602</v>
      </c>
      <c r="V831" s="50">
        <v>-160071.32499425398</v>
      </c>
    </row>
    <row r="832">
      <c r="A832" s="54">
        <v>44824.95999275463</v>
      </c>
      <c r="B832" s="47">
        <v>2.9296024778681997</v>
      </c>
      <c r="C832" s="7">
        <v>-0.018150264022942175</v>
      </c>
      <c r="D832" s="48">
        <v>-0.4721436976814054</v>
      </c>
      <c r="E832" s="81">
        <v>31.7</v>
      </c>
      <c r="F832" s="7">
        <v>-0.020330084544601057</v>
      </c>
      <c r="G832" s="48">
        <v>-0.40874891737260943</v>
      </c>
      <c r="H832" s="52">
        <v>0.0</v>
      </c>
      <c r="I832" s="7">
        <v>0.0</v>
      </c>
      <c r="J832" s="7">
        <v>0.0</v>
      </c>
      <c r="K832" s="52">
        <v>154134.0402770296</v>
      </c>
      <c r="L832" s="7">
        <v>-0.01713537618377947</v>
      </c>
      <c r="M832" s="7">
        <v>1.0</v>
      </c>
      <c r="N832" s="51">
        <v>0.0021798205216588817</v>
      </c>
      <c r="O832" s="7">
        <v>-0.06339478030879597</v>
      </c>
      <c r="P832" s="52">
        <v>53.615123813612534</v>
      </c>
      <c r="Q832" s="30">
        <v>4862.272563944151</v>
      </c>
      <c r="R832" s="13">
        <v>5446.224483507824</v>
      </c>
      <c r="S832" s="7">
        <v>-0.1013341226712726</v>
      </c>
      <c r="T832" s="52">
        <v>291999.99999999994</v>
      </c>
      <c r="U832" s="52">
        <v>154134.0402770296</v>
      </c>
      <c r="V832" s="52">
        <v>-155160.42970467042</v>
      </c>
    </row>
    <row r="833">
      <c r="A833" s="54">
        <v>44823.959966712966</v>
      </c>
      <c r="B833" s="47">
        <v>3.030336443195529</v>
      </c>
      <c r="C833" s="7">
        <v>0.019981942043606038</v>
      </c>
      <c r="D833" s="48">
        <v>-0.45399343365846323</v>
      </c>
      <c r="E833" s="81">
        <v>32.79</v>
      </c>
      <c r="F833" s="7">
        <v>0.022381744452771857</v>
      </c>
      <c r="G833" s="48">
        <v>-0.3884188328280084</v>
      </c>
      <c r="H833" s="50">
        <v>0.0</v>
      </c>
      <c r="I833" s="56">
        <v>0.0</v>
      </c>
      <c r="J833" s="56">
        <v>0.0</v>
      </c>
      <c r="K833" s="50">
        <v>159433.91737172872</v>
      </c>
      <c r="L833" s="56">
        <v>0.01886463433076646</v>
      </c>
      <c r="M833" s="56">
        <v>1.0</v>
      </c>
      <c r="N833" s="51">
        <v>-0.0023998024091658188</v>
      </c>
      <c r="O833" s="7">
        <v>-0.06557460083045485</v>
      </c>
      <c r="P833" s="52">
        <v>53.615123813612534</v>
      </c>
      <c r="Q833" s="30">
        <v>4862.272563944151</v>
      </c>
      <c r="R833" s="13">
        <v>5446.224483507824</v>
      </c>
      <c r="S833" s="56">
        <v>-0.1013341226712726</v>
      </c>
      <c r="T833" s="52">
        <v>291999.99999999994</v>
      </c>
      <c r="U833" s="50">
        <v>159433.91737172872</v>
      </c>
      <c r="V833" s="50">
        <v>-149860.5526099713</v>
      </c>
    </row>
    <row r="834">
      <c r="A834" s="54">
        <v>44822.95996357639</v>
      </c>
      <c r="B834" s="47">
        <v>2.9194366648535155</v>
      </c>
      <c r="C834" s="7">
        <v>-0.02930684833062236</v>
      </c>
      <c r="D834" s="48">
        <v>-0.47397537570206927</v>
      </c>
      <c r="E834" s="81">
        <v>31.59</v>
      </c>
      <c r="F834" s="7">
        <v>-0.03282655853073213</v>
      </c>
      <c r="G834" s="48">
        <v>-0.41080057728078023</v>
      </c>
      <c r="H834" s="50">
        <v>0.0</v>
      </c>
      <c r="I834" s="56">
        <v>0.0</v>
      </c>
      <c r="J834" s="56">
        <v>0.0</v>
      </c>
      <c r="K834" s="50">
        <v>153599.19029499573</v>
      </c>
      <c r="L834" s="56">
        <v>-0.02766813035179083</v>
      </c>
      <c r="M834" s="56">
        <v>1.0</v>
      </c>
      <c r="N834" s="51">
        <v>0.0035197102001097713</v>
      </c>
      <c r="O834" s="7">
        <v>-0.06317479842128904</v>
      </c>
      <c r="P834" s="52">
        <v>53.615123813612534</v>
      </c>
      <c r="Q834" s="30">
        <v>4862.272563944151</v>
      </c>
      <c r="R834" s="13">
        <v>5446.224483507824</v>
      </c>
      <c r="S834" s="56">
        <v>-0.1013341226712726</v>
      </c>
      <c r="T834" s="52">
        <v>291999.99999999994</v>
      </c>
      <c r="U834" s="50">
        <v>153599.19029499573</v>
      </c>
      <c r="V834" s="50">
        <v>-155695.27968670428</v>
      </c>
    </row>
    <row r="835">
      <c r="A835" s="54">
        <v>44821.95995809028</v>
      </c>
      <c r="B835" s="47">
        <v>3.0820896730884697</v>
      </c>
      <c r="C835" s="7">
        <v>0.016818134553368558</v>
      </c>
      <c r="D835" s="48">
        <v>-0.4446685273714469</v>
      </c>
      <c r="E835" s="81">
        <v>33.35</v>
      </c>
      <c r="F835" s="7">
        <v>0.018837968247749637</v>
      </c>
      <c r="G835" s="48">
        <v>-0.3779740187500481</v>
      </c>
      <c r="H835" s="50">
        <v>0.0</v>
      </c>
      <c r="I835" s="56">
        <v>0.0</v>
      </c>
      <c r="J835" s="56">
        <v>0.0</v>
      </c>
      <c r="K835" s="50">
        <v>162156.79000753746</v>
      </c>
      <c r="L835" s="56">
        <v>0.015877733895061752</v>
      </c>
      <c r="M835" s="56">
        <v>1.0</v>
      </c>
      <c r="N835" s="51">
        <v>-0.002019833694381079</v>
      </c>
      <c r="O835" s="7">
        <v>-0.06669450862139881</v>
      </c>
      <c r="P835" s="52">
        <v>53.615123813612534</v>
      </c>
      <c r="Q835" s="30">
        <v>4862.272563944151</v>
      </c>
      <c r="R835" s="13">
        <v>5446.224483507824</v>
      </c>
      <c r="S835" s="56">
        <v>-0.1013341226712726</v>
      </c>
      <c r="T835" s="52">
        <v>291999.99999999994</v>
      </c>
      <c r="U835" s="50">
        <v>162156.79000753746</v>
      </c>
      <c r="V835" s="50">
        <v>-147137.67997416254</v>
      </c>
    </row>
    <row r="836">
      <c r="A836" s="54">
        <v>44820.959983078705</v>
      </c>
      <c r="B836" s="47">
        <v>2.988749026317274</v>
      </c>
      <c r="C836" s="7">
        <v>-0.013421785259727814</v>
      </c>
      <c r="D836" s="48">
        <v>-0.46148666192481547</v>
      </c>
      <c r="E836" s="81">
        <v>32.34</v>
      </c>
      <c r="F836" s="7">
        <v>-0.01977054093328179</v>
      </c>
      <c r="G836" s="48">
        <v>-0.39681198699779774</v>
      </c>
      <c r="H836" s="50">
        <v>0.0</v>
      </c>
      <c r="I836" s="56">
        <v>0.0</v>
      </c>
      <c r="J836" s="56">
        <v>0.0</v>
      </c>
      <c r="K836" s="50">
        <v>157245.89471795387</v>
      </c>
      <c r="L836" s="56">
        <v>-0.012671294433658664</v>
      </c>
      <c r="M836" s="56">
        <v>1.0</v>
      </c>
      <c r="N836" s="51">
        <v>0.006348755673553974</v>
      </c>
      <c r="O836" s="7">
        <v>-0.06467467492701773</v>
      </c>
      <c r="P836" s="52">
        <v>53.615123813612534</v>
      </c>
      <c r="Q836" s="30">
        <v>4862.272563944151</v>
      </c>
      <c r="R836" s="13">
        <v>5446.224483507824</v>
      </c>
      <c r="S836" s="56">
        <v>-0.1013341226712726</v>
      </c>
      <c r="T836" s="52">
        <v>291999.99999999994</v>
      </c>
      <c r="U836" s="50">
        <v>157245.89471795387</v>
      </c>
      <c r="V836" s="50">
        <v>-152048.57526374614</v>
      </c>
    </row>
    <row r="837">
      <c r="A837" s="54">
        <v>44819.959963113426</v>
      </c>
      <c r="B837" s="47">
        <v>3.0632399345087635</v>
      </c>
      <c r="C837" s="7">
        <v>-0.005288001181651847</v>
      </c>
      <c r="D837" s="48">
        <v>-0.44806487666508765</v>
      </c>
      <c r="E837" s="81">
        <v>33.4</v>
      </c>
      <c r="F837" s="7">
        <v>-0.0059684651874057915</v>
      </c>
      <c r="G837" s="48">
        <v>-0.37704144606451595</v>
      </c>
      <c r="H837" s="50">
        <v>0.0</v>
      </c>
      <c r="I837" s="56">
        <v>0.0</v>
      </c>
      <c r="J837" s="56">
        <v>0.0</v>
      </c>
      <c r="K837" s="50">
        <v>161165.05601379438</v>
      </c>
      <c r="L837" s="56">
        <v>-0.004992317984649719</v>
      </c>
      <c r="M837" s="56">
        <v>1.0</v>
      </c>
      <c r="N837" s="51">
        <v>6.804640057539446E-4</v>
      </c>
      <c r="O837" s="7">
        <v>-0.0710234306005717</v>
      </c>
      <c r="P837" s="52">
        <v>53.615123813612534</v>
      </c>
      <c r="Q837" s="30">
        <v>4825.301078257317</v>
      </c>
      <c r="R837" s="13">
        <v>5446.224483507824</v>
      </c>
      <c r="S837" s="56">
        <v>-0.10816734976497422</v>
      </c>
      <c r="T837" s="52">
        <v>291999.99999999994</v>
      </c>
      <c r="U837" s="50">
        <v>161165.05601379438</v>
      </c>
      <c r="V837" s="50">
        <v>-148129.41396790562</v>
      </c>
    </row>
    <row r="838">
      <c r="A838" s="54">
        <v>44818.95997418981</v>
      </c>
      <c r="B838" s="47">
        <v>3.0925883410669313</v>
      </c>
      <c r="C838" s="7">
        <v>-6.610001477065364E-4</v>
      </c>
      <c r="D838" s="48">
        <v>-0.4427768754834358</v>
      </c>
      <c r="E838" s="81">
        <v>33.72</v>
      </c>
      <c r="F838" s="7">
        <v>-7.460581484257656E-4</v>
      </c>
      <c r="G838" s="48">
        <v>-0.37107298087711016</v>
      </c>
      <c r="H838" s="50">
        <v>0.0</v>
      </c>
      <c r="I838" s="56">
        <v>0.0</v>
      </c>
      <c r="J838" s="56">
        <v>0.0</v>
      </c>
      <c r="K838" s="50">
        <v>162709.15235883673</v>
      </c>
      <c r="L838" s="56">
        <v>-6.240397480812288E-4</v>
      </c>
      <c r="M838" s="56">
        <v>1.0</v>
      </c>
      <c r="N838" s="51">
        <v>8.50580007192292E-5</v>
      </c>
      <c r="O838" s="7">
        <v>-0.07170389460632565</v>
      </c>
      <c r="P838" s="52">
        <v>53.615123813612534</v>
      </c>
      <c r="Q838" s="30">
        <v>4825.301078257317</v>
      </c>
      <c r="R838" s="13">
        <v>5446.224483507824</v>
      </c>
      <c r="S838" s="56">
        <v>-0.10816734976497422</v>
      </c>
      <c r="T838" s="52">
        <v>291999.99999999994</v>
      </c>
      <c r="U838" s="50">
        <v>162709.15235883673</v>
      </c>
      <c r="V838" s="50">
        <v>-146585.31762286328</v>
      </c>
    </row>
    <row r="839">
      <c r="A839" s="54">
        <v>44817.95996974537</v>
      </c>
      <c r="B839" s="47">
        <v>3.0962568918867026</v>
      </c>
      <c r="C839" s="7">
        <v>-0.06163826374960535</v>
      </c>
      <c r="D839" s="48">
        <v>-0.44211587533572927</v>
      </c>
      <c r="E839" s="81">
        <v>33.76</v>
      </c>
      <c r="F839" s="7">
        <v>-0.06956992234069936</v>
      </c>
      <c r="G839" s="48">
        <v>-0.3703269227286844</v>
      </c>
      <c r="H839" s="50">
        <v>0.0</v>
      </c>
      <c r="I839" s="56">
        <v>0.0</v>
      </c>
      <c r="J839" s="56">
        <v>0.0</v>
      </c>
      <c r="K839" s="50">
        <v>162902.16440196702</v>
      </c>
      <c r="L839" s="56">
        <v>-0.058166273406568214</v>
      </c>
      <c r="M839" s="56">
        <v>1.0</v>
      </c>
      <c r="N839" s="51">
        <v>0.007931658591094015</v>
      </c>
      <c r="O839" s="7">
        <v>-0.07178895260704488</v>
      </c>
      <c r="P839" s="52">
        <v>53.615123813612534</v>
      </c>
      <c r="Q839" s="30">
        <v>4825.301078257317</v>
      </c>
      <c r="R839" s="13">
        <v>5446.224483507824</v>
      </c>
      <c r="S839" s="56">
        <v>-0.10816734976497422</v>
      </c>
      <c r="T839" s="52">
        <v>291999.99999999994</v>
      </c>
      <c r="U839" s="50">
        <v>162902.16440196702</v>
      </c>
      <c r="V839" s="50">
        <v>-146392.305579733</v>
      </c>
    </row>
    <row r="840">
      <c r="A840" s="54">
        <v>44816.95995341435</v>
      </c>
      <c r="B840" s="47">
        <v>3.438349255697012</v>
      </c>
      <c r="C840" s="7">
        <v>0.04627001033765943</v>
      </c>
      <c r="D840" s="48">
        <v>-0.3804776115861239</v>
      </c>
      <c r="E840" s="81">
        <v>37.49</v>
      </c>
      <c r="F840" s="7">
        <v>0.05222407038980115</v>
      </c>
      <c r="G840" s="48">
        <v>-0.30075700038798503</v>
      </c>
      <c r="H840" s="50">
        <v>0.0</v>
      </c>
      <c r="I840" s="56">
        <v>0.0</v>
      </c>
      <c r="J840" s="56">
        <v>0.0</v>
      </c>
      <c r="K840" s="50">
        <v>180900.5374168518</v>
      </c>
      <c r="L840" s="56">
        <v>0.04368088285419891</v>
      </c>
      <c r="M840" s="56">
        <v>1.0</v>
      </c>
      <c r="N840" s="51">
        <v>-0.005954060052141719</v>
      </c>
      <c r="O840" s="7">
        <v>-0.07972061119813889</v>
      </c>
      <c r="P840" s="52">
        <v>53.615123813612534</v>
      </c>
      <c r="Q840" s="30">
        <v>4825.3010780702</v>
      </c>
      <c r="R840" s="13">
        <v>5446.224483507824</v>
      </c>
      <c r="S840" s="56">
        <v>-0.1081673497995581</v>
      </c>
      <c r="T840" s="52">
        <v>291999.99999999994</v>
      </c>
      <c r="U840" s="50">
        <v>180900.5374168518</v>
      </c>
      <c r="V840" s="50">
        <v>-128407.38256484823</v>
      </c>
    </row>
    <row r="841">
      <c r="A841" s="54">
        <v>44815.95995379629</v>
      </c>
      <c r="B841" s="47">
        <v>3.181550698323002</v>
      </c>
      <c r="C841" s="7">
        <v>-0.00214825047996281</v>
      </c>
      <c r="D841" s="48">
        <v>-0.42674762192378335</v>
      </c>
      <c r="E841" s="81">
        <v>34.69</v>
      </c>
      <c r="F841" s="7">
        <v>-0.0024246889823836826</v>
      </c>
      <c r="G841" s="48">
        <v>-0.3529810707777862</v>
      </c>
      <c r="H841" s="50">
        <v>0.0</v>
      </c>
      <c r="I841" s="56">
        <v>0.0</v>
      </c>
      <c r="J841" s="56">
        <v>0.0</v>
      </c>
      <c r="K841" s="50">
        <v>167389.69439825523</v>
      </c>
      <c r="L841" s="56">
        <v>-0.002028040989659363</v>
      </c>
      <c r="M841" s="56">
        <v>1.0</v>
      </c>
      <c r="N841" s="51">
        <v>2.7643850242087264E-4</v>
      </c>
      <c r="O841" s="7">
        <v>-0.07376655114599717</v>
      </c>
      <c r="P841" s="52">
        <v>53.615123813612534</v>
      </c>
      <c r="Q841" s="30">
        <v>4825.3010780702</v>
      </c>
      <c r="R841" s="13">
        <v>5446.224483507824</v>
      </c>
      <c r="S841" s="56">
        <v>-0.1081673497995581</v>
      </c>
      <c r="T841" s="52">
        <v>291999.99999999994</v>
      </c>
      <c r="U841" s="50">
        <v>167389.69439825523</v>
      </c>
      <c r="V841" s="50">
        <v>-141918.2255834448</v>
      </c>
    </row>
    <row r="842">
      <c r="A842" s="54">
        <v>44814.95995355324</v>
      </c>
      <c r="B842" s="47">
        <v>3.193473488486796</v>
      </c>
      <c r="C842" s="7">
        <v>0.0011567502584415301</v>
      </c>
      <c r="D842" s="48">
        <v>-0.42459937144382054</v>
      </c>
      <c r="E842" s="81">
        <v>34.82</v>
      </c>
      <c r="F842" s="7">
        <v>0.0013056017597450342</v>
      </c>
      <c r="G842" s="48">
        <v>-0.3505563817954025</v>
      </c>
      <c r="H842" s="50">
        <v>0.0</v>
      </c>
      <c r="I842" s="56">
        <v>0.0</v>
      </c>
      <c r="J842" s="56">
        <v>0.0</v>
      </c>
      <c r="K842" s="50">
        <v>168016.98353840437</v>
      </c>
      <c r="L842" s="56">
        <v>0.0010920220713550588</v>
      </c>
      <c r="M842" s="56">
        <v>1.0</v>
      </c>
      <c r="N842" s="51">
        <v>-1.488515013035041E-4</v>
      </c>
      <c r="O842" s="7">
        <v>-0.07404298964841804</v>
      </c>
      <c r="P842" s="52">
        <v>53.615123813612534</v>
      </c>
      <c r="Q842" s="30">
        <v>4825.3010780702</v>
      </c>
      <c r="R842" s="13">
        <v>5446.224483507824</v>
      </c>
      <c r="S842" s="56">
        <v>-0.1081673497995581</v>
      </c>
      <c r="T842" s="52">
        <v>291999.99999999994</v>
      </c>
      <c r="U842" s="50">
        <v>168016.98353840437</v>
      </c>
      <c r="V842" s="50">
        <v>-141290.93644329565</v>
      </c>
    </row>
    <row r="843">
      <c r="A843" s="54">
        <v>44813.960386516206</v>
      </c>
      <c r="B843" s="47">
        <v>3.1870535245524456</v>
      </c>
      <c r="C843" s="7">
        <v>0.021885577258843547</v>
      </c>
      <c r="D843" s="48">
        <v>-0.42575612170226207</v>
      </c>
      <c r="E843" s="81">
        <v>34.75</v>
      </c>
      <c r="F843" s="7">
        <v>0.020889628155920437</v>
      </c>
      <c r="G843" s="48">
        <v>-0.35186198355514753</v>
      </c>
      <c r="H843" s="50">
        <v>0.0</v>
      </c>
      <c r="I843" s="56">
        <v>0.0</v>
      </c>
      <c r="J843" s="56">
        <v>0.0</v>
      </c>
      <c r="K843" s="50">
        <v>167679.21246293944</v>
      </c>
      <c r="L843" s="56">
        <v>0.02066092766056682</v>
      </c>
      <c r="M843" s="56">
        <v>1.0</v>
      </c>
      <c r="N843" s="51">
        <v>9.959491029231105E-4</v>
      </c>
      <c r="O843" s="7">
        <v>-0.07389413814711454</v>
      </c>
      <c r="P843" s="52">
        <v>53.615123813612534</v>
      </c>
      <c r="Q843" s="30">
        <v>4825.3010780702</v>
      </c>
      <c r="R843" s="13">
        <v>5446.224483507824</v>
      </c>
      <c r="S843" s="56">
        <v>-0.1081673497995581</v>
      </c>
      <c r="T843" s="52">
        <v>291999.99999999994</v>
      </c>
      <c r="U843" s="50">
        <v>167679.21246293944</v>
      </c>
      <c r="V843" s="50">
        <v>-141628.70751876058</v>
      </c>
    </row>
    <row r="844">
      <c r="A844" s="54">
        <v>44812.96109928241</v>
      </c>
      <c r="B844" s="47">
        <v>3.065588570765864</v>
      </c>
      <c r="C844" s="7">
        <v>0.016588816058557443</v>
      </c>
      <c r="D844" s="48">
        <v>-0.4476416989611056</v>
      </c>
      <c r="E844" s="81">
        <v>33.63</v>
      </c>
      <c r="F844" s="7">
        <v>0.018837968247749748</v>
      </c>
      <c r="G844" s="48">
        <v>-0.37275161171106796</v>
      </c>
      <c r="H844" s="50">
        <v>0.0</v>
      </c>
      <c r="I844" s="56">
        <v>0.0</v>
      </c>
      <c r="J844" s="56">
        <v>0.0</v>
      </c>
      <c r="K844" s="50">
        <v>161288.62390335713</v>
      </c>
      <c r="L844" s="56">
        <v>0.015660556927819314</v>
      </c>
      <c r="M844" s="56">
        <v>1.0</v>
      </c>
      <c r="N844" s="51">
        <v>-0.002249152189192305</v>
      </c>
      <c r="O844" s="7">
        <v>-0.07489008725003765</v>
      </c>
      <c r="P844" s="52">
        <v>53.615123813612534</v>
      </c>
      <c r="Q844" s="30">
        <v>4795.974543662121</v>
      </c>
      <c r="R844" s="13">
        <v>5446.224483507824</v>
      </c>
      <c r="S844" s="56">
        <v>-0.11358760451096186</v>
      </c>
      <c r="T844" s="52">
        <v>291999.99999999994</v>
      </c>
      <c r="U844" s="50">
        <v>161288.62390335713</v>
      </c>
      <c r="V844" s="50">
        <v>-148019.2960783429</v>
      </c>
    </row>
    <row r="845">
      <c r="A845" s="54">
        <v>44811.95995924769</v>
      </c>
      <c r="B845" s="47">
        <v>2.97352064164087</v>
      </c>
      <c r="C845" s="7">
        <v>0.02315864420056024</v>
      </c>
      <c r="D845" s="48">
        <v>-0.46423051501966306</v>
      </c>
      <c r="E845" s="81">
        <v>32.62</v>
      </c>
      <c r="F845" s="7">
        <v>0.02629854973200685</v>
      </c>
      <c r="G845" s="48">
        <v>-0.3915895799588177</v>
      </c>
      <c r="H845" s="50">
        <v>0.0</v>
      </c>
      <c r="I845" s="56">
        <v>0.0</v>
      </c>
      <c r="J845" s="56">
        <v>0.0</v>
      </c>
      <c r="K845" s="50">
        <v>156444.68961425836</v>
      </c>
      <c r="L845" s="56">
        <v>0.02186275769131185</v>
      </c>
      <c r="M845" s="56">
        <v>1.0</v>
      </c>
      <c r="N845" s="51">
        <v>-0.0031399055314466073</v>
      </c>
      <c r="O845" s="7">
        <v>-0.07264093506084535</v>
      </c>
      <c r="P845" s="52">
        <v>53.615123813612534</v>
      </c>
      <c r="Q845" s="30">
        <v>4795.974543662121</v>
      </c>
      <c r="R845" s="13">
        <v>5446.224483507824</v>
      </c>
      <c r="S845" s="56">
        <v>-0.11358760451096186</v>
      </c>
      <c r="T845" s="52">
        <v>291999.99999999994</v>
      </c>
      <c r="U845" s="50">
        <v>156444.68961425836</v>
      </c>
      <c r="V845" s="50">
        <v>-152863.23036744166</v>
      </c>
    </row>
    <row r="846">
      <c r="A846" s="54">
        <v>44810.95996559028</v>
      </c>
      <c r="B846" s="47">
        <v>2.8449901663277606</v>
      </c>
      <c r="C846" s="7">
        <v>-0.014289376208856286</v>
      </c>
      <c r="D846" s="48">
        <v>-0.4873891592202233</v>
      </c>
      <c r="E846" s="81">
        <v>31.21</v>
      </c>
      <c r="F846" s="7">
        <v>-0.01622676472825957</v>
      </c>
      <c r="G846" s="48">
        <v>-0.41788812969082456</v>
      </c>
      <c r="H846" s="50">
        <v>0.0</v>
      </c>
      <c r="I846" s="56">
        <v>0.0</v>
      </c>
      <c r="J846" s="56">
        <v>0.0</v>
      </c>
      <c r="K846" s="50">
        <v>149682.36550769478</v>
      </c>
      <c r="L846" s="56">
        <v>-0.013489786660596748</v>
      </c>
      <c r="M846" s="56">
        <v>1.0</v>
      </c>
      <c r="N846" s="51">
        <v>0.0019373885194032825</v>
      </c>
      <c r="O846" s="7">
        <v>-0.06950102952939874</v>
      </c>
      <c r="P846" s="52">
        <v>53.615123813612534</v>
      </c>
      <c r="Q846" s="30">
        <v>4795.974543662121</v>
      </c>
      <c r="R846" s="13">
        <v>5446.224483507824</v>
      </c>
      <c r="S846" s="56">
        <v>-0.11358760451096186</v>
      </c>
      <c r="T846" s="52">
        <v>291999.99999999994</v>
      </c>
      <c r="U846" s="50">
        <v>149682.36550769478</v>
      </c>
      <c r="V846" s="50">
        <v>-159625.55447400524</v>
      </c>
    </row>
    <row r="847">
      <c r="A847" s="54">
        <v>44809.95997001157</v>
      </c>
      <c r="B847" s="47">
        <v>2.924296204286913</v>
      </c>
      <c r="C847" s="7">
        <v>6.569828142001244E-4</v>
      </c>
      <c r="D847" s="48">
        <v>-0.473099783011367</v>
      </c>
      <c r="E847" s="81">
        <v>32.08</v>
      </c>
      <c r="F847" s="7">
        <v>7.460581484257656E-4</v>
      </c>
      <c r="G847" s="48">
        <v>-0.401661364962565</v>
      </c>
      <c r="H847" s="50">
        <v>0.0</v>
      </c>
      <c r="I847" s="56">
        <v>0.0</v>
      </c>
      <c r="J847" s="56">
        <v>0.0</v>
      </c>
      <c r="K847" s="50">
        <v>153854.8633606808</v>
      </c>
      <c r="L847" s="56">
        <v>6.202200763492094E-4</v>
      </c>
      <c r="M847" s="56">
        <v>1.0</v>
      </c>
      <c r="N847" s="51">
        <v>-8.907533422564118E-5</v>
      </c>
      <c r="O847" s="7">
        <v>-0.07143841804880202</v>
      </c>
      <c r="P847" s="52">
        <v>53.615123813612534</v>
      </c>
      <c r="Q847" s="30">
        <v>4795.974543662121</v>
      </c>
      <c r="R847" s="13">
        <v>5446.224483507824</v>
      </c>
      <c r="S847" s="56">
        <v>-0.11358760451096186</v>
      </c>
      <c r="T847" s="52">
        <v>291999.99999999994</v>
      </c>
      <c r="U847" s="50">
        <v>153854.8633606808</v>
      </c>
      <c r="V847" s="50">
        <v>-155453.0566210192</v>
      </c>
    </row>
    <row r="848">
      <c r="A848" s="54">
        <v>44808.95995771991</v>
      </c>
      <c r="B848" s="47">
        <v>2.9206499496681024</v>
      </c>
      <c r="C848" s="7">
        <v>0.015931833244357096</v>
      </c>
      <c r="D848" s="48">
        <v>-0.47375676582556714</v>
      </c>
      <c r="E848" s="81">
        <v>32.04</v>
      </c>
      <c r="F848" s="7">
        <v>0.01809191009932387</v>
      </c>
      <c r="G848" s="48">
        <v>-0.40240742311099076</v>
      </c>
      <c r="H848" s="50">
        <v>0.0</v>
      </c>
      <c r="I848" s="56">
        <v>0.0</v>
      </c>
      <c r="J848" s="56">
        <v>0.0</v>
      </c>
      <c r="K848" s="50">
        <v>153663.02437893435</v>
      </c>
      <c r="L848" s="56">
        <v>0.015040336851469993</v>
      </c>
      <c r="M848" s="56">
        <v>1.0</v>
      </c>
      <c r="N848" s="51">
        <v>-0.002160076854966775</v>
      </c>
      <c r="O848" s="7">
        <v>-0.07134934271457638</v>
      </c>
      <c r="P848" s="52">
        <v>53.615123813612534</v>
      </c>
      <c r="Q848" s="30">
        <v>4795.974543662121</v>
      </c>
      <c r="R848" s="13">
        <v>5446.224483507824</v>
      </c>
      <c r="S848" s="56">
        <v>-0.11358760451096186</v>
      </c>
      <c r="T848" s="52">
        <v>291999.99999999994</v>
      </c>
      <c r="U848" s="50">
        <v>153663.02437893435</v>
      </c>
      <c r="V848" s="50">
        <v>-155644.89560276567</v>
      </c>
    </row>
    <row r="849">
      <c r="A849" s="54">
        <v>44807.95995710648</v>
      </c>
      <c r="B849" s="47">
        <v>2.8322282751619205</v>
      </c>
      <c r="C849" s="7">
        <v>-0.002792176960351278</v>
      </c>
      <c r="D849" s="48">
        <v>-0.48968859906992424</v>
      </c>
      <c r="E849" s="81">
        <v>31.07</v>
      </c>
      <c r="F849" s="7">
        <v>-0.003170747130809226</v>
      </c>
      <c r="G849" s="48">
        <v>-0.42049933321031463</v>
      </c>
      <c r="H849" s="50">
        <v>0.0</v>
      </c>
      <c r="I849" s="56">
        <v>0.0</v>
      </c>
      <c r="J849" s="56">
        <v>0.0</v>
      </c>
      <c r="K849" s="50">
        <v>149010.9290715821</v>
      </c>
      <c r="L849" s="56">
        <v>-0.002635935324484473</v>
      </c>
      <c r="M849" s="56">
        <v>1.0</v>
      </c>
      <c r="N849" s="51">
        <v>3.7857017045794805E-4</v>
      </c>
      <c r="O849" s="7">
        <v>-0.0691892658596096</v>
      </c>
      <c r="P849" s="52">
        <v>53.615123813612534</v>
      </c>
      <c r="Q849" s="30">
        <v>4795.974543662121</v>
      </c>
      <c r="R849" s="13">
        <v>5446.224483507824</v>
      </c>
      <c r="S849" s="56">
        <v>-0.11358760451096186</v>
      </c>
      <c r="T849" s="52">
        <v>291999.99999999994</v>
      </c>
      <c r="U849" s="50">
        <v>149010.9290715821</v>
      </c>
      <c r="V849" s="50">
        <v>-160296.99091011792</v>
      </c>
    </row>
    <row r="850">
      <c r="A850" s="54">
        <v>44806.95996475694</v>
      </c>
      <c r="B850" s="47">
        <v>2.84772485729187</v>
      </c>
      <c r="C850" s="7">
        <v>-0.0022975004391565523</v>
      </c>
      <c r="D850" s="48">
        <v>-0.48689642210957296</v>
      </c>
      <c r="E850" s="81">
        <v>31.24</v>
      </c>
      <c r="F850" s="7">
        <v>-0.0027977180565965654</v>
      </c>
      <c r="G850" s="48">
        <v>-0.4173285860795054</v>
      </c>
      <c r="H850" s="52">
        <v>0.0</v>
      </c>
      <c r="I850" s="7">
        <v>0.0</v>
      </c>
      <c r="J850" s="7">
        <v>0.0</v>
      </c>
      <c r="K850" s="52">
        <v>164542.76676857454</v>
      </c>
      <c r="L850" s="7">
        <v>-0.0021689393801278545</v>
      </c>
      <c r="M850" s="7">
        <v>1.0</v>
      </c>
      <c r="N850" s="51">
        <v>5.00217617440013E-4</v>
      </c>
      <c r="O850" s="7">
        <v>-0.06956783603006755</v>
      </c>
      <c r="P850" s="52">
        <v>53.615123813612534</v>
      </c>
      <c r="Q850" s="30">
        <v>4795.974543662121</v>
      </c>
      <c r="R850" s="13">
        <v>5446.224483507824</v>
      </c>
      <c r="S850" s="56">
        <v>-0.11358760451096186</v>
      </c>
      <c r="T850" s="52">
        <v>291999.99999999994</v>
      </c>
      <c r="U850" s="50">
        <v>149826.24474400465</v>
      </c>
      <c r="V850" s="50">
        <v>-159481.67523769537</v>
      </c>
    </row>
    <row r="851">
      <c r="A851" s="54">
        <v>44805.95996070602</v>
      </c>
      <c r="B851" s="47">
        <v>2.860475984729189</v>
      </c>
      <c r="C851" s="7">
        <v>-0.013628838341952054</v>
      </c>
      <c r="D851" s="48">
        <v>-0.4845989216704164</v>
      </c>
      <c r="E851" s="81">
        <v>31.39</v>
      </c>
      <c r="F851" s="7">
        <v>-0.015480706579833914</v>
      </c>
      <c r="G851" s="48">
        <v>-0.41453086802290884</v>
      </c>
      <c r="H851" s="50">
        <v>10.021922</v>
      </c>
      <c r="I851" s="56">
        <v>-8.56788236696735E-7</v>
      </c>
      <c r="J851" s="56">
        <v>6.659212044369034E-5</v>
      </c>
      <c r="K851" s="50">
        <v>150487.09295023838</v>
      </c>
      <c r="L851" s="56">
        <v>-0.012865353673123019</v>
      </c>
      <c r="M851" s="56">
        <v>0.9999334078795562</v>
      </c>
      <c r="N851" s="51">
        <v>0.0018518682378818596</v>
      </c>
      <c r="O851" s="7">
        <v>-0.07006805364750757</v>
      </c>
      <c r="P851" s="52">
        <v>53.615123813612534</v>
      </c>
      <c r="Q851" s="30">
        <v>4794.428635624033</v>
      </c>
      <c r="R851" s="13">
        <v>5446.224483507824</v>
      </c>
      <c r="S851" s="56">
        <v>-0.11387332580384447</v>
      </c>
      <c r="T851" s="52">
        <v>291999.99999999994</v>
      </c>
      <c r="U851" s="50">
        <v>150497.1148722384</v>
      </c>
      <c r="V851" s="50">
        <v>-158810.80510946162</v>
      </c>
    </row>
    <row r="852">
      <c r="A852" s="54">
        <v>44804.95996842593</v>
      </c>
      <c r="B852" s="47">
        <v>2.9361160375270225</v>
      </c>
      <c r="C852" s="7">
        <v>0.010343089345246081</v>
      </c>
      <c r="D852" s="48">
        <v>-0.47097008332846435</v>
      </c>
      <c r="E852" s="81">
        <v>32.22</v>
      </c>
      <c r="F852" s="7">
        <v>0.011750415837705308</v>
      </c>
      <c r="G852" s="48">
        <v>-0.3990501614430749</v>
      </c>
      <c r="H852" s="50">
        <v>10.021922</v>
      </c>
      <c r="I852" s="56">
        <v>6.334757902459332E-7</v>
      </c>
      <c r="J852" s="56">
        <v>6.487657805983997E-5</v>
      </c>
      <c r="K852" s="50">
        <v>154466.71374608835</v>
      </c>
      <c r="L852" s="56">
        <v>0.009763688397993485</v>
      </c>
      <c r="M852" s="56">
        <v>0.99993512342194</v>
      </c>
      <c r="N852" s="51">
        <v>-0.0014073264924592266</v>
      </c>
      <c r="O852" s="7">
        <v>-0.07191992188538943</v>
      </c>
      <c r="P852" s="52">
        <v>53.615123813612534</v>
      </c>
      <c r="Q852" s="30">
        <v>4794.4362404745</v>
      </c>
      <c r="R852" s="13">
        <v>5446.224483507824</v>
      </c>
      <c r="S852" s="56">
        <v>-0.11387192024306461</v>
      </c>
      <c r="T852" s="52">
        <v>291999.99999999994</v>
      </c>
      <c r="U852" s="50">
        <v>154476.73566808837</v>
      </c>
      <c r="V852" s="50">
        <v>-154831.18431361165</v>
      </c>
    </row>
    <row r="853">
      <c r="A853" s="54">
        <v>44803.96121127315</v>
      </c>
      <c r="B853" s="47">
        <v>2.878711891660907</v>
      </c>
      <c r="C853" s="7">
        <v>-0.0060757706672947</v>
      </c>
      <c r="D853" s="48">
        <v>-0.48131317267371043</v>
      </c>
      <c r="E853" s="81">
        <v>31.59</v>
      </c>
      <c r="F853" s="7">
        <v>-0.006901037872938054</v>
      </c>
      <c r="G853" s="48">
        <v>-0.41080057728078023</v>
      </c>
      <c r="H853" s="50">
        <v>10.021922</v>
      </c>
      <c r="I853" s="56">
        <v>-3.795387579459648E-7</v>
      </c>
      <c r="J853" s="56">
        <v>6.617027631461488E-5</v>
      </c>
      <c r="K853" s="50">
        <v>151446.5316572765</v>
      </c>
      <c r="L853" s="56">
        <v>-0.005735409686927016</v>
      </c>
      <c r="M853" s="56">
        <v>0.9999338297236853</v>
      </c>
      <c r="N853" s="51">
        <v>8.252672056433541E-4</v>
      </c>
      <c r="O853" s="7">
        <v>-0.0705125953929302</v>
      </c>
      <c r="P853" s="52">
        <v>53.615123813612534</v>
      </c>
      <c r="Q853" s="30">
        <v>4794.446140527905</v>
      </c>
      <c r="R853" s="13">
        <v>5446.224483507824</v>
      </c>
      <c r="S853" s="56">
        <v>-0.11387009047312426</v>
      </c>
      <c r="T853" s="52">
        <v>291999.99999999994</v>
      </c>
      <c r="U853" s="50">
        <v>151456.55357927651</v>
      </c>
      <c r="V853" s="50">
        <v>-157851.3664024235</v>
      </c>
    </row>
    <row r="854">
      <c r="A854" s="54">
        <v>44802.959965358794</v>
      </c>
      <c r="B854" s="47">
        <v>2.9124324188643924</v>
      </c>
      <c r="C854" s="7">
        <v>0.006072772889711753</v>
      </c>
      <c r="D854" s="48">
        <v>-0.47523740200641573</v>
      </c>
      <c r="E854" s="81">
        <v>31.96</v>
      </c>
      <c r="F854" s="7">
        <v>0.006901037872938054</v>
      </c>
      <c r="G854" s="48">
        <v>-0.4038995394078422</v>
      </c>
      <c r="H854" s="50">
        <v>10.021922</v>
      </c>
      <c r="I854" s="56">
        <v>3.749593123013794E-7</v>
      </c>
      <c r="J854" s="56">
        <v>6.540414811604223E-5</v>
      </c>
      <c r="K854" s="50">
        <v>153220.65669212656</v>
      </c>
      <c r="L854" s="56">
        <v>0.005732584235204138</v>
      </c>
      <c r="M854" s="56">
        <v>0.9999345958518838</v>
      </c>
      <c r="N854" s="51">
        <v>-8.282649832263012E-4</v>
      </c>
      <c r="O854" s="7">
        <v>-0.07133786259857355</v>
      </c>
      <c r="P854" s="52">
        <v>53.615123813612534</v>
      </c>
      <c r="Q854" s="30">
        <v>4794.451771405713</v>
      </c>
      <c r="R854" s="13">
        <v>5446.224483507824</v>
      </c>
      <c r="S854" s="56">
        <v>-0.11386904975035965</v>
      </c>
      <c r="T854" s="52">
        <v>291999.99999999994</v>
      </c>
      <c r="U854" s="50">
        <v>153230.67861412658</v>
      </c>
      <c r="V854" s="50">
        <v>-156077.24136757344</v>
      </c>
    </row>
    <row r="855">
      <c r="A855" s="54">
        <v>44801.95995534722</v>
      </c>
      <c r="B855" s="47">
        <v>2.878728529326492</v>
      </c>
      <c r="C855" s="7">
        <v>0.002625384425266719</v>
      </c>
      <c r="D855" s="48">
        <v>-0.4813101748961275</v>
      </c>
      <c r="E855" s="81">
        <v>31.59</v>
      </c>
      <c r="F855" s="7">
        <v>0.0029842325937028402</v>
      </c>
      <c r="G855" s="48">
        <v>-0.41080057728078023</v>
      </c>
      <c r="H855" s="50">
        <v>10.021922</v>
      </c>
      <c r="I855" s="56">
        <v>1.6400049303118558E-7</v>
      </c>
      <c r="J855" s="56">
        <v>6.616989388226051E-5</v>
      </c>
      <c r="K855" s="50">
        <v>151447.40700833075</v>
      </c>
      <c r="L855" s="56">
        <v>0.002478311986229874</v>
      </c>
      <c r="M855" s="56">
        <v>0.9999338301061177</v>
      </c>
      <c r="N855" s="51">
        <v>-3.588481684361211E-4</v>
      </c>
      <c r="O855" s="7">
        <v>-0.07050959761534725</v>
      </c>
      <c r="P855" s="52">
        <v>53.615123813612534</v>
      </c>
      <c r="Q855" s="30">
        <v>4794.473850279543</v>
      </c>
      <c r="R855" s="13">
        <v>5446.224483507824</v>
      </c>
      <c r="S855" s="56">
        <v>-0.11386496903907502</v>
      </c>
      <c r="T855" s="52">
        <v>291999.99999999994</v>
      </c>
      <c r="U855" s="50">
        <v>151457.42893033076</v>
      </c>
      <c r="V855" s="50">
        <v>-157850.49105136926</v>
      </c>
    </row>
    <row r="856">
      <c r="A856" s="54">
        <v>44800.95995575232</v>
      </c>
      <c r="B856" s="47">
        <v>2.864157645766262</v>
      </c>
      <c r="C856" s="7">
        <v>-0.010858936993420776</v>
      </c>
      <c r="D856" s="48">
        <v>-0.4839355593213942</v>
      </c>
      <c r="E856" s="81">
        <v>31.43</v>
      </c>
      <c r="F856" s="7">
        <v>-0.02219522991566536</v>
      </c>
      <c r="G856" s="48">
        <v>-0.4137848098744831</v>
      </c>
      <c r="H856" s="50">
        <v>10.021922</v>
      </c>
      <c r="I856" s="56">
        <v>-6.817785854286543E-7</v>
      </c>
      <c r="J856" s="56">
        <v>6.650652123947894E-5</v>
      </c>
      <c r="K856" s="50">
        <v>150680.79475615284</v>
      </c>
      <c r="L856" s="56">
        <v>-0.010250622495377162</v>
      </c>
      <c r="M856" s="56">
        <v>0.9999334934787604</v>
      </c>
      <c r="N856" s="51">
        <v>0.011336292922244584</v>
      </c>
      <c r="O856" s="7">
        <v>-0.07015074944691113</v>
      </c>
      <c r="P856" s="52">
        <v>53.615123813612534</v>
      </c>
      <c r="Q856" s="30">
        <v>4794.489872037952</v>
      </c>
      <c r="R856" s="13">
        <v>5446.224483507824</v>
      </c>
      <c r="S856" s="56">
        <v>-0.1138620078296018</v>
      </c>
      <c r="T856" s="52">
        <v>291999.99999999994</v>
      </c>
      <c r="U856" s="50">
        <v>150690.81667815286</v>
      </c>
      <c r="V856" s="50">
        <v>-158617.10330354716</v>
      </c>
    </row>
    <row r="857">
      <c r="A857" s="54">
        <v>44799.959972013894</v>
      </c>
      <c r="B857" s="47">
        <v>2.9244247460797475</v>
      </c>
      <c r="C857" s="7">
        <v>-0.05006851494267206</v>
      </c>
      <c r="D857" s="48">
        <v>-0.47307662232797343</v>
      </c>
      <c r="E857" s="81">
        <v>32.62</v>
      </c>
      <c r="F857" s="7">
        <v>-0.057819506502994056</v>
      </c>
      <c r="G857" s="48">
        <v>-0.3915895799588177</v>
      </c>
      <c r="H857" s="50">
        <v>10.021922</v>
      </c>
      <c r="I857" s="56">
        <v>-3.0787698221875035E-6</v>
      </c>
      <c r="J857" s="56">
        <v>6.513594222478087E-5</v>
      </c>
      <c r="K857" s="50">
        <v>153851.6043582317</v>
      </c>
      <c r="L857" s="56">
        <v>-0.04726375605330546</v>
      </c>
      <c r="M857" s="56">
        <v>0.9999348640577751</v>
      </c>
      <c r="N857" s="51">
        <v>0.007750991560321996</v>
      </c>
      <c r="O857" s="7">
        <v>-0.08148704236915572</v>
      </c>
      <c r="P857" s="52">
        <v>53.615123813612534</v>
      </c>
      <c r="Q857" s="30">
        <v>4716.788052735492</v>
      </c>
      <c r="R857" s="13">
        <v>5446.224483507824</v>
      </c>
      <c r="S857" s="56">
        <v>-0.12822318826429988</v>
      </c>
      <c r="T857" s="52">
        <v>291999.99999999994</v>
      </c>
      <c r="U857" s="50">
        <v>153861.62628023172</v>
      </c>
      <c r="V857" s="50">
        <v>-155446.2937014683</v>
      </c>
    </row>
    <row r="858">
      <c r="A858" s="54">
        <v>44798.95996472222</v>
      </c>
      <c r="B858" s="47">
        <v>3.2023050040115772</v>
      </c>
      <c r="C858" s="7">
        <v>-0.003392187260210844</v>
      </c>
      <c r="D858" s="48">
        <v>-0.42300810738530137</v>
      </c>
      <c r="E858" s="81">
        <v>35.72</v>
      </c>
      <c r="F858" s="7">
        <v>-0.003916805279235103</v>
      </c>
      <c r="G858" s="48">
        <v>-0.33377007345582366</v>
      </c>
      <c r="H858" s="50">
        <v>10.021922</v>
      </c>
      <c r="I858" s="56">
        <v>-1.9048908063765692E-7</v>
      </c>
      <c r="J858" s="56">
        <v>5.948376593196031E-5</v>
      </c>
      <c r="K858" s="50">
        <v>168471.61072149195</v>
      </c>
      <c r="L858" s="56">
        <v>-0.003202180404106341</v>
      </c>
      <c r="M858" s="56">
        <v>0.999940516234068</v>
      </c>
      <c r="N858" s="51">
        <v>5.246180190242589E-4</v>
      </c>
      <c r="O858" s="7">
        <v>-0.08923803392947771</v>
      </c>
      <c r="P858" s="52">
        <v>53.615123813612534</v>
      </c>
      <c r="Q858" s="30">
        <v>4716.731037051847</v>
      </c>
      <c r="R858" s="13">
        <v>5446.224483507824</v>
      </c>
      <c r="S858" s="56">
        <v>-0.1282337261452373</v>
      </c>
      <c r="T858" s="52">
        <v>291999.99999999994</v>
      </c>
      <c r="U858" s="50">
        <v>168481.63264349196</v>
      </c>
      <c r="V858" s="50">
        <v>-140826.28733820806</v>
      </c>
    </row>
    <row r="859">
      <c r="A859" s="54">
        <v>44797.959961238426</v>
      </c>
      <c r="B859" s="47">
        <v>3.2211316433057475</v>
      </c>
      <c r="C859" s="7">
        <v>0.007913747391439241</v>
      </c>
      <c r="D859" s="48">
        <v>-0.4196159201250905</v>
      </c>
      <c r="E859" s="81">
        <v>35.93</v>
      </c>
      <c r="F859" s="7">
        <v>0.00913921231821524</v>
      </c>
      <c r="G859" s="48">
        <v>-0.32985326817658855</v>
      </c>
      <c r="H859" s="50">
        <v>10.021922</v>
      </c>
      <c r="I859" s="56">
        <v>4.4180097518149067E-7</v>
      </c>
      <c r="J859" s="56">
        <v>5.9136099481448345E-5</v>
      </c>
      <c r="K859" s="50">
        <v>169462.12940147353</v>
      </c>
      <c r="L859" s="56">
        <v>0.007470476623735745</v>
      </c>
      <c r="M859" s="56">
        <v>0.9999408639005185</v>
      </c>
      <c r="N859" s="51">
        <v>-0.0012254649267759987</v>
      </c>
      <c r="O859" s="7">
        <v>-0.08976265194850197</v>
      </c>
      <c r="P859" s="52">
        <v>53.615123813612534</v>
      </c>
      <c r="Q859" s="30">
        <v>4716.7311807256765</v>
      </c>
      <c r="R859" s="13">
        <v>5446.224483507824</v>
      </c>
      <c r="S859" s="56">
        <v>-0.1282336995908296</v>
      </c>
      <c r="T859" s="52">
        <v>291999.99999999994</v>
      </c>
      <c r="U859" s="50">
        <v>169472.15132347355</v>
      </c>
      <c r="V859" s="50">
        <v>-139835.76865822647</v>
      </c>
    </row>
    <row r="860">
      <c r="A860" s="54">
        <v>44796.95996900463</v>
      </c>
      <c r="B860" s="47">
        <v>3.17721034528326</v>
      </c>
      <c r="C860" s="7">
        <v>-0.14102182209978087</v>
      </c>
      <c r="D860" s="48">
        <v>-0.42752966751652977</v>
      </c>
      <c r="E860" s="81">
        <v>35.44</v>
      </c>
      <c r="F860" s="7">
        <v>0.015480706579833803</v>
      </c>
      <c r="G860" s="48">
        <v>-0.3389924804948038</v>
      </c>
      <c r="H860" s="50">
        <v>10.021922</v>
      </c>
      <c r="I860" s="56">
        <v>-2.7826162143501537E-6</v>
      </c>
      <c r="J860" s="56">
        <v>5.995358840001117E-5</v>
      </c>
      <c r="K860" s="50">
        <v>167151.31516317325</v>
      </c>
      <c r="L860" s="56">
        <v>-0.046410055857848284</v>
      </c>
      <c r="M860" s="56">
        <v>0.9999400464116</v>
      </c>
      <c r="N860" s="51">
        <v>-0.15650252867961467</v>
      </c>
      <c r="O860" s="7">
        <v>-0.08853718702172597</v>
      </c>
      <c r="P860" s="52">
        <v>53.615123813612534</v>
      </c>
      <c r="Q860" s="30">
        <v>4716.742017075995</v>
      </c>
      <c r="R860" s="13">
        <v>5446.224483507824</v>
      </c>
      <c r="S860" s="56">
        <v>-0.12823169677051502</v>
      </c>
      <c r="T860" s="52">
        <v>291999.99999999994</v>
      </c>
      <c r="U860" s="50">
        <v>167161.33708517326</v>
      </c>
      <c r="V860" s="50">
        <v>-142146.58289652676</v>
      </c>
    </row>
    <row r="861">
      <c r="A861" s="54">
        <v>44795.960042743056</v>
      </c>
      <c r="B861" s="47">
        <v>3.9598814579370436</v>
      </c>
      <c r="C861" s="7">
        <v>-0.04679337564466868</v>
      </c>
      <c r="D861" s="48">
        <v>-0.2865078454167489</v>
      </c>
      <c r="E861" s="81">
        <v>34.61</v>
      </c>
      <c r="F861" s="7">
        <v>-0.04233879992316014</v>
      </c>
      <c r="G861" s="48">
        <v>-0.3544731870746376</v>
      </c>
      <c r="H861" s="50">
        <v>10.021922</v>
      </c>
      <c r="I861" s="56">
        <v>-1.8514026096440928E-6</v>
      </c>
      <c r="J861" s="56">
        <v>4.810375343927741E-5</v>
      </c>
      <c r="K861" s="50">
        <v>208329.68721630928</v>
      </c>
      <c r="L861" s="56">
        <v>-0.038485843990664924</v>
      </c>
      <c r="M861" s="56">
        <v>0.9999518962465607</v>
      </c>
      <c r="N861" s="51">
        <v>-0.004454575721508536</v>
      </c>
      <c r="O861" s="7">
        <v>0.0679653416578887</v>
      </c>
      <c r="P861" s="52">
        <v>53.615123813612534</v>
      </c>
      <c r="Q861" s="30">
        <v>6019.639096743984</v>
      </c>
      <c r="R861" s="13">
        <v>5446.224483507824</v>
      </c>
      <c r="S861" s="56">
        <v>-0.10534925757993428</v>
      </c>
      <c r="T861" s="52">
        <v>291999.99999999994</v>
      </c>
      <c r="U861" s="50">
        <v>208339.7091383093</v>
      </c>
      <c r="V861" s="50">
        <v>-146674.16084339068</v>
      </c>
    </row>
    <row r="862">
      <c r="A862" s="54">
        <v>44794.96109868056</v>
      </c>
      <c r="B862" s="47">
        <v>4.219584692764955</v>
      </c>
      <c r="C862" s="7">
        <v>0.04060425296839065</v>
      </c>
      <c r="D862" s="48">
        <v>-0.23971446977208022</v>
      </c>
      <c r="E862" s="81">
        <v>36.88</v>
      </c>
      <c r="F862" s="7">
        <v>0.03674336380996723</v>
      </c>
      <c r="G862" s="48">
        <v>-0.31213438715147745</v>
      </c>
      <c r="H862" s="50">
        <v>10.021922</v>
      </c>
      <c r="I862" s="56">
        <v>1.5076498794141391E-6</v>
      </c>
      <c r="J862" s="56">
        <v>4.5143106530835204E-5</v>
      </c>
      <c r="K862" s="50">
        <v>221993.35290455254</v>
      </c>
      <c r="L862" s="56">
        <v>0.03339561530585541</v>
      </c>
      <c r="M862" s="56">
        <v>0.9999548568934691</v>
      </c>
      <c r="N862" s="51">
        <v>0.0038608891584234195</v>
      </c>
      <c r="O862" s="7">
        <v>0.07241991737939724</v>
      </c>
      <c r="P862" s="52">
        <v>53.615123813612534</v>
      </c>
      <c r="Q862" s="30">
        <v>6019.61428488483</v>
      </c>
      <c r="R862" s="13">
        <v>5446.224483507824</v>
      </c>
      <c r="S862" s="56">
        <v>-0.1053529451678205</v>
      </c>
      <c r="T862" s="52">
        <v>291999.99999999994</v>
      </c>
      <c r="U862" s="50">
        <v>222003.37482655255</v>
      </c>
      <c r="V862" s="50">
        <v>-133010.49515514742</v>
      </c>
    </row>
    <row r="863">
      <c r="A863" s="54">
        <v>44793.95995729166</v>
      </c>
      <c r="B863" s="47">
        <v>3.9942310887903867</v>
      </c>
      <c r="C863" s="7">
        <v>-0.040818455290084876</v>
      </c>
      <c r="D863" s="48">
        <v>-0.28031872274047087</v>
      </c>
      <c r="E863" s="81">
        <v>34.91</v>
      </c>
      <c r="F863" s="7">
        <v>-0.03692987834707362</v>
      </c>
      <c r="G863" s="48">
        <v>-0.3488777509614447</v>
      </c>
      <c r="H863" s="50">
        <v>10.021922</v>
      </c>
      <c r="I863" s="56">
        <v>-1.6011132758182122E-6</v>
      </c>
      <c r="J863" s="56">
        <v>4.769007027058528E-5</v>
      </c>
      <c r="K863" s="50">
        <v>210136.91103778244</v>
      </c>
      <c r="L863" s="56">
        <v>-0.03357170391088896</v>
      </c>
      <c r="M863" s="56">
        <v>0.9999523099297294</v>
      </c>
      <c r="N863" s="51">
        <v>-0.003888576943011257</v>
      </c>
      <c r="O863" s="7">
        <v>0.06855902822097382</v>
      </c>
      <c r="P863" s="52">
        <v>53.615123813612534</v>
      </c>
      <c r="Q863" s="30">
        <v>6019.677254648595</v>
      </c>
      <c r="R863" s="13">
        <v>5446.224483507824</v>
      </c>
      <c r="S863" s="56">
        <v>-0.10534358647621174</v>
      </c>
      <c r="T863" s="52">
        <v>291999.99999999994</v>
      </c>
      <c r="U863" s="50">
        <v>210146.93295978245</v>
      </c>
      <c r="V863" s="50">
        <v>-144866.93702191752</v>
      </c>
    </row>
    <row r="864">
      <c r="A864" s="54">
        <v>44792.95996795139</v>
      </c>
      <c r="B864" s="47">
        <v>4.220773515650357</v>
      </c>
      <c r="C864" s="7">
        <v>-0.08801668959203413</v>
      </c>
      <c r="D864" s="48">
        <v>-0.239500267450386</v>
      </c>
      <c r="E864" s="81">
        <v>36.89</v>
      </c>
      <c r="F864" s="7">
        <v>-0.07964170734444653</v>
      </c>
      <c r="G864" s="48">
        <v>-0.31194787261437107</v>
      </c>
      <c r="H864" s="50">
        <v>10.021922</v>
      </c>
      <c r="I864" s="56">
        <v>-3.2671694696912483E-6</v>
      </c>
      <c r="J864" s="56">
        <v>4.5130391525407164E-5</v>
      </c>
      <c r="K864" s="50">
        <v>222055.89998248723</v>
      </c>
      <c r="L864" s="56">
        <v>-0.0723907307388339</v>
      </c>
      <c r="M864" s="56">
        <v>0.9999548696084746</v>
      </c>
      <c r="N864" s="51">
        <v>-0.008374982247587592</v>
      </c>
      <c r="O864" s="7">
        <v>0.07244760516398507</v>
      </c>
      <c r="P864" s="52">
        <v>53.615123813612534</v>
      </c>
      <c r="Q864" s="30">
        <v>6019.678013133294</v>
      </c>
      <c r="R864" s="13">
        <v>5446.224483507824</v>
      </c>
      <c r="S864" s="56">
        <v>-0.1053434737487063</v>
      </c>
      <c r="T864" s="52">
        <v>291999.99999999994</v>
      </c>
      <c r="U864" s="50">
        <v>222065.92190448724</v>
      </c>
      <c r="V864" s="50">
        <v>-132947.94807721273</v>
      </c>
    </row>
    <row r="865">
      <c r="A865" s="54">
        <v>44791.95996997685</v>
      </c>
      <c r="B865" s="47">
        <v>4.709266142886147</v>
      </c>
      <c r="C865" s="7">
        <v>0.015459422737919004</v>
      </c>
      <c r="D865" s="48">
        <v>-0.15148357785835187</v>
      </c>
      <c r="E865" s="81">
        <v>41.16</v>
      </c>
      <c r="F865" s="7">
        <v>0.013988590282982383</v>
      </c>
      <c r="G865" s="48">
        <v>-0.23230616526992454</v>
      </c>
      <c r="H865" s="50">
        <v>10.021922</v>
      </c>
      <c r="I865" s="56">
        <v>5.143262836181517E-7</v>
      </c>
      <c r="J865" s="56">
        <v>4.044901169773941E-5</v>
      </c>
      <c r="K865" s="50">
        <v>247756.7733433612</v>
      </c>
      <c r="L865" s="56">
        <v>0.012714908425241755</v>
      </c>
      <c r="M865" s="56">
        <v>0.9999595509883022</v>
      </c>
      <c r="N865" s="51">
        <v>0.0014708324549366214</v>
      </c>
      <c r="O865" s="7">
        <v>0.08082258741157267</v>
      </c>
      <c r="P865" s="52">
        <v>53.615123813612534</v>
      </c>
      <c r="Q865" s="30">
        <v>6019.601439877581</v>
      </c>
      <c r="R865" s="13">
        <v>5446.224483507824</v>
      </c>
      <c r="S865" s="56">
        <v>-0.10535485421836119</v>
      </c>
      <c r="T865" s="52">
        <v>291999.99999999994</v>
      </c>
      <c r="U865" s="50">
        <v>247766.7952653612</v>
      </c>
      <c r="V865" s="50">
        <v>-107247.07471633877</v>
      </c>
    </row>
    <row r="866">
      <c r="A866" s="54">
        <v>44790.96035125</v>
      </c>
      <c r="B866" s="47">
        <v>4.623466346690696</v>
      </c>
      <c r="C866" s="7">
        <v>-0.05915923472903639</v>
      </c>
      <c r="D866" s="48">
        <v>-0.16694300059627087</v>
      </c>
      <c r="E866" s="81">
        <v>40.41</v>
      </c>
      <c r="F866" s="7">
        <v>-0.05352967214954618</v>
      </c>
      <c r="G866" s="48">
        <v>-0.24629475555290692</v>
      </c>
      <c r="H866" s="50">
        <v>10.021922</v>
      </c>
      <c r="I866" s="56">
        <v>-2.0047190959881677E-6</v>
      </c>
      <c r="J866" s="56">
        <v>4.11996426529009E-5</v>
      </c>
      <c r="K866" s="50">
        <v>243242.6219038888</v>
      </c>
      <c r="L866" s="56">
        <v>-0.04865664780557617</v>
      </c>
      <c r="M866" s="56">
        <v>0.9999588003573471</v>
      </c>
      <c r="N866" s="51">
        <v>-0.0056295625794902104</v>
      </c>
      <c r="O866" s="7">
        <v>0.07935175495663604</v>
      </c>
      <c r="P866" s="52">
        <v>53.615123813612534</v>
      </c>
      <c r="Q866" s="30">
        <v>6019.615041472131</v>
      </c>
      <c r="R866" s="13">
        <v>5446.224483507824</v>
      </c>
      <c r="S866" s="56">
        <v>-0.1053528327223101</v>
      </c>
      <c r="T866" s="52">
        <v>291999.99999999994</v>
      </c>
      <c r="U866" s="50">
        <v>243252.6438258888</v>
      </c>
      <c r="V866" s="50">
        <v>-111761.22615581116</v>
      </c>
    </row>
    <row r="867">
      <c r="A867" s="54">
        <v>44789.959982395834</v>
      </c>
      <c r="B867" s="47">
        <v>4.9518000994368485</v>
      </c>
      <c r="C867" s="7">
        <v>-0.014017226055640042</v>
      </c>
      <c r="D867" s="48">
        <v>-0.10778376586723448</v>
      </c>
      <c r="E867" s="81">
        <v>43.28</v>
      </c>
      <c r="F867" s="7">
        <v>-0.012682988523237348</v>
      </c>
      <c r="G867" s="48">
        <v>-0.19276508340336074</v>
      </c>
      <c r="H867" s="50">
        <v>10.021922</v>
      </c>
      <c r="I867" s="56">
        <v>-4.435041149943462E-7</v>
      </c>
      <c r="J867" s="56">
        <v>3.846786168186255E-5</v>
      </c>
      <c r="K867" s="50">
        <v>260517.11844476746</v>
      </c>
      <c r="L867" s="56">
        <v>-0.011528768040374275</v>
      </c>
      <c r="M867" s="56">
        <v>0.9999615321383181</v>
      </c>
      <c r="N867" s="51">
        <v>-0.0013342375324026934</v>
      </c>
      <c r="O867" s="7">
        <v>0.08498131753612626</v>
      </c>
      <c r="P867" s="52">
        <v>53.615123813612534</v>
      </c>
      <c r="Q867" s="30">
        <v>6019.573483520505</v>
      </c>
      <c r="R867" s="13">
        <v>5446.224483507824</v>
      </c>
      <c r="S867" s="56">
        <v>-0.10535900914778655</v>
      </c>
      <c r="T867" s="52">
        <v>291999.99999999994</v>
      </c>
      <c r="U867" s="50">
        <v>260527.14036676747</v>
      </c>
      <c r="V867" s="50">
        <v>-94486.7296149325</v>
      </c>
    </row>
    <row r="868">
      <c r="A868" s="54">
        <v>44788.95995696759</v>
      </c>
      <c r="B868" s="47">
        <v>5.029595704045651</v>
      </c>
      <c r="C868" s="7">
        <v>-0.03153835802467109</v>
      </c>
      <c r="D868" s="48">
        <v>-0.09376653981159444</v>
      </c>
      <c r="E868" s="81">
        <v>43.96</v>
      </c>
      <c r="F868" s="7">
        <v>-0.028536724177284256</v>
      </c>
      <c r="G868" s="48">
        <v>-0.1800820948801234</v>
      </c>
      <c r="H868" s="50">
        <v>10.021922</v>
      </c>
      <c r="I868" s="56">
        <v>-9.824369389628468E-7</v>
      </c>
      <c r="J868" s="56">
        <v>3.787285748398217E-5</v>
      </c>
      <c r="K868" s="50">
        <v>264610.1484530144</v>
      </c>
      <c r="L868" s="56">
        <v>-0.025939414043003324</v>
      </c>
      <c r="M868" s="56">
        <v>0.9999621271425161</v>
      </c>
      <c r="N868" s="51">
        <v>-0.003001633847386831</v>
      </c>
      <c r="O868" s="7">
        <v>0.08631555506852895</v>
      </c>
      <c r="P868" s="52">
        <v>53.615123813612534</v>
      </c>
      <c r="Q868" s="30">
        <v>6019.567114991228</v>
      </c>
      <c r="R868" s="13">
        <v>5446.224483507824</v>
      </c>
      <c r="S868" s="56">
        <v>-0.10535995565128191</v>
      </c>
      <c r="T868" s="52">
        <v>291999.99999999994</v>
      </c>
      <c r="U868" s="50">
        <v>264620.17037501436</v>
      </c>
      <c r="V868" s="50">
        <v>-90393.69960668561</v>
      </c>
    </row>
    <row r="869">
      <c r="A869" s="54">
        <v>44787.959958645835</v>
      </c>
      <c r="B869" s="47">
        <v>5.204633591082575</v>
      </c>
      <c r="C869" s="7">
        <v>-0.02185086931264002</v>
      </c>
      <c r="D869" s="48">
        <v>-0.06222818178692335</v>
      </c>
      <c r="E869" s="81">
        <v>45.49</v>
      </c>
      <c r="F869" s="7">
        <v>-0.019770540933281677</v>
      </c>
      <c r="G869" s="48">
        <v>-0.15154537070283913</v>
      </c>
      <c r="H869" s="50">
        <v>10.021922</v>
      </c>
      <c r="I869" s="56">
        <v>-6.577748131451496E-7</v>
      </c>
      <c r="J869" s="56">
        <v>3.659914919423724E-5</v>
      </c>
      <c r="K869" s="50">
        <v>273819.34899621835</v>
      </c>
      <c r="L869" s="56">
        <v>-0.017971749443022406</v>
      </c>
      <c r="M869" s="56">
        <v>0.9999634008508058</v>
      </c>
      <c r="N869" s="51">
        <v>-0.0020803283793583427</v>
      </c>
      <c r="O869" s="7">
        <v>0.08931718891591578</v>
      </c>
      <c r="P869" s="52">
        <v>53.615123813612534</v>
      </c>
      <c r="Q869" s="30">
        <v>6019.5509104906205</v>
      </c>
      <c r="R869" s="13">
        <v>5446.224483507824</v>
      </c>
      <c r="S869" s="56">
        <v>-0.10536236399641122</v>
      </c>
      <c r="T869" s="52">
        <v>291999.99999999994</v>
      </c>
      <c r="U869" s="50">
        <v>273829.37091821834</v>
      </c>
      <c r="V869" s="50">
        <v>-81184.49906348163</v>
      </c>
    </row>
    <row r="870">
      <c r="A870" s="54">
        <v>44786.95995373843</v>
      </c>
      <c r="B870" s="47">
        <v>5.325905915767727</v>
      </c>
      <c r="C870" s="7">
        <v>0.04039997600977363</v>
      </c>
      <c r="D870" s="48">
        <v>-0.04037731247428333</v>
      </c>
      <c r="E870" s="81">
        <v>46.55</v>
      </c>
      <c r="F870" s="7">
        <v>0.036556849272860625</v>
      </c>
      <c r="G870" s="48">
        <v>-0.13177482976955746</v>
      </c>
      <c r="H870" s="50">
        <v>10.021922</v>
      </c>
      <c r="I870" s="56">
        <v>1.188464729983366E-6</v>
      </c>
      <c r="J870" s="56">
        <v>3.576577662354585E-5</v>
      </c>
      <c r="K870" s="50">
        <v>280199.8028355092</v>
      </c>
      <c r="L870" s="56">
        <v>0.033227916064233566</v>
      </c>
      <c r="M870" s="56">
        <v>0.9999642342233765</v>
      </c>
      <c r="N870" s="51">
        <v>0.003843126736913005</v>
      </c>
      <c r="O870" s="7">
        <v>0.09139751729527412</v>
      </c>
      <c r="P870" s="52">
        <v>53.615123813612534</v>
      </c>
      <c r="Q870" s="30">
        <v>6019.5451075727</v>
      </c>
      <c r="R870" s="13">
        <v>5446.224483507824</v>
      </c>
      <c r="S870" s="56">
        <v>-0.10536322643762118</v>
      </c>
      <c r="T870" s="52">
        <v>291999.99999999994</v>
      </c>
      <c r="U870" s="50">
        <v>280209.82475750917</v>
      </c>
      <c r="V870" s="50">
        <v>-74804.0452241908</v>
      </c>
    </row>
    <row r="871">
      <c r="A871" s="54">
        <v>44785.95995866898</v>
      </c>
      <c r="B871" s="47">
        <v>5.101686048913484</v>
      </c>
      <c r="C871" s="7">
        <v>0.02938947779265122</v>
      </c>
      <c r="D871" s="48">
        <v>-0.08077728848405696</v>
      </c>
      <c r="E871" s="81">
        <v>44.59</v>
      </c>
      <c r="F871" s="7">
        <v>0.025179462509368422</v>
      </c>
      <c r="G871" s="48">
        <v>-0.16833167904241808</v>
      </c>
      <c r="H871" s="50">
        <v>10.021922</v>
      </c>
      <c r="I871" s="56">
        <v>9.025615347583978E-7</v>
      </c>
      <c r="J871" s="56">
        <v>3.733768786927567E-5</v>
      </c>
      <c r="K871" s="50">
        <v>268403.0098406553</v>
      </c>
      <c r="L871" s="56">
        <v>0.024172033318115547</v>
      </c>
      <c r="M871" s="56">
        <v>0.9999626623121308</v>
      </c>
      <c r="N871" s="51">
        <v>0.0042100152832827975</v>
      </c>
      <c r="O871" s="7">
        <v>0.08755439055836112</v>
      </c>
      <c r="P871" s="52">
        <v>53.615123813612534</v>
      </c>
      <c r="Q871" s="30">
        <v>6019.579093129744</v>
      </c>
      <c r="R871" s="13">
        <v>5446.224483507824</v>
      </c>
      <c r="S871" s="56">
        <v>-0.10535817543649754</v>
      </c>
      <c r="T871" s="52">
        <v>291999.99999999994</v>
      </c>
      <c r="U871" s="50">
        <v>268413.0317626553</v>
      </c>
      <c r="V871" s="50">
        <v>-86600.83821904467</v>
      </c>
    </row>
    <row r="872">
      <c r="A872" s="54">
        <v>44784.95996247685</v>
      </c>
      <c r="B872" s="47">
        <v>4.938574447164269</v>
      </c>
      <c r="C872" s="7">
        <v>0.018108499228404185</v>
      </c>
      <c r="D872" s="48">
        <v>-0.11016676627670818</v>
      </c>
      <c r="E872" s="81">
        <v>43.24</v>
      </c>
      <c r="F872" s="7">
        <v>0.016413279265366065</v>
      </c>
      <c r="G872" s="48">
        <v>-0.1935111415517865</v>
      </c>
      <c r="H872" s="50">
        <v>10.008945</v>
      </c>
      <c r="I872" s="56">
        <v>5.737422326434234E-7</v>
      </c>
      <c r="J872" s="56">
        <v>3.852093583949985E-5</v>
      </c>
      <c r="K872" s="50">
        <v>259821.29530220115</v>
      </c>
      <c r="L872" s="56">
        <v>0.014893722570659653</v>
      </c>
      <c r="M872" s="56">
        <v>0.9999614790641604</v>
      </c>
      <c r="N872" s="51">
        <v>0.0016952199630381193</v>
      </c>
      <c r="O872" s="7">
        <v>0.08334437527507832</v>
      </c>
      <c r="P872" s="52">
        <v>53.615123813612534</v>
      </c>
      <c r="Q872" s="30">
        <v>6009.049589435735</v>
      </c>
      <c r="R872" s="13">
        <v>5446.224483507824</v>
      </c>
      <c r="S872" s="56">
        <v>-0.10692309123057829</v>
      </c>
      <c r="T872" s="52">
        <v>291999.99999999994</v>
      </c>
      <c r="U872" s="50">
        <v>259831.30424720116</v>
      </c>
      <c r="V872" s="50">
        <v>-95182.56573449881</v>
      </c>
    </row>
    <row r="873">
      <c r="A873" s="54">
        <v>44783.95995754629</v>
      </c>
      <c r="B873" s="47">
        <v>4.838072276446626</v>
      </c>
      <c r="C873" s="7">
        <v>0.03642033495621766</v>
      </c>
      <c r="D873" s="48">
        <v>-0.12827526550511237</v>
      </c>
      <c r="E873" s="81">
        <v>42.36</v>
      </c>
      <c r="F873" s="7">
        <v>0.033013073067838405</v>
      </c>
      <c r="G873" s="48">
        <v>-0.20992442081715257</v>
      </c>
      <c r="H873" s="50">
        <v>10.008945</v>
      </c>
      <c r="I873" s="56">
        <v>1.177897632138321E-6</v>
      </c>
      <c r="J873" s="56">
        <v>3.932113836826162E-5</v>
      </c>
      <c r="K873" s="50">
        <v>254533.61352750714</v>
      </c>
      <c r="L873" s="56">
        <v>0.029954659624332153</v>
      </c>
      <c r="M873" s="56">
        <v>0.9999606788616318</v>
      </c>
      <c r="N873" s="51">
        <v>0.003407261888379254</v>
      </c>
      <c r="O873" s="7">
        <v>0.0816491553120402</v>
      </c>
      <c r="P873" s="52">
        <v>53.615123813612534</v>
      </c>
      <c r="Q873" s="30">
        <v>6009.056243449178</v>
      </c>
      <c r="R873" s="13">
        <v>5446.224483507824</v>
      </c>
      <c r="S873" s="56">
        <v>-0.10692210229785803</v>
      </c>
      <c r="T873" s="52">
        <v>291999.99999999994</v>
      </c>
      <c r="U873" s="50">
        <v>254543.62247250715</v>
      </c>
      <c r="V873" s="50">
        <v>-100470.24750919282</v>
      </c>
    </row>
    <row r="874">
      <c r="A874" s="54">
        <v>44782.95998584491</v>
      </c>
      <c r="B874" s="47">
        <v>4.6359394174396185</v>
      </c>
      <c r="C874" s="7">
        <v>0.12047656783700933</v>
      </c>
      <c r="D874" s="48">
        <v>-0.16469560046133003</v>
      </c>
      <c r="E874" s="81">
        <v>40.59</v>
      </c>
      <c r="F874" s="7">
        <v>-0.06653193550279246</v>
      </c>
      <c r="G874" s="48">
        <v>-0.24293749388499097</v>
      </c>
      <c r="H874" s="50">
        <v>10.008945</v>
      </c>
      <c r="I874" s="56">
        <v>3.8462997439600324E-7</v>
      </c>
      <c r="J874" s="56">
        <v>4.1035590047221765E-5</v>
      </c>
      <c r="K874" s="50">
        <v>243898.87572029157</v>
      </c>
      <c r="L874" s="56">
        <v>0.009372697954031091</v>
      </c>
      <c r="M874" s="56">
        <v>0.9999589644099527</v>
      </c>
      <c r="N874" s="51">
        <v>0.1870085033398018</v>
      </c>
      <c r="O874" s="7">
        <v>0.07824189342366095</v>
      </c>
      <c r="P874" s="52">
        <v>53.615123813612534</v>
      </c>
      <c r="Q874" s="30">
        <v>6009.088067634678</v>
      </c>
      <c r="R874" s="13">
        <v>5446.224483507824</v>
      </c>
      <c r="S874" s="56">
        <v>-0.10691737252407474</v>
      </c>
      <c r="T874" s="52">
        <v>291999.99999999994</v>
      </c>
      <c r="U874" s="50">
        <v>243908.88466529158</v>
      </c>
      <c r="V874" s="50">
        <v>-111104.98531640839</v>
      </c>
    </row>
    <row r="875">
      <c r="A875" s="54">
        <v>44781.95996489583</v>
      </c>
      <c r="B875" s="47">
        <v>3.9672944659442164</v>
      </c>
      <c r="C875" s="7">
        <v>0.2176500175264583</v>
      </c>
      <c r="D875" s="48">
        <v>-0.28517216829833936</v>
      </c>
      <c r="E875" s="81">
        <v>42.52</v>
      </c>
      <c r="F875" s="7">
        <v>0.17212184511728623</v>
      </c>
      <c r="G875" s="48">
        <v>-0.1764055583821985</v>
      </c>
      <c r="H875" s="50">
        <v>10.008945</v>
      </c>
      <c r="I875" s="56">
        <v>1.0177986259230449E-5</v>
      </c>
      <c r="J875" s="56">
        <v>4.746405443934152E-5</v>
      </c>
      <c r="K875" s="50">
        <v>210864.20140698983</v>
      </c>
      <c r="L875" s="56">
        <v>0.21442549084683193</v>
      </c>
      <c r="M875" s="56">
        <v>0.9999525359455607</v>
      </c>
      <c r="N875" s="51">
        <v>0.04552817240917206</v>
      </c>
      <c r="O875" s="7">
        <v>-0.10876660991614084</v>
      </c>
      <c r="P875" s="52">
        <v>51.62735182680106</v>
      </c>
      <c r="Q875" s="30">
        <v>4959.412284853947</v>
      </c>
      <c r="R875" s="13">
        <v>5714.025406332346</v>
      </c>
      <c r="S875" s="56">
        <v>-0.12673511522467343</v>
      </c>
      <c r="T875" s="52">
        <v>294999.99999999994</v>
      </c>
      <c r="U875" s="50">
        <v>210874.21035198984</v>
      </c>
      <c r="V875" s="50">
        <v>-100302.37019581022</v>
      </c>
    </row>
    <row r="876">
      <c r="A876" s="54">
        <v>44780.95995737269</v>
      </c>
      <c r="B876" s="47">
        <v>2.7593368686723734</v>
      </c>
      <c r="C876" s="7">
        <v>0.006976955651514016</v>
      </c>
      <c r="D876" s="48">
        <v>-0.5028221858247977</v>
      </c>
      <c r="E876" s="81">
        <v>41.32</v>
      </c>
      <c r="F876" s="7">
        <v>0.009144581461043022</v>
      </c>
      <c r="G876" s="48">
        <v>-0.34852740349948474</v>
      </c>
      <c r="H876" s="50">
        <v>10.008945</v>
      </c>
      <c r="I876" s="56">
        <v>6.642978035518251E-7</v>
      </c>
      <c r="J876" s="56">
        <v>1.0219045573353662E-4</v>
      </c>
      <c r="K876" s="50">
        <v>97934.02044751488</v>
      </c>
      <c r="L876" s="56">
        <v>0.006499921288036218</v>
      </c>
      <c r="M876" s="56">
        <v>0.9998978095442665</v>
      </c>
      <c r="N876" s="51">
        <v>-0.0021676258095290057</v>
      </c>
      <c r="O876" s="7">
        <v>-0.1542947823253129</v>
      </c>
      <c r="P876" s="52">
        <v>63.425538114660085</v>
      </c>
      <c r="Q876" s="30">
        <v>2370.378252480999</v>
      </c>
      <c r="R876" s="13">
        <v>3106.0043928025534</v>
      </c>
      <c r="S876" s="56">
        <v>-0.2309410547762785</v>
      </c>
      <c r="T876" s="52">
        <v>197000.0</v>
      </c>
      <c r="U876" s="50">
        <v>97944.02939251487</v>
      </c>
      <c r="V876" s="50">
        <v>-113492.34740748507</v>
      </c>
    </row>
    <row r="877">
      <c r="A877" s="54">
        <v>44779.95996533565</v>
      </c>
      <c r="B877" s="47">
        <v>2.72061476480647</v>
      </c>
      <c r="C877" s="7">
        <v>0.003006947963249851</v>
      </c>
      <c r="D877" s="48">
        <v>-0.5097991414763117</v>
      </c>
      <c r="E877" s="81">
        <v>40.74</v>
      </c>
      <c r="F877" s="7">
        <v>0.003941629940104829</v>
      </c>
      <c r="G877" s="48">
        <v>-0.35767198496052777</v>
      </c>
      <c r="H877" s="50">
        <v>10.008945</v>
      </c>
      <c r="I877" s="56">
        <v>2.9037581360505585E-7</v>
      </c>
      <c r="J877" s="56">
        <v>1.0364491723694594E-4</v>
      </c>
      <c r="K877" s="50">
        <v>96559.56018416659</v>
      </c>
      <c r="L877" s="56">
        <v>0.0028013502771594536</v>
      </c>
      <c r="M877" s="56">
        <v>0.9998963550827631</v>
      </c>
      <c r="N877" s="51">
        <v>-9.346819768549786E-4</v>
      </c>
      <c r="O877" s="7">
        <v>-0.1521271565157839</v>
      </c>
      <c r="P877" s="52">
        <v>63.425538114660085</v>
      </c>
      <c r="Q877" s="30">
        <v>2370.3870674807704</v>
      </c>
      <c r="R877" s="13">
        <v>3106.0043928025534</v>
      </c>
      <c r="S877" s="56">
        <v>-0.2309381947878276</v>
      </c>
      <c r="T877" s="52">
        <v>197000.0</v>
      </c>
      <c r="U877" s="50">
        <v>96569.56912916659</v>
      </c>
      <c r="V877" s="50">
        <v>-114866.80767083335</v>
      </c>
    </row>
    <row r="878">
      <c r="A878" s="54">
        <v>44778.9599628125</v>
      </c>
      <c r="B878" s="47">
        <v>2.7039262036104335</v>
      </c>
      <c r="C878" s="7">
        <v>0.025186826399758666</v>
      </c>
      <c r="D878" s="48">
        <v>-0.5128060894395615</v>
      </c>
      <c r="E878" s="81">
        <v>40.49</v>
      </c>
      <c r="F878" s="7">
        <v>0.029168061556775204</v>
      </c>
      <c r="G878" s="48">
        <v>-0.3616136149006326</v>
      </c>
      <c r="H878" s="50">
        <v>10.008945</v>
      </c>
      <c r="I878" s="56">
        <v>2.4472604525178996E-6</v>
      </c>
      <c r="J878" s="56">
        <v>1.0428461093186161E-4</v>
      </c>
      <c r="K878" s="50">
        <v>95967.19143540639</v>
      </c>
      <c r="L878" s="56">
        <v>0.02346468207579166</v>
      </c>
      <c r="M878" s="56">
        <v>0.9998957153890682</v>
      </c>
      <c r="N878" s="51">
        <v>-0.003981235157016538</v>
      </c>
      <c r="O878" s="7">
        <v>-0.15119247453892892</v>
      </c>
      <c r="P878" s="52">
        <v>63.425538114660085</v>
      </c>
      <c r="Q878" s="30">
        <v>2370.392698948046</v>
      </c>
      <c r="R878" s="13">
        <v>3106.0043928025534</v>
      </c>
      <c r="S878" s="56">
        <v>-0.23093636768269005</v>
      </c>
      <c r="T878" s="52">
        <v>197000.0</v>
      </c>
      <c r="U878" s="50">
        <v>95977.20038040639</v>
      </c>
      <c r="V878" s="50">
        <v>-115459.17641959355</v>
      </c>
    </row>
    <row r="879">
      <c r="A879" s="54">
        <v>44777.959957847226</v>
      </c>
      <c r="B879" s="47">
        <v>2.5641393170917732</v>
      </c>
      <c r="C879" s="7">
        <v>-0.012550609819959702</v>
      </c>
      <c r="D879" s="48">
        <v>-0.5379929158393202</v>
      </c>
      <c r="E879" s="81">
        <v>38.64</v>
      </c>
      <c r="F879" s="7">
        <v>-0.016554845748439906</v>
      </c>
      <c r="G879" s="48">
        <v>-0.3907816764574078</v>
      </c>
      <c r="H879" s="50">
        <v>10.008945</v>
      </c>
      <c r="I879" s="56">
        <v>-1.6458968991568493E-5</v>
      </c>
      <c r="J879" s="56">
        <v>1.0996980166108791E-4</v>
      </c>
      <c r="K879" s="50">
        <v>91005.38663465394</v>
      </c>
      <c r="L879" s="7">
        <v>-0.011692397849875283</v>
      </c>
      <c r="M879" s="56">
        <v>0.999890030198339</v>
      </c>
      <c r="N879" s="51">
        <v>0.004004235928480204</v>
      </c>
      <c r="O879" s="7">
        <v>-0.14721123938191238</v>
      </c>
      <c r="P879" s="52">
        <v>63.425538114660085</v>
      </c>
      <c r="Q879" s="13">
        <v>2355.4709000945636</v>
      </c>
      <c r="R879" s="13">
        <v>3106.0043928025534</v>
      </c>
      <c r="S879" s="7">
        <v>-0.23577768061453475</v>
      </c>
      <c r="T879" s="52">
        <v>197000.0</v>
      </c>
      <c r="U879" s="50">
        <v>91015.39557965394</v>
      </c>
      <c r="V879" s="52">
        <v>-120420.981220346</v>
      </c>
    </row>
    <row r="880">
      <c r="A880" s="54">
        <v>44776.95996590277</v>
      </c>
      <c r="B880" s="47">
        <v>2.6337952015925494</v>
      </c>
      <c r="C880" s="7">
        <v>-0.021275976630405258</v>
      </c>
      <c r="D880" s="48">
        <v>-0.5254423060193605</v>
      </c>
      <c r="E880" s="81">
        <v>39.69</v>
      </c>
      <c r="F880" s="7">
        <v>-0.028064405173546025</v>
      </c>
      <c r="G880" s="48">
        <v>-0.3742268307089679</v>
      </c>
      <c r="H880" s="50">
        <v>10.008945</v>
      </c>
      <c r="I880" s="56">
        <v>-2.122311270270885E-6</v>
      </c>
      <c r="J880" s="56">
        <v>1.0706143437480602E-4</v>
      </c>
      <c r="K880" s="50">
        <v>93477.856769186</v>
      </c>
      <c r="L880" s="56">
        <v>-0.019821180847932617</v>
      </c>
      <c r="M880" s="56">
        <v>0.9998929385656252</v>
      </c>
      <c r="N880" s="51">
        <v>0.006788428543140768</v>
      </c>
      <c r="O880" s="7">
        <v>-0.1512154753103926</v>
      </c>
      <c r="P880" s="52">
        <v>63.425538114660085</v>
      </c>
      <c r="Q880" s="30">
        <v>2355.4513911359536</v>
      </c>
      <c r="R880" s="13">
        <v>3106.0043928025534</v>
      </c>
      <c r="S880" s="56">
        <v>-0.23578401021155806</v>
      </c>
      <c r="T880" s="52">
        <v>197000.0</v>
      </c>
      <c r="U880" s="50">
        <v>93487.86571418599</v>
      </c>
      <c r="V880" s="50">
        <v>-117948.51108581395</v>
      </c>
    </row>
    <row r="881">
      <c r="A881" s="54">
        <v>44775.95996877315</v>
      </c>
      <c r="B881" s="47">
        <v>2.7518768718912985</v>
      </c>
      <c r="C881" s="7">
        <v>0.00346744183883807</v>
      </c>
      <c r="D881" s="48">
        <v>-0.5041663293889552</v>
      </c>
      <c r="E881" s="81">
        <v>41.47</v>
      </c>
      <c r="F881" s="7">
        <v>0.0045722907305215665</v>
      </c>
      <c r="G881" s="48">
        <v>-0.34616242553542187</v>
      </c>
      <c r="H881" s="50">
        <v>10.008945</v>
      </c>
      <c r="I881" s="56">
        <v>3.310409844085756E-7</v>
      </c>
      <c r="J881" s="56">
        <v>1.0246748138051072E-4</v>
      </c>
      <c r="K881" s="50">
        <v>97669.22416537582</v>
      </c>
      <c r="L881" s="56">
        <v>0.0032303620525567732</v>
      </c>
      <c r="M881" s="56">
        <v>0.9998975325186196</v>
      </c>
      <c r="N881" s="51">
        <v>-0.0011048488916834964</v>
      </c>
      <c r="O881" s="7">
        <v>-0.15800390385353336</v>
      </c>
      <c r="P881" s="52">
        <v>63.425538114660085</v>
      </c>
      <c r="Q881" s="30">
        <v>2355.41917314627</v>
      </c>
      <c r="R881" s="13">
        <v>3106.0043928025534</v>
      </c>
      <c r="S881" s="56">
        <v>-0.2357944631986023</v>
      </c>
      <c r="T881" s="52">
        <v>197000.0</v>
      </c>
      <c r="U881" s="50">
        <v>97679.23311037582</v>
      </c>
      <c r="V881" s="50">
        <v>-113757.14368962412</v>
      </c>
    </row>
    <row r="882">
      <c r="A882" s="54">
        <v>44774.95996125</v>
      </c>
      <c r="B882" s="47">
        <v>2.732632569685747</v>
      </c>
      <c r="C882" s="7">
        <v>-0.02521949940847501</v>
      </c>
      <c r="D882" s="48">
        <v>-0.5076337712277933</v>
      </c>
      <c r="E882" s="81">
        <v>41.18</v>
      </c>
      <c r="F882" s="7">
        <v>-0.03326735669448422</v>
      </c>
      <c r="G882" s="48">
        <v>-0.35073471626594344</v>
      </c>
      <c r="H882" s="50">
        <v>10.008945</v>
      </c>
      <c r="I882" s="56">
        <v>-2.424693227271525E-6</v>
      </c>
      <c r="J882" s="56">
        <v>1.031890987687405E-4</v>
      </c>
      <c r="K882" s="50">
        <v>96986.13812312472</v>
      </c>
      <c r="L882" s="56">
        <v>-0.02349514681580937</v>
      </c>
      <c r="M882" s="56">
        <v>0.9998968109012313</v>
      </c>
      <c r="N882" s="51">
        <v>0.008047857286009208</v>
      </c>
      <c r="O882" s="7">
        <v>-0.15689905496184986</v>
      </c>
      <c r="P882" s="52">
        <v>63.425538114660085</v>
      </c>
      <c r="Q882" s="30">
        <v>2355.41882146976</v>
      </c>
      <c r="R882" s="13">
        <v>3106.0043928025534</v>
      </c>
      <c r="S882" s="56">
        <v>-0.235794577298521</v>
      </c>
      <c r="T882" s="52">
        <v>197000.0</v>
      </c>
      <c r="U882" s="50">
        <v>96996.14706812472</v>
      </c>
      <c r="V882" s="50">
        <v>-114440.22973187522</v>
      </c>
    </row>
    <row r="883">
      <c r="A883" s="54">
        <v>44773.95995862268</v>
      </c>
      <c r="B883" s="47">
        <v>2.8726007914027836</v>
      </c>
      <c r="C883" s="7">
        <v>-0.019486456296567423</v>
      </c>
      <c r="D883" s="48">
        <v>-0.4824142718193183</v>
      </c>
      <c r="E883" s="81">
        <v>43.29</v>
      </c>
      <c r="F883" s="7">
        <v>-0.02569942720948304</v>
      </c>
      <c r="G883" s="48">
        <v>-0.3174673595714592</v>
      </c>
      <c r="H883" s="50">
        <v>10.008945</v>
      </c>
      <c r="I883" s="56">
        <v>-1.782211205188767E-6</v>
      </c>
      <c r="J883" s="56">
        <v>9.816118305609769E-5</v>
      </c>
      <c r="K883" s="50">
        <v>101954.3795065943</v>
      </c>
      <c r="L883" s="56">
        <v>-0.01815418483913343</v>
      </c>
      <c r="M883" s="56">
        <v>0.9999018388169439</v>
      </c>
      <c r="N883" s="51">
        <v>0.006212970912915616</v>
      </c>
      <c r="O883" s="7">
        <v>-0.16494691224785907</v>
      </c>
      <c r="P883" s="52">
        <v>63.425538114660085</v>
      </c>
      <c r="Q883" s="30">
        <v>2355.379728611557</v>
      </c>
      <c r="R883" s="13">
        <v>3106.0043928025534</v>
      </c>
      <c r="S883" s="56">
        <v>-0.23580726080684467</v>
      </c>
      <c r="T883" s="52">
        <v>197000.0</v>
      </c>
      <c r="U883" s="50">
        <v>101964.38845159429</v>
      </c>
      <c r="V883" s="50">
        <v>-109471.98834840565</v>
      </c>
    </row>
    <row r="884">
      <c r="A884" s="54">
        <v>44772.95996572917</v>
      </c>
      <c r="B884" s="47">
        <v>2.9807506238487327</v>
      </c>
      <c r="C884" s="7">
        <v>0.03872764362235148</v>
      </c>
      <c r="D884" s="48">
        <v>-0.46292781552275086</v>
      </c>
      <c r="E884" s="81">
        <v>44.92</v>
      </c>
      <c r="F884" s="7">
        <v>0.05108352402375771</v>
      </c>
      <c r="G884" s="48">
        <v>-0.2917679323619762</v>
      </c>
      <c r="H884" s="50">
        <v>10.008945</v>
      </c>
      <c r="I884" s="56">
        <v>3.4134772090317847E-6</v>
      </c>
      <c r="J884" s="56">
        <v>9.459962530105622E-5</v>
      </c>
      <c r="K884" s="50">
        <v>105793.2113970181</v>
      </c>
      <c r="L884" s="56">
        <v>0.036079998039154265</v>
      </c>
      <c r="M884" s="56">
        <v>0.999905400374699</v>
      </c>
      <c r="N884" s="51">
        <v>-0.012355880401406227</v>
      </c>
      <c r="O884" s="7">
        <v>-0.17115988316077468</v>
      </c>
      <c r="P884" s="52">
        <v>63.425538114660085</v>
      </c>
      <c r="Q884" s="30">
        <v>2355.369998709218</v>
      </c>
      <c r="R884" s="13">
        <v>3106.0043928025534</v>
      </c>
      <c r="S884" s="56">
        <v>-0.23581041763146618</v>
      </c>
      <c r="T884" s="52">
        <v>197000.0</v>
      </c>
      <c r="U884" s="50">
        <v>105803.22034201809</v>
      </c>
      <c r="V884" s="50">
        <v>-105633.15645798185</v>
      </c>
    </row>
    <row r="885">
      <c r="A885" s="54">
        <v>44771.95995988426</v>
      </c>
      <c r="B885" s="47">
        <v>2.765812201744682</v>
      </c>
      <c r="C885" s="7">
        <v>-0.01762517126874874</v>
      </c>
      <c r="D885" s="48">
        <v>-0.5016554591451023</v>
      </c>
      <c r="E885" s="81">
        <v>41.68</v>
      </c>
      <c r="F885" s="7">
        <v>-0.02648775319750396</v>
      </c>
      <c r="G885" s="48">
        <v>-0.3428514563857339</v>
      </c>
      <c r="H885" s="50">
        <v>10.008945</v>
      </c>
      <c r="I885" s="56">
        <v>-1.674218881232237E-6</v>
      </c>
      <c r="J885" s="56">
        <v>1.0195120693809481E-4</v>
      </c>
      <c r="K885" s="50">
        <v>98163.86560341484</v>
      </c>
      <c r="L885" s="56">
        <v>-0.016420091952546536</v>
      </c>
      <c r="M885" s="56">
        <v>0.999898048793062</v>
      </c>
      <c r="N885" s="51">
        <v>0.00886258192875522</v>
      </c>
      <c r="O885" s="7">
        <v>-0.15880400275936846</v>
      </c>
      <c r="P885" s="52">
        <v>63.425538114660085</v>
      </c>
      <c r="Q885" s="30">
        <v>2355.419255000356</v>
      </c>
      <c r="R885" s="13">
        <v>3106.0043928025534</v>
      </c>
      <c r="S885" s="56">
        <v>-0.23579443664139915</v>
      </c>
      <c r="T885" s="52">
        <v>197000.0</v>
      </c>
      <c r="U885" s="50">
        <v>98173.87454841484</v>
      </c>
      <c r="V885" s="50">
        <v>-113262.5022515851</v>
      </c>
    </row>
    <row r="886">
      <c r="A886" s="54">
        <v>44770.95996576389</v>
      </c>
      <c r="B886" s="47">
        <v>2.8636319022862375</v>
      </c>
      <c r="C886" s="7">
        <v>0.0441428276269602</v>
      </c>
      <c r="D886" s="48">
        <v>-0.4840302878763536</v>
      </c>
      <c r="E886" s="81">
        <v>43.36</v>
      </c>
      <c r="F886" s="7">
        <v>0.05975510989198818</v>
      </c>
      <c r="G886" s="48">
        <v>-0.3163637031882299</v>
      </c>
      <c r="H886" s="50">
        <v>2124.046045</v>
      </c>
      <c r="I886" s="56">
        <v>8.594490961395221E-4</v>
      </c>
      <c r="J886" s="56">
        <v>0.02089649715079703</v>
      </c>
      <c r="K886" s="50">
        <v>99521.98724335834</v>
      </c>
      <c r="L886" s="56">
        <v>0.04026941044129454</v>
      </c>
      <c r="M886" s="56">
        <v>0.979103502849203</v>
      </c>
      <c r="N886" s="51">
        <v>-0.015612282265027977</v>
      </c>
      <c r="O886" s="7">
        <v>-0.16766658468812368</v>
      </c>
      <c r="P886" s="52">
        <v>63.425538114660085</v>
      </c>
      <c r="Q886" s="30">
        <v>2344.235085063615</v>
      </c>
      <c r="R886" s="13">
        <v>3106.0043928025534</v>
      </c>
      <c r="S886" s="56">
        <v>-0.23942309207888057</v>
      </c>
      <c r="T886" s="52">
        <v>197000.0</v>
      </c>
      <c r="U886" s="50">
        <v>101646.03328835833</v>
      </c>
      <c r="V886" s="50">
        <v>-109790.34351164161</v>
      </c>
    </row>
    <row r="887">
      <c r="A887" s="54">
        <v>44769.95997833333</v>
      </c>
      <c r="B887" s="47">
        <v>2.618639208956608</v>
      </c>
      <c r="C887" s="7">
        <v>0.05012687870032517</v>
      </c>
      <c r="D887" s="48">
        <v>-0.5281731155033138</v>
      </c>
      <c r="E887" s="81">
        <v>39.57</v>
      </c>
      <c r="F887" s="7">
        <v>0.06779603496980191</v>
      </c>
      <c r="G887" s="48">
        <v>-0.3761188130802181</v>
      </c>
      <c r="H887" s="50">
        <v>2124.046045</v>
      </c>
      <c r="I887" s="56">
        <v>0.0010672648312968019</v>
      </c>
      <c r="J887" s="56">
        <v>0.022851516040233326</v>
      </c>
      <c r="K887" s="50">
        <v>90825.85020084717</v>
      </c>
      <c r="L887" s="56">
        <v>0.04563706889508403</v>
      </c>
      <c r="M887" s="56">
        <v>0.9771484839597667</v>
      </c>
      <c r="N887" s="51">
        <v>-0.017669156269476738</v>
      </c>
      <c r="O887" s="7">
        <v>-0.1520543024230957</v>
      </c>
      <c r="P887" s="52">
        <v>63.425538114660085</v>
      </c>
      <c r="Q887" s="30">
        <v>2348.999146976173</v>
      </c>
      <c r="R887" s="13">
        <v>3106.0043928025534</v>
      </c>
      <c r="S887" s="56">
        <v>-0.237877412849999</v>
      </c>
      <c r="T887" s="52">
        <v>197000.0</v>
      </c>
      <c r="U887" s="50">
        <v>92949.89624584717</v>
      </c>
      <c r="V887" s="50">
        <v>-118486.48055415277</v>
      </c>
    </row>
    <row r="888">
      <c r="A888" s="54">
        <v>44768.95995528935</v>
      </c>
      <c r="B888" s="47">
        <v>2.3404350321698035</v>
      </c>
      <c r="C888" s="7">
        <v>-0.03983742656717515</v>
      </c>
      <c r="D888" s="48">
        <v>-0.578299994203639</v>
      </c>
      <c r="E888" s="81">
        <v>35.27</v>
      </c>
      <c r="F888" s="7">
        <v>-0.05392149758063314</v>
      </c>
      <c r="G888" s="48">
        <v>-0.44391484805002</v>
      </c>
      <c r="H888" s="50">
        <v>2121.4089360000003</v>
      </c>
      <c r="I888" s="56">
        <v>-9.478341559532582E-4</v>
      </c>
      <c r="J888" s="56">
        <v>0.025536099433652756</v>
      </c>
      <c r="K888" s="50">
        <v>80953.49220588311</v>
      </c>
      <c r="L888" s="56">
        <v>-0.0361695869449434</v>
      </c>
      <c r="M888" s="56">
        <v>0.9744639005663471</v>
      </c>
      <c r="N888" s="51">
        <v>0.014084071013457988</v>
      </c>
      <c r="O888" s="7">
        <v>-0.13438514615361896</v>
      </c>
      <c r="P888" s="52">
        <v>63.425538114660085</v>
      </c>
      <c r="Q888" s="30">
        <v>2355.3983879184325</v>
      </c>
      <c r="R888" s="13">
        <v>3106.0043928025534</v>
      </c>
      <c r="S888" s="56">
        <v>-0.23580120687564218</v>
      </c>
      <c r="T888" s="52">
        <v>197000.0</v>
      </c>
      <c r="U888" s="50">
        <v>83074.90114188312</v>
      </c>
      <c r="V888" s="50">
        <v>-128361.47565811682</v>
      </c>
    </row>
    <row r="889">
      <c r="A889" s="54">
        <v>44767.95996378472</v>
      </c>
      <c r="B889" s="47">
        <v>2.5615327496176254</v>
      </c>
      <c r="C889" s="7">
        <v>-0.031452449508874825</v>
      </c>
      <c r="D889" s="48">
        <v>-0.5384625676364638</v>
      </c>
      <c r="E889" s="81">
        <v>38.69</v>
      </c>
      <c r="F889" s="7">
        <v>-0.042569603353131424</v>
      </c>
      <c r="G889" s="48">
        <v>-0.3899933504693869</v>
      </c>
      <c r="H889" s="50">
        <v>2121.4089360000003</v>
      </c>
      <c r="I889" s="56">
        <v>-6.837419559770915E-4</v>
      </c>
      <c r="J889" s="56">
        <v>0.02333196079902314</v>
      </c>
      <c r="K889" s="50">
        <v>88801.4652396166</v>
      </c>
      <c r="L889" s="56">
        <v>-0.02862120853089833</v>
      </c>
      <c r="M889" s="56">
        <v>0.9766680392009768</v>
      </c>
      <c r="N889" s="51">
        <v>0.0111171538442566</v>
      </c>
      <c r="O889" s="7">
        <v>-0.14846921716707695</v>
      </c>
      <c r="P889" s="52">
        <v>63.425538114660085</v>
      </c>
      <c r="Q889" s="30">
        <v>2350.0355175915383</v>
      </c>
      <c r="R889" s="13">
        <v>3106.0043928025534</v>
      </c>
      <c r="S889" s="56">
        <v>-0.2375411668979112</v>
      </c>
      <c r="T889" s="52">
        <v>197000.0</v>
      </c>
      <c r="U889" s="50">
        <v>90922.87417561661</v>
      </c>
      <c r="V889" s="50">
        <v>-120513.50262438333</v>
      </c>
    </row>
    <row r="890">
      <c r="A890" s="54">
        <v>44766.95995399306</v>
      </c>
      <c r="B890" s="47">
        <v>2.7360938443918807</v>
      </c>
      <c r="C890" s="7">
        <v>0.02331203105348867</v>
      </c>
      <c r="D890" s="48">
        <v>-0.507010118127589</v>
      </c>
      <c r="E890" s="81">
        <v>41.39</v>
      </c>
      <c r="F890" s="7">
        <v>0.03153303952083808</v>
      </c>
      <c r="G890" s="48">
        <v>-0.34742374711625545</v>
      </c>
      <c r="H890" s="50">
        <v>2121.4089360000003</v>
      </c>
      <c r="I890" s="56">
        <v>4.744460036797533E-4</v>
      </c>
      <c r="J890" s="56">
        <v>0.02184339613277255</v>
      </c>
      <c r="K890" s="50">
        <v>94997.59779286495</v>
      </c>
      <c r="L890" s="56">
        <v>0.02124589458786051</v>
      </c>
      <c r="M890" s="56">
        <v>0.9781566038672274</v>
      </c>
      <c r="N890" s="51">
        <v>-0.008221008467349411</v>
      </c>
      <c r="O890" s="7">
        <v>-0.15958637101133355</v>
      </c>
      <c r="P890" s="52">
        <v>63.425538114660085</v>
      </c>
      <c r="Q890" s="30">
        <v>2346.436499851775</v>
      </c>
      <c r="R890" s="13">
        <v>3106.0043928025534</v>
      </c>
      <c r="S890" s="56">
        <v>-0.23870885259697078</v>
      </c>
      <c r="T890" s="52">
        <v>197000.0</v>
      </c>
      <c r="U890" s="50">
        <v>97119.00672886496</v>
      </c>
      <c r="V890" s="50">
        <v>-114317.37007113498</v>
      </c>
    </row>
    <row r="891">
      <c r="A891" s="54">
        <v>44765.95996918982</v>
      </c>
      <c r="B891" s="47">
        <v>2.6067120720450188</v>
      </c>
      <c r="C891" s="7">
        <v>-0.017239508159066053</v>
      </c>
      <c r="D891" s="48">
        <v>-0.5303221491810777</v>
      </c>
      <c r="E891" s="81">
        <v>39.39</v>
      </c>
      <c r="F891" s="7">
        <v>-0.023334449245420164</v>
      </c>
      <c r="G891" s="48">
        <v>-0.37895678663709353</v>
      </c>
      <c r="H891" s="50">
        <v>2118.352652</v>
      </c>
      <c r="I891" s="56">
        <v>-3.6774209335399554E-4</v>
      </c>
      <c r="J891" s="56">
        <v>0.022894541712919336</v>
      </c>
      <c r="K891" s="50">
        <v>90408.1839593277</v>
      </c>
      <c r="L891" s="56">
        <v>-0.015694693135322346</v>
      </c>
      <c r="M891" s="56">
        <v>0.9771054582870806</v>
      </c>
      <c r="N891" s="51">
        <v>0.006094941086354111</v>
      </c>
      <c r="O891" s="7">
        <v>-0.15136536254398414</v>
      </c>
      <c r="P891" s="52">
        <v>63.425538114660085</v>
      </c>
      <c r="Q891" s="30">
        <v>2348.985443293417</v>
      </c>
      <c r="R891" s="13">
        <v>3106.0043928025534</v>
      </c>
      <c r="S891" s="56">
        <v>-0.23788185895044517</v>
      </c>
      <c r="T891" s="52">
        <v>197000.0</v>
      </c>
      <c r="U891" s="50">
        <v>92526.5366113277</v>
      </c>
      <c r="V891" s="50">
        <v>-118909.84018867224</v>
      </c>
    </row>
    <row r="892">
      <c r="A892" s="54">
        <v>44764.9599681713</v>
      </c>
      <c r="B892" s="47">
        <v>2.7023913423278354</v>
      </c>
      <c r="C892" s="7">
        <v>-0.025429912606045546</v>
      </c>
      <c r="D892" s="48">
        <v>-0.5130826410220116</v>
      </c>
      <c r="E892" s="81">
        <v>40.87</v>
      </c>
      <c r="F892" s="7">
        <v>-0.037524317029797416</v>
      </c>
      <c r="G892" s="48">
        <v>-0.35562233739167337</v>
      </c>
      <c r="H892" s="50">
        <v>2118.352652</v>
      </c>
      <c r="I892" s="7">
        <v>-5.232487055790229E-4</v>
      </c>
      <c r="J892" s="56">
        <v>0.02208395110369073</v>
      </c>
      <c r="K892" s="50">
        <v>93804.3670666637</v>
      </c>
      <c r="L892" s="7">
        <v>-0.023170369484490964</v>
      </c>
      <c r="M892" s="56">
        <v>0.9779160488963092</v>
      </c>
      <c r="N892" s="51">
        <v>0.01209440442375187</v>
      </c>
      <c r="O892" s="7">
        <v>-0.15746030363033825</v>
      </c>
      <c r="P892" s="52">
        <v>63.425538114660085</v>
      </c>
      <c r="Q892" s="30">
        <v>2347.0203014109056</v>
      </c>
      <c r="R892" s="13">
        <v>3106.0043928025534</v>
      </c>
      <c r="S892" s="56">
        <v>-0.2385194407126797</v>
      </c>
      <c r="T892" s="52">
        <v>197000.0</v>
      </c>
      <c r="U892" s="50">
        <v>95922.7197186637</v>
      </c>
      <c r="V892" s="50">
        <v>-115513.65708133623</v>
      </c>
    </row>
    <row r="893">
      <c r="A893" s="54">
        <v>44763.95995984954</v>
      </c>
      <c r="B893" s="47">
        <v>2.8435273572913884</v>
      </c>
      <c r="C893" s="7">
        <v>-8.120294848128484E-4</v>
      </c>
      <c r="D893" s="48">
        <v>-0.4876527284159661</v>
      </c>
      <c r="E893" s="81">
        <v>43.25</v>
      </c>
      <c r="F893" s="7">
        <v>-0.00110365638322929</v>
      </c>
      <c r="G893" s="48">
        <v>-0.31809802036187595</v>
      </c>
      <c r="H893" s="50">
        <v>2115.002352</v>
      </c>
      <c r="I893" s="7">
        <v>-1.5853987724518812E-5</v>
      </c>
      <c r="J893" s="56">
        <v>0.020954639838386354</v>
      </c>
      <c r="K893" s="50">
        <v>98817.41015005468</v>
      </c>
      <c r="L893" s="7">
        <v>-7.407320403243258E-4</v>
      </c>
      <c r="M893" s="56">
        <v>0.9790453601616137</v>
      </c>
      <c r="N893" s="51">
        <v>2.916268984164416E-4</v>
      </c>
      <c r="O893" s="7">
        <v>-0.16955470805409012</v>
      </c>
      <c r="P893" s="52">
        <v>63.425538114660085</v>
      </c>
      <c r="Q893" s="30">
        <v>2333.697398891438</v>
      </c>
      <c r="R893" s="13">
        <v>3106.0043928025534</v>
      </c>
      <c r="S893" s="56">
        <v>-0.24284199866233017</v>
      </c>
      <c r="T893" s="52">
        <v>197000.0</v>
      </c>
      <c r="U893" s="50">
        <v>100932.41250205468</v>
      </c>
      <c r="V893" s="50">
        <v>-110503.96429794526</v>
      </c>
    </row>
    <row r="894">
      <c r="A894" s="54">
        <v>44762.959975949074</v>
      </c>
      <c r="B894" s="47">
        <v>2.8480341209320996</v>
      </c>
      <c r="C894" s="7">
        <v>-0.02945507156083127</v>
      </c>
      <c r="D894" s="48">
        <v>-0.4868406989311532</v>
      </c>
      <c r="E894" s="81">
        <v>43.32</v>
      </c>
      <c r="F894" s="7">
        <v>-0.040046960191464365</v>
      </c>
      <c r="G894" s="48">
        <v>-0.31699436397864666</v>
      </c>
      <c r="H894" s="50">
        <v>2115.002352</v>
      </c>
      <c r="I894" s="7">
        <v>-5.741680521794127E-4</v>
      </c>
      <c r="J894" s="56">
        <v>0.020921480962854015</v>
      </c>
      <c r="K894" s="50">
        <v>98977.37995856283</v>
      </c>
      <c r="L894" s="7">
        <v>-0.02686978073896235</v>
      </c>
      <c r="M894" s="56">
        <v>0.979078519037146</v>
      </c>
      <c r="N894" s="51">
        <v>0.010591888630633095</v>
      </c>
      <c r="O894" s="7">
        <v>-0.16984633495250656</v>
      </c>
      <c r="P894" s="52">
        <v>63.425538114660085</v>
      </c>
      <c r="Q894" s="30">
        <v>2333.619166910499</v>
      </c>
      <c r="R894" s="13">
        <v>3106.0043928025534</v>
      </c>
      <c r="S894" s="56">
        <v>-0.24286738068930433</v>
      </c>
      <c r="T894" s="52">
        <v>197000.0</v>
      </c>
      <c r="U894" s="50">
        <v>101092.38231056283</v>
      </c>
      <c r="V894" s="50">
        <v>-110343.99448943711</v>
      </c>
    </row>
    <row r="895">
      <c r="A895" s="54">
        <v>44761.95996623843</v>
      </c>
      <c r="B895" s="47">
        <v>3.011509768094713</v>
      </c>
      <c r="C895" s="7">
        <v>0.06343971282695693</v>
      </c>
      <c r="D895" s="48">
        <v>-0.45738562737032196</v>
      </c>
      <c r="E895" s="81">
        <v>45.86</v>
      </c>
      <c r="F895" s="7">
        <v>0.08608519789188795</v>
      </c>
      <c r="G895" s="48">
        <v>-0.2769474037871823</v>
      </c>
      <c r="H895" s="50">
        <v>2115.002352</v>
      </c>
      <c r="I895" s="7">
        <v>0.0011695022506894395</v>
      </c>
      <c r="J895" s="56">
        <v>0.019785787273184637</v>
      </c>
      <c r="K895" s="50">
        <v>104780.02905604658</v>
      </c>
      <c r="L895" s="7">
        <v>0.05793869670758236</v>
      </c>
      <c r="M895" s="56">
        <v>0.9802142127268154</v>
      </c>
      <c r="N895" s="51">
        <v>-0.022645485064931026</v>
      </c>
      <c r="O895" s="7">
        <v>-0.18043822358313966</v>
      </c>
      <c r="P895" s="52">
        <v>63.425538114660085</v>
      </c>
      <c r="Q895" s="30">
        <v>2330.899071261373</v>
      </c>
      <c r="R895" s="13">
        <v>3106.0043928025534</v>
      </c>
      <c r="S895" s="56">
        <v>-0.24374990392737192</v>
      </c>
      <c r="T895" s="52">
        <v>197000.0</v>
      </c>
      <c r="U895" s="50">
        <v>106895.03140804658</v>
      </c>
      <c r="V895" s="50">
        <v>-104541.34539195336</v>
      </c>
    </row>
    <row r="896">
      <c r="A896" s="54">
        <v>44760.95995493056</v>
      </c>
      <c r="B896" s="47">
        <v>2.6594193619051016</v>
      </c>
      <c r="C896" s="7">
        <v>0.01194460065687808</v>
      </c>
      <c r="D896" s="48">
        <v>-0.5208253401972789</v>
      </c>
      <c r="E896" s="81">
        <v>40.4</v>
      </c>
      <c r="F896" s="7">
        <v>0.01623951535323165</v>
      </c>
      <c r="G896" s="48">
        <v>-0.36303260167907025</v>
      </c>
      <c r="H896" s="50">
        <v>2089.408852</v>
      </c>
      <c r="I896" s="7">
        <v>2.463323860862532E-4</v>
      </c>
      <c r="J896" s="56">
        <v>0.02213417610383474</v>
      </c>
      <c r="K896" s="50">
        <v>92307.99912913603</v>
      </c>
      <c r="L896" s="7">
        <v>0.010882719128217736</v>
      </c>
      <c r="M896" s="56">
        <v>0.9778658238961653</v>
      </c>
      <c r="N896" s="51">
        <v>-0.004294914696353569</v>
      </c>
      <c r="O896" s="7">
        <v>-0.15779273851820863</v>
      </c>
      <c r="P896" s="52">
        <v>63.425538114660085</v>
      </c>
      <c r="Q896" s="30">
        <v>2336.5695044835657</v>
      </c>
      <c r="R896" s="13">
        <v>3106.0043928025534</v>
      </c>
      <c r="S896" s="56">
        <v>-0.24191015645742425</v>
      </c>
      <c r="T896" s="52">
        <v>197000.0</v>
      </c>
      <c r="U896" s="50">
        <v>94397.40798113604</v>
      </c>
      <c r="V896" s="50">
        <v>-117038.9688188639</v>
      </c>
    </row>
    <row r="897">
      <c r="A897" s="54">
        <v>44759.95996230324</v>
      </c>
      <c r="B897" s="47">
        <v>2.593126828259429</v>
      </c>
      <c r="C897" s="7">
        <v>-0.0015069669118491502</v>
      </c>
      <c r="D897" s="48">
        <v>-0.532769940854157</v>
      </c>
      <c r="E897" s="81">
        <v>39.37</v>
      </c>
      <c r="F897" s="7">
        <v>-0.002049647568854507</v>
      </c>
      <c r="G897" s="48">
        <v>-0.3792721170323019</v>
      </c>
      <c r="H897" s="50">
        <v>2089.408852</v>
      </c>
      <c r="I897" s="7">
        <v>-3.187253918343439E-5</v>
      </c>
      <c r="J897" s="56">
        <v>0.02270002988240508</v>
      </c>
      <c r="K897" s="50">
        <v>89954.91279973107</v>
      </c>
      <c r="L897" s="7">
        <v>-0.0013722022284951305</v>
      </c>
      <c r="M897" s="56">
        <v>0.977299970117595</v>
      </c>
      <c r="N897" s="51">
        <v>5.426806570053566E-4</v>
      </c>
      <c r="O897" s="7">
        <v>-0.15349782382185506</v>
      </c>
      <c r="P897" s="52">
        <v>63.425538114660085</v>
      </c>
      <c r="Q897" s="30">
        <v>2337.9304458148613</v>
      </c>
      <c r="R897" s="13">
        <v>3106.0043928025534</v>
      </c>
      <c r="S897" s="56">
        <v>-0.24146860494400563</v>
      </c>
      <c r="T897" s="52">
        <v>197000.0</v>
      </c>
      <c r="U897" s="50">
        <v>92044.32165173108</v>
      </c>
      <c r="V897" s="50">
        <v>-119392.05514826886</v>
      </c>
    </row>
    <row r="898">
      <c r="A898" s="54">
        <v>44758.95995841435</v>
      </c>
      <c r="B898" s="47">
        <v>2.601490494620191</v>
      </c>
      <c r="C898" s="7">
        <v>0.018084708842342145</v>
      </c>
      <c r="D898" s="48">
        <v>-0.5312629739423078</v>
      </c>
      <c r="E898" s="81">
        <v>39.5</v>
      </c>
      <c r="F898" s="7">
        <v>0.02459577082625375</v>
      </c>
      <c r="G898" s="48">
        <v>-0.3772224694634474</v>
      </c>
      <c r="H898" s="50">
        <v>2089.408852</v>
      </c>
      <c r="I898" s="7">
        <v>3.8126416083163363E-4</v>
      </c>
      <c r="J898" s="56">
        <v>0.022627050382111543</v>
      </c>
      <c r="K898" s="50">
        <v>90251.78528136533</v>
      </c>
      <c r="L898" s="7">
        <v>0.01646866344321228</v>
      </c>
      <c r="M898" s="56">
        <v>0.9773729496178886</v>
      </c>
      <c r="N898" s="51">
        <v>-0.0065110619839116035</v>
      </c>
      <c r="O898" s="7">
        <v>-0.15404050447886042</v>
      </c>
      <c r="P898" s="52">
        <v>63.425538114660085</v>
      </c>
      <c r="Q898" s="30">
        <v>2337.7517502117807</v>
      </c>
      <c r="R898" s="13">
        <v>3106.0043928025534</v>
      </c>
      <c r="S898" s="56">
        <v>-0.24152658195753812</v>
      </c>
      <c r="T898" s="52">
        <v>197000.0</v>
      </c>
      <c r="U898" s="50">
        <v>92341.19413336534</v>
      </c>
      <c r="V898" s="50">
        <v>-119095.1826666346</v>
      </c>
    </row>
    <row r="899">
      <c r="A899" s="54">
        <v>44757.959958761574</v>
      </c>
      <c r="B899" s="47">
        <v>2.5011203605451926</v>
      </c>
      <c r="C899" s="7">
        <v>0.15062344189228516</v>
      </c>
      <c r="D899" s="48">
        <v>-0.54934768278465</v>
      </c>
      <c r="E899" s="81">
        <v>37.94</v>
      </c>
      <c r="F899" s="7">
        <v>0.022546123257399242</v>
      </c>
      <c r="G899" s="48">
        <v>-0.40181824028970115</v>
      </c>
      <c r="H899" s="50">
        <v>2089.400052</v>
      </c>
      <c r="I899" s="7">
        <v>0.0023720038807200825</v>
      </c>
      <c r="J899" s="56">
        <v>0.023534976365048862</v>
      </c>
      <c r="K899" s="50">
        <v>86689.10643942397</v>
      </c>
      <c r="L899" s="7">
        <v>0.09841432553504596</v>
      </c>
      <c r="M899" s="56">
        <v>0.9764650236349511</v>
      </c>
      <c r="N899" s="51">
        <v>0.12807731863488592</v>
      </c>
      <c r="O899" s="7">
        <v>-0.14752944249494881</v>
      </c>
      <c r="P899" s="52">
        <v>63.425538114660085</v>
      </c>
      <c r="Q899" s="30">
        <v>2339.9711779500253</v>
      </c>
      <c r="R899" s="13">
        <v>3106.0043928025534</v>
      </c>
      <c r="S899" s="7">
        <v>-0.2408064982520839</v>
      </c>
      <c r="T899" s="52">
        <v>197000.0</v>
      </c>
      <c r="U899" s="50">
        <v>88778.50649142396</v>
      </c>
      <c r="V899" s="50">
        <v>-122657.87030857598</v>
      </c>
    </row>
    <row r="900">
      <c r="A900" s="54">
        <v>44756.959966574075</v>
      </c>
      <c r="B900" s="47">
        <v>1.6651602580430103</v>
      </c>
      <c r="C900" s="7">
        <v>-0.028112655806419973</v>
      </c>
      <c r="D900" s="48">
        <v>-0.6999711246769351</v>
      </c>
      <c r="E900" s="81">
        <v>36.51</v>
      </c>
      <c r="F900" s="7">
        <v>0.0991570389653228</v>
      </c>
      <c r="G900" s="48">
        <v>-0.4243643635471004</v>
      </c>
      <c r="H900" s="50">
        <v>14329.026899999999</v>
      </c>
      <c r="I900" s="7">
        <v>0.00404678113388995</v>
      </c>
      <c r="J900" s="56">
        <v>0.24243058965254455</v>
      </c>
      <c r="K900" s="50">
        <v>44776.66153864379</v>
      </c>
      <c r="L900" s="7">
        <v>0.012645753994164071</v>
      </c>
      <c r="M900" s="56">
        <v>0.7575694103474555</v>
      </c>
      <c r="N900" s="51">
        <v>-0.12726969477174277</v>
      </c>
      <c r="O900" s="7">
        <v>-0.27560676112983473</v>
      </c>
      <c r="P900" s="52">
        <v>63.425538114660085</v>
      </c>
      <c r="Q900" s="30">
        <v>1618.8903982099093</v>
      </c>
      <c r="R900" s="13">
        <v>3106.0043928025534</v>
      </c>
      <c r="S900" s="7">
        <v>-0.31327901628171473</v>
      </c>
      <c r="T900" s="52">
        <v>197000.0</v>
      </c>
      <c r="U900" s="50">
        <v>59105.68843864379</v>
      </c>
      <c r="V900" s="50">
        <v>-126122.56186135614</v>
      </c>
    </row>
    <row r="901">
      <c r="A901" s="54">
        <v>44755.95995363426</v>
      </c>
      <c r="B901" s="47">
        <v>1.8211854977686406</v>
      </c>
      <c r="C901" s="7">
        <v>0.006956087790247256</v>
      </c>
      <c r="D901" s="48">
        <v>-0.6718584688705151</v>
      </c>
      <c r="E901" s="81">
        <v>34.0</v>
      </c>
      <c r="F901" s="7">
        <v>0.013173231812891761</v>
      </c>
      <c r="G901" s="48">
        <v>-0.5235214025124232</v>
      </c>
      <c r="H901" s="50">
        <v>13741.758999999998</v>
      </c>
      <c r="I901" s="7">
        <v>0.0015726749077644789</v>
      </c>
      <c r="J901" s="56">
        <v>0.24532827569649132</v>
      </c>
      <c r="K901" s="50">
        <v>42272.000363803054</v>
      </c>
      <c r="L901" s="7">
        <v>0.0048378169252687375</v>
      </c>
      <c r="M901" s="56">
        <v>0.7546717243035087</v>
      </c>
      <c r="N901" s="51">
        <v>-0.006217144022644505</v>
      </c>
      <c r="O901" s="7">
        <v>-0.14833706635809196</v>
      </c>
      <c r="P901" s="52">
        <v>71.35682521581985</v>
      </c>
      <c r="Q901" s="30">
        <v>1647.46351070009</v>
      </c>
      <c r="R901" s="13">
        <v>2392.2028409155696</v>
      </c>
      <c r="S901" s="7">
        <v>-0.30115851946559496</v>
      </c>
      <c r="T901" s="52">
        <v>170700.0</v>
      </c>
      <c r="U901" s="50">
        <v>56013.75936380306</v>
      </c>
      <c r="V901" s="50">
        <v>-129214.49093619687</v>
      </c>
    </row>
    <row r="902">
      <c r="A902" s="54">
        <v>44754.95996886574</v>
      </c>
      <c r="B902" s="47">
        <v>1.782579210532769</v>
      </c>
      <c r="C902" s="7">
        <v>-0.013898971082687006</v>
      </c>
      <c r="D902" s="48">
        <v>-0.6788145566607624</v>
      </c>
      <c r="E902" s="81">
        <v>33.06</v>
      </c>
      <c r="F902" s="7">
        <v>-0.027047167445618303</v>
      </c>
      <c r="G902" s="48">
        <v>-0.536694634325315</v>
      </c>
      <c r="H902" s="50">
        <v>13827.483400000001</v>
      </c>
      <c r="I902" s="7">
        <v>-0.003230447732512707</v>
      </c>
      <c r="J902" s="56">
        <v>0.25220504545862144</v>
      </c>
      <c r="K902" s="50">
        <v>40998.87177800787</v>
      </c>
      <c r="L902" s="7">
        <v>-0.009578367121441979</v>
      </c>
      <c r="M902" s="56">
        <v>0.7477949545413786</v>
      </c>
      <c r="N902" s="51">
        <v>0.013148196362931297</v>
      </c>
      <c r="O902" s="7">
        <v>-0.14211992233544746</v>
      </c>
      <c r="P902" s="52">
        <v>71.35682521581985</v>
      </c>
      <c r="Q902" s="30">
        <v>1658.3894488205647</v>
      </c>
      <c r="R902" s="13">
        <v>2392.2028409155696</v>
      </c>
      <c r="S902" s="7">
        <v>-0.2965238196845387</v>
      </c>
      <c r="T902" s="52">
        <v>170700.0</v>
      </c>
      <c r="U902" s="50">
        <v>54826.35517800787</v>
      </c>
      <c r="V902" s="50">
        <v>-130401.89512199206</v>
      </c>
    </row>
    <row r="903">
      <c r="A903" s="54">
        <v>44753.95998275463</v>
      </c>
      <c r="B903" s="47">
        <v>1.8597185000416816</v>
      </c>
      <c r="C903" s="7">
        <v>-0.015109806720615238</v>
      </c>
      <c r="D903" s="48">
        <v>-0.6649155855780754</v>
      </c>
      <c r="E903" s="81">
        <v>34.99</v>
      </c>
      <c r="F903" s="7">
        <v>-0.030130264252890893</v>
      </c>
      <c r="G903" s="48">
        <v>-0.5096474668796966</v>
      </c>
      <c r="H903" s="50">
        <v>14327.7532</v>
      </c>
      <c r="I903" s="7">
        <v>-0.003487992549007493</v>
      </c>
      <c r="J903" s="56">
        <v>0.25048997113352084</v>
      </c>
      <c r="K903" s="50">
        <v>42871.15634182254</v>
      </c>
      <c r="L903" s="7">
        <v>-0.010436686883161302</v>
      </c>
      <c r="M903" s="56">
        <v>0.7495100288664791</v>
      </c>
      <c r="N903" s="51">
        <v>0.015020457532275655</v>
      </c>
      <c r="O903" s="7">
        <v>-0.15526811869837875</v>
      </c>
      <c r="P903" s="52">
        <v>71.35682521581985</v>
      </c>
      <c r="Q903" s="30">
        <v>1634.7216216582603</v>
      </c>
      <c r="R903" s="13">
        <v>2392.2028409155696</v>
      </c>
      <c r="S903" s="7">
        <v>-0.3065635318042375</v>
      </c>
      <c r="T903" s="52">
        <v>170700.0</v>
      </c>
      <c r="U903" s="50">
        <v>57198.90954182253</v>
      </c>
      <c r="V903" s="50">
        <v>-128029.3407581774</v>
      </c>
    </row>
    <row r="904">
      <c r="A904" s="82">
        <v>44752.97193020833</v>
      </c>
      <c r="B904" s="47">
        <v>1.943577927341096</v>
      </c>
      <c r="C904" s="7">
        <v>-0.008709358928874145</v>
      </c>
      <c r="D904" s="48">
        <v>-0.6498057788574602</v>
      </c>
      <c r="E904" s="83">
        <v>37.14</v>
      </c>
      <c r="F904" s="7">
        <v>-0.01737745473189989</v>
      </c>
      <c r="G904" s="48">
        <v>-0.47951720262680575</v>
      </c>
      <c r="H904" s="83">
        <v>15044.3888</v>
      </c>
      <c r="I904" s="7">
        <v>-0.002019968226322264</v>
      </c>
      <c r="J904" s="17">
        <v>0.2516703495644142</v>
      </c>
      <c r="K904" s="83">
        <v>44733.76474903156</v>
      </c>
      <c r="L904" s="7">
        <v>-0.00600627813054251</v>
      </c>
      <c r="M904" s="84">
        <v>0.7483296504355857</v>
      </c>
      <c r="N904" s="51">
        <v>0.008668095803025744</v>
      </c>
      <c r="O904" s="7">
        <v>-0.1702885762306544</v>
      </c>
      <c r="P904" s="52">
        <v>71.35682521581985</v>
      </c>
      <c r="Q904" s="85">
        <v>1609.5356367536767</v>
      </c>
      <c r="R904" s="13">
        <v>2392.2028409155696</v>
      </c>
      <c r="S904" s="7">
        <v>-0.31724723488179873</v>
      </c>
      <c r="T904" s="52">
        <v>170700.0</v>
      </c>
      <c r="U904" s="83">
        <v>59778.15354903155</v>
      </c>
      <c r="V904" s="83">
        <v>-125450.09675096837</v>
      </c>
    </row>
    <row r="905">
      <c r="A905" s="54">
        <v>44751.95995346065</v>
      </c>
      <c r="B905" s="47">
        <v>1.9919148693963478</v>
      </c>
      <c r="C905" s="7">
        <v>-8.880817053360524E-4</v>
      </c>
      <c r="D905" s="48">
        <v>-0.641096419928586</v>
      </c>
      <c r="E905" s="81">
        <v>38.38</v>
      </c>
      <c r="F905" s="7">
        <v>-0.0018218299315700959</v>
      </c>
      <c r="G905" s="48">
        <v>-0.46213974789490586</v>
      </c>
      <c r="H905" s="50">
        <v>15432.7818</v>
      </c>
      <c r="I905" s="7">
        <v>-2.0616366431489897E-4</v>
      </c>
      <c r="J905" s="56">
        <v>0.2519027474539193</v>
      </c>
      <c r="K905" s="50">
        <v>45832.05931819038</v>
      </c>
      <c r="L905" s="7">
        <v>-6.122619638240423E-4</v>
      </c>
      <c r="M905" s="56">
        <v>0.7480972525460807</v>
      </c>
      <c r="N905" s="51">
        <v>9.337482262340435E-4</v>
      </c>
      <c r="O905" s="7">
        <v>-0.17895667203368015</v>
      </c>
      <c r="P905" s="52">
        <v>71.35682521581985</v>
      </c>
      <c r="Q905" s="30">
        <v>1596.2699613910988</v>
      </c>
      <c r="R905" s="13">
        <v>2392.2028409155696</v>
      </c>
      <c r="S905" s="7">
        <v>-0.3228744333905737</v>
      </c>
      <c r="T905" s="52">
        <v>170700.0</v>
      </c>
      <c r="U905" s="50">
        <v>61264.84111819038</v>
      </c>
      <c r="V905" s="50">
        <v>-123963.40918180955</v>
      </c>
    </row>
    <row r="906">
      <c r="A906" s="54">
        <v>44750.95995240741</v>
      </c>
      <c r="B906" s="47">
        <v>1.9968437228609626</v>
      </c>
      <c r="C906" s="7">
        <v>0.00143074180817504</v>
      </c>
      <c r="D906" s="48">
        <v>-0.64020833822325</v>
      </c>
      <c r="E906" s="81">
        <v>38.51</v>
      </c>
      <c r="F906" s="7">
        <v>4.204222919008682E-4</v>
      </c>
      <c r="G906" s="48">
        <v>-0.46031791796333577</v>
      </c>
      <c r="H906" s="50">
        <v>15264.0285</v>
      </c>
      <c r="I906" s="7">
        <v>3.2769673750348454E-4</v>
      </c>
      <c r="J906" s="56">
        <v>0.24853328080862572</v>
      </c>
      <c r="K906" s="50">
        <v>46152.40816529122</v>
      </c>
      <c r="L906" s="7">
        <v>9.90825821878878E-4</v>
      </c>
      <c r="M906" s="56">
        <v>0.7514667191913743</v>
      </c>
      <c r="N906" s="51">
        <v>0.0010103195162741718</v>
      </c>
      <c r="O906" s="7">
        <v>-0.1798904202599142</v>
      </c>
      <c r="P906" s="52">
        <v>71.35682521581985</v>
      </c>
      <c r="Q906" s="30">
        <v>1594.8178827652878</v>
      </c>
      <c r="R906" s="13">
        <v>2392.2028409155696</v>
      </c>
      <c r="S906" s="7">
        <v>-0.3234903940902331</v>
      </c>
      <c r="T906" s="52">
        <v>170700.0</v>
      </c>
      <c r="U906" s="50">
        <v>61416.43666529123</v>
      </c>
      <c r="V906" s="50">
        <v>-123811.8136347087</v>
      </c>
    </row>
    <row r="907">
      <c r="A907" s="54">
        <v>44749.9599581713</v>
      </c>
      <c r="B907" s="47">
        <v>1.9889031058255913</v>
      </c>
      <c r="C907" s="7">
        <v>0.01579232225464966</v>
      </c>
      <c r="D907" s="48">
        <v>-0.641639080031425</v>
      </c>
      <c r="E907" s="81">
        <v>38.48</v>
      </c>
      <c r="F907" s="7">
        <v>0.03125139036462632</v>
      </c>
      <c r="G907" s="48">
        <v>-0.46073834025523663</v>
      </c>
      <c r="H907" s="50">
        <v>14916.3931</v>
      </c>
      <c r="I907" s="7">
        <v>0.0035488034807425028</v>
      </c>
      <c r="J907" s="56">
        <v>0.2438426425074654</v>
      </c>
      <c r="K907" s="50">
        <v>46255.815938635744</v>
      </c>
      <c r="L907" s="7">
        <v>0.011004858849396712</v>
      </c>
      <c r="M907" s="56">
        <v>0.7561573574925345</v>
      </c>
      <c r="N907" s="51">
        <v>-0.01545906810997666</v>
      </c>
      <c r="O907" s="7">
        <v>-0.18090073977618837</v>
      </c>
      <c r="P907" s="52">
        <v>71.35682521581985</v>
      </c>
      <c r="Q907" s="30">
        <v>1589.7143721059188</v>
      </c>
      <c r="R907" s="13">
        <v>2392.2028409155696</v>
      </c>
      <c r="S907" s="7">
        <v>-0.3256552644633565</v>
      </c>
      <c r="T907" s="52">
        <v>170700.0</v>
      </c>
      <c r="U907" s="50">
        <v>61172.20903863575</v>
      </c>
      <c r="V907" s="50">
        <v>-124056.04126136418</v>
      </c>
    </row>
    <row r="908">
      <c r="A908" s="54">
        <v>44748.95995939815</v>
      </c>
      <c r="B908" s="47">
        <v>1.9012557173122855</v>
      </c>
      <c r="C908" s="7">
        <v>0.0025339771471740713</v>
      </c>
      <c r="D908" s="48">
        <v>-0.6574314022860747</v>
      </c>
      <c r="E908" s="81">
        <v>36.25</v>
      </c>
      <c r="F908" s="7">
        <v>0.0050450675028096414</v>
      </c>
      <c r="G908" s="48">
        <v>-0.49198973061986295</v>
      </c>
      <c r="H908" s="50">
        <v>14485.681999999999</v>
      </c>
      <c r="I908" s="7">
        <v>5.78478026136618E-4</v>
      </c>
      <c r="J908" s="56">
        <v>0.2477181773950309</v>
      </c>
      <c r="K908" s="50">
        <v>43990.77762976706</v>
      </c>
      <c r="L908" s="7">
        <v>0.0017567483679044277</v>
      </c>
      <c r="M908" s="56">
        <v>0.7522818226049691</v>
      </c>
      <c r="N908" s="51">
        <v>-0.00251109035563557</v>
      </c>
      <c r="O908" s="7">
        <v>-0.1654416716662117</v>
      </c>
      <c r="P908" s="52">
        <v>71.35682521581985</v>
      </c>
      <c r="Q908" s="30">
        <v>1613.1437139246084</v>
      </c>
      <c r="R908" s="13">
        <v>2392.2028409155696</v>
      </c>
      <c r="S908" s="7">
        <v>-0.31571671601103796</v>
      </c>
      <c r="T908" s="52">
        <v>170700.0</v>
      </c>
      <c r="U908" s="50">
        <v>58476.45962976706</v>
      </c>
      <c r="V908" s="50">
        <v>-126751.79067023288</v>
      </c>
    </row>
    <row r="909">
      <c r="A909" s="54">
        <v>44747.95996623843</v>
      </c>
      <c r="B909" s="47">
        <v>1.8871921441454698</v>
      </c>
      <c r="C909" s="7">
        <v>7.216743307258966E-5</v>
      </c>
      <c r="D909" s="48">
        <v>-0.6599653794332487</v>
      </c>
      <c r="E909" s="81">
        <v>35.89</v>
      </c>
      <c r="F909" s="7">
        <v>1.4014076396684505E-4</v>
      </c>
      <c r="G909" s="48">
        <v>-0.4970347981226726</v>
      </c>
      <c r="H909" s="50">
        <v>13220.045799999998</v>
      </c>
      <c r="I909" s="7">
        <v>1.5147600989539777E-5</v>
      </c>
      <c r="J909" s="56">
        <v>0.22775939562523398</v>
      </c>
      <c r="K909" s="50">
        <v>44823.86393074447</v>
      </c>
      <c r="L909" s="7">
        <v>5.135942915056628E-5</v>
      </c>
      <c r="M909" s="56">
        <v>0.7722406043747659</v>
      </c>
      <c r="N909" s="51">
        <v>-6.797333089425539E-5</v>
      </c>
      <c r="O909" s="7">
        <v>-0.16293058131057614</v>
      </c>
      <c r="P909" s="52">
        <v>71.35682521581985</v>
      </c>
      <c r="Q909" s="13">
        <v>1617.2724918011827</v>
      </c>
      <c r="R909" s="13">
        <v>2392.2028409155696</v>
      </c>
      <c r="S909" s="7">
        <v>-0.3139653198645845</v>
      </c>
      <c r="T909" s="52">
        <v>170700.0</v>
      </c>
      <c r="U909" s="50">
        <v>58043.909730744446</v>
      </c>
      <c r="V909" s="50">
        <v>-127184.34056925548</v>
      </c>
    </row>
    <row r="910">
      <c r="A910" s="54">
        <v>44746.95995979167</v>
      </c>
      <c r="B910" s="47">
        <v>1.8867916148919164</v>
      </c>
      <c r="C910" s="7">
        <v>0.018966603316258546</v>
      </c>
      <c r="D910" s="48">
        <v>-0.6600375468663213</v>
      </c>
      <c r="E910" s="81">
        <v>35.88</v>
      </c>
      <c r="F910" s="7">
        <v>0.03601617633950216</v>
      </c>
      <c r="G910" s="48">
        <v>-0.49717493888663944</v>
      </c>
      <c r="H910" s="50">
        <v>13220.045799999998</v>
      </c>
      <c r="I910" s="7">
        <v>0.003981844924124917</v>
      </c>
      <c r="J910" s="56">
        <v>0.22780774452608746</v>
      </c>
      <c r="K910" s="50">
        <v>44811.544949918956</v>
      </c>
      <c r="L910" s="7">
        <v>0.013497125917750633</v>
      </c>
      <c r="M910" s="56">
        <v>0.7721922554739125</v>
      </c>
      <c r="N910" s="51">
        <v>-0.017049573023243614</v>
      </c>
      <c r="O910" s="7">
        <v>-0.16286260797968188</v>
      </c>
      <c r="P910" s="52">
        <v>71.35682521581985</v>
      </c>
      <c r="Q910" s="13">
        <v>1617.3798982697585</v>
      </c>
      <c r="R910" s="13">
        <v>2392.2028409155696</v>
      </c>
      <c r="S910" s="7">
        <v>-0.3139197588582065</v>
      </c>
      <c r="T910" s="52">
        <v>170700.0</v>
      </c>
      <c r="U910" s="50">
        <v>58031.59074991894</v>
      </c>
      <c r="V910" s="50">
        <v>-127196.65955008098</v>
      </c>
    </row>
    <row r="911">
      <c r="A911" s="54">
        <v>44745.95996853009</v>
      </c>
      <c r="B911" s="47">
        <v>1.7815269664866817</v>
      </c>
      <c r="C911" s="7">
        <v>-7.099045168503793E-4</v>
      </c>
      <c r="D911" s="48">
        <v>-0.6790041501825799</v>
      </c>
      <c r="E911" s="81">
        <v>33.31</v>
      </c>
      <c r="F911" s="7">
        <v>-0.0015415484036361837</v>
      </c>
      <c r="G911" s="48">
        <v>-0.5331911152261416</v>
      </c>
      <c r="H911" s="50">
        <v>13180.88</v>
      </c>
      <c r="I911" s="7">
        <v>-1.5737571052626108E-4</v>
      </c>
      <c r="J911" s="56">
        <v>0.24055338229273932</v>
      </c>
      <c r="K911" s="50">
        <v>41613.11156383361</v>
      </c>
      <c r="L911" s="7">
        <v>-4.968479342477047E-4</v>
      </c>
      <c r="M911" s="56">
        <v>0.7594466177072607</v>
      </c>
      <c r="N911" s="51">
        <v>8.316438867858045E-4</v>
      </c>
      <c r="O911" s="7">
        <v>-0.14581303495643827</v>
      </c>
      <c r="P911" s="52">
        <v>71.35682521581985</v>
      </c>
      <c r="Q911" s="13">
        <v>1644.97122677375</v>
      </c>
      <c r="R911" s="13">
        <v>2392.2028409155696</v>
      </c>
      <c r="S911" s="7">
        <v>-0.3022157273355619</v>
      </c>
      <c r="T911" s="52">
        <v>170700.0</v>
      </c>
      <c r="U911" s="50">
        <v>54793.99156383362</v>
      </c>
      <c r="V911" s="50">
        <v>-130434.25873616632</v>
      </c>
    </row>
    <row r="912">
      <c r="A912" s="54">
        <v>44744.95995841435</v>
      </c>
      <c r="B912" s="47">
        <v>1.7854669365552016</v>
      </c>
      <c r="C912" s="7">
        <v>0.0033653221184533066</v>
      </c>
      <c r="D912" s="48">
        <v>-0.6782942456657295</v>
      </c>
      <c r="E912" s="81">
        <v>33.42</v>
      </c>
      <c r="F912" s="7">
        <v>0.006446475142478869</v>
      </c>
      <c r="G912" s="48">
        <v>-0.5316495668225054</v>
      </c>
      <c r="H912" s="52">
        <v>13166.16</v>
      </c>
      <c r="I912" s="7">
        <v>7.43488391973912E-4</v>
      </c>
      <c r="J912" s="56">
        <v>0.23972937636442765</v>
      </c>
      <c r="K912" s="50">
        <v>41750.39226486</v>
      </c>
      <c r="L912" s="7">
        <v>0.0023578770028273026</v>
      </c>
      <c r="M912" s="56">
        <v>0.7602706236355724</v>
      </c>
      <c r="N912" s="51">
        <v>-0.0030811530240255625</v>
      </c>
      <c r="O912" s="7">
        <v>-0.14664467884322407</v>
      </c>
      <c r="P912" s="52">
        <v>71.35682521581985</v>
      </c>
      <c r="Q912" s="13">
        <v>1643.1828924254933</v>
      </c>
      <c r="R912" s="13">
        <v>2392.2028409155696</v>
      </c>
      <c r="S912" s="7">
        <v>-0.3029743251530609</v>
      </c>
      <c r="T912" s="52">
        <v>170700.0</v>
      </c>
      <c r="U912" s="50">
        <v>54915.17226485999</v>
      </c>
      <c r="V912" s="50">
        <v>-130313.07803513994</v>
      </c>
    </row>
    <row r="913">
      <c r="A913" s="54">
        <v>44743.959948414355</v>
      </c>
      <c r="B913" s="47">
        <v>1.7667893987977854</v>
      </c>
      <c r="C913" s="7">
        <v>0.005655099768834271</v>
      </c>
      <c r="D913" s="48">
        <v>-0.6816595677841828</v>
      </c>
      <c r="E913" s="81">
        <v>32.96</v>
      </c>
      <c r="F913" s="7">
        <v>0.010510557297520151</v>
      </c>
      <c r="G913" s="48">
        <v>-0.5380960419649843</v>
      </c>
      <c r="H913" s="50">
        <v>13164.78</v>
      </c>
      <c r="I913" s="7">
        <v>0.0012625682133709801</v>
      </c>
      <c r="J913" s="56">
        <v>0.2422636651040223</v>
      </c>
      <c r="K913" s="50">
        <v>41175.93177924</v>
      </c>
      <c r="L913" s="7">
        <v>0.003948977698100569</v>
      </c>
      <c r="M913" s="56">
        <v>0.7577363348959777</v>
      </c>
      <c r="N913" s="51">
        <v>-0.00485545752868588</v>
      </c>
      <c r="O913" s="7">
        <v>-0.1435635258191985</v>
      </c>
      <c r="P913" s="52">
        <v>71.35682521581985</v>
      </c>
      <c r="Q913" s="13">
        <v>1648.686643787621</v>
      </c>
      <c r="R913" s="13">
        <v>2392.2028409155696</v>
      </c>
      <c r="S913" s="7">
        <v>-0.300639675720511</v>
      </c>
      <c r="T913" s="52">
        <v>170700.0</v>
      </c>
      <c r="U913" s="50">
        <v>54340.711779239995</v>
      </c>
      <c r="V913" s="50">
        <v>-130887.53852075993</v>
      </c>
    </row>
    <row r="914">
      <c r="A914" s="54">
        <v>44742.95997094907</v>
      </c>
      <c r="B914" s="47">
        <v>1.7354035950807556</v>
      </c>
      <c r="C914" s="7">
        <v>-0.014700224852372767</v>
      </c>
      <c r="D914" s="48">
        <v>-0.6873146675530171</v>
      </c>
      <c r="E914" s="81">
        <v>32.21</v>
      </c>
      <c r="F914" s="7">
        <v>-0.028728856613221554</v>
      </c>
      <c r="G914" s="48">
        <v>-0.5486065992625044</v>
      </c>
      <c r="H914" s="50">
        <v>13158.56</v>
      </c>
      <c r="I914" s="7">
        <v>-0.0033397780708823853</v>
      </c>
      <c r="J914" s="56">
        <v>0.24652861411978047</v>
      </c>
      <c r="K914" s="50">
        <v>40216.8262487</v>
      </c>
      <c r="L914" s="7">
        <v>-0.010207444764920734</v>
      </c>
      <c r="M914" s="56">
        <v>0.7534713858802196</v>
      </c>
      <c r="N914" s="51">
        <v>0.014028631760848786</v>
      </c>
      <c r="O914" s="7">
        <v>-0.13870806829051263</v>
      </c>
      <c r="P914" s="52">
        <v>71.35682521581985</v>
      </c>
      <c r="Q914" s="13">
        <v>1657.1060617416952</v>
      </c>
      <c r="R914" s="13">
        <v>2392.2028409155696</v>
      </c>
      <c r="S914" s="7">
        <v>-0.29706822271408734</v>
      </c>
      <c r="T914" s="52">
        <v>170700.0</v>
      </c>
      <c r="U914" s="50">
        <v>53375.3862487</v>
      </c>
      <c r="V914" s="50">
        <v>-131852.86405129993</v>
      </c>
    </row>
    <row r="915">
      <c r="A915" s="54">
        <v>44741.95995881944</v>
      </c>
      <c r="B915" s="47">
        <v>1.8169898430114242</v>
      </c>
      <c r="C915" s="7">
        <v>-0.022468263249912024</v>
      </c>
      <c r="D915" s="48">
        <v>-0.6726144427006443</v>
      </c>
      <c r="E915" s="81">
        <v>34.26</v>
      </c>
      <c r="F915" s="7">
        <v>-0.022702803762643442</v>
      </c>
      <c r="G915" s="48">
        <v>-0.5198777426492829</v>
      </c>
      <c r="H915" s="50">
        <v>13843.86</v>
      </c>
      <c r="I915" s="7">
        <v>-0.0051293219791476285</v>
      </c>
      <c r="J915" s="56">
        <v>0.24772176240693597</v>
      </c>
      <c r="K915" s="50">
        <v>42040.854631</v>
      </c>
      <c r="L915" s="7">
        <v>-0.015576658510049845</v>
      </c>
      <c r="M915" s="56">
        <v>0.752278237593064</v>
      </c>
      <c r="N915" s="51">
        <v>2.3454051273141818E-4</v>
      </c>
      <c r="O915" s="7">
        <v>-0.15273670005136142</v>
      </c>
      <c r="P915" s="52">
        <v>71.35682521581985</v>
      </c>
      <c r="Q915" s="13">
        <v>1631.19423908348</v>
      </c>
      <c r="R915" s="13">
        <v>2392.2028409155696</v>
      </c>
      <c r="S915" s="7">
        <v>-0.30805982064156856</v>
      </c>
      <c r="T915" s="52">
        <v>170700.0</v>
      </c>
      <c r="U915" s="50">
        <v>55884.71463100002</v>
      </c>
      <c r="V915" s="50">
        <v>-129343.53566899992</v>
      </c>
    </row>
    <row r="916">
      <c r="A916" s="54">
        <v>44740.95995430555</v>
      </c>
      <c r="B916" s="47">
        <v>1.9416887040484359</v>
      </c>
      <c r="C916" s="7">
        <v>-0.010997663918101863</v>
      </c>
      <c r="D916" s="48">
        <v>-0.6501461794507323</v>
      </c>
      <c r="E916" s="81">
        <v>35.88</v>
      </c>
      <c r="F916" s="7">
        <v>-0.036436598631402806</v>
      </c>
      <c r="G916" s="48">
        <v>-0.49717493888663944</v>
      </c>
      <c r="H916" s="50">
        <v>34049.6968</v>
      </c>
      <c r="I916" s="7">
        <v>-0.005778562934285435</v>
      </c>
      <c r="J916" s="56">
        <v>0.5701552228241006</v>
      </c>
      <c r="K916" s="50">
        <v>25670.350367759995</v>
      </c>
      <c r="L916" s="7">
        <v>-0.004356506785260373</v>
      </c>
      <c r="M916" s="56">
        <v>0.42984477717589936</v>
      </c>
      <c r="N916" s="51">
        <v>0.025438934713300942</v>
      </c>
      <c r="O916" s="7">
        <v>-0.15297124056409284</v>
      </c>
      <c r="P916" s="52">
        <v>71.35682521581985</v>
      </c>
      <c r="Q916" s="13">
        <v>1664.4383268606464</v>
      </c>
      <c r="R916" s="13">
        <v>2392.2028409155696</v>
      </c>
      <c r="S916" s="7">
        <v>-0.2939579316647753</v>
      </c>
      <c r="T916" s="52">
        <v>170700.0</v>
      </c>
      <c r="U916" s="50">
        <v>59720.04716776</v>
      </c>
      <c r="V916" s="50">
        <v>-125508.20313223993</v>
      </c>
    </row>
    <row r="917">
      <c r="A917" s="54">
        <v>44739.959963692134</v>
      </c>
      <c r="B917" s="47">
        <v>2.002725738793901</v>
      </c>
      <c r="C917" s="7">
        <v>-0.009780275339191569</v>
      </c>
      <c r="D917" s="48">
        <v>-0.6391485155326304</v>
      </c>
      <c r="E917" s="81">
        <v>38.48</v>
      </c>
      <c r="F917" s="7">
        <v>-0.032792938768262725</v>
      </c>
      <c r="G917" s="48">
        <v>-0.46073834025523663</v>
      </c>
      <c r="H917" s="50">
        <v>34049.6968</v>
      </c>
      <c r="I917" s="7">
        <v>-0.004982285495585982</v>
      </c>
      <c r="J917" s="56">
        <v>0.5527786128012119</v>
      </c>
      <c r="K917" s="50">
        <v>27547.651598579992</v>
      </c>
      <c r="L917" s="7">
        <v>-0.00403088068017866</v>
      </c>
      <c r="M917" s="56">
        <v>0.4472213871987881</v>
      </c>
      <c r="N917" s="51">
        <v>0.023012663429071156</v>
      </c>
      <c r="O917" s="7">
        <v>-0.17841017527739378</v>
      </c>
      <c r="P917" s="52">
        <v>71.35682521581985</v>
      </c>
      <c r="Q917" s="13">
        <v>1600.7626922707898</v>
      </c>
      <c r="R917" s="13">
        <v>2392.2028409155696</v>
      </c>
      <c r="S917" s="7">
        <v>-0.32096865115065526</v>
      </c>
      <c r="T917" s="52">
        <v>170700.0</v>
      </c>
      <c r="U917" s="50">
        <v>61597.34839857998</v>
      </c>
      <c r="V917" s="50">
        <v>-123630.90190141994</v>
      </c>
    </row>
    <row r="918">
      <c r="A918" s="54">
        <v>44738.95996298611</v>
      </c>
      <c r="B918" s="47">
        <v>2.0570062669264146</v>
      </c>
      <c r="C918" s="7">
        <v>-0.004918231039015675</v>
      </c>
      <c r="D918" s="48">
        <v>-0.6293682401934388</v>
      </c>
      <c r="E918" s="81">
        <v>40.82</v>
      </c>
      <c r="F918" s="7">
        <v>-0.017097173203965976</v>
      </c>
      <c r="G918" s="48">
        <v>-0.4279454014869739</v>
      </c>
      <c r="H918" s="50">
        <v>34049.6968</v>
      </c>
      <c r="I918" s="7">
        <v>-0.0024393398987439495</v>
      </c>
      <c r="J918" s="56">
        <v>0.5381918244546496</v>
      </c>
      <c r="K918" s="50">
        <v>29217.14459897999</v>
      </c>
      <c r="L918" s="7">
        <v>-0.002093133074467294</v>
      </c>
      <c r="M918" s="56">
        <v>0.46180817554535036</v>
      </c>
      <c r="N918" s="51">
        <v>0.012178942164950302</v>
      </c>
      <c r="O918" s="7">
        <v>-0.20142283870646494</v>
      </c>
      <c r="P918" s="52">
        <v>71.35682521581985</v>
      </c>
      <c r="Q918" s="13">
        <v>1549.8981234439002</v>
      </c>
      <c r="R918" s="13">
        <v>2392.2028409155696</v>
      </c>
      <c r="S918" s="7">
        <v>-0.3425450140593684</v>
      </c>
      <c r="T918" s="52">
        <v>170700.0</v>
      </c>
      <c r="U918" s="50">
        <v>63266.84139898</v>
      </c>
      <c r="V918" s="50">
        <v>-121961.40890101992</v>
      </c>
    </row>
    <row r="919">
      <c r="A919" s="54">
        <v>44737.95995467593</v>
      </c>
      <c r="B919" s="47">
        <v>2.0843024491929514</v>
      </c>
      <c r="C919" s="7">
        <v>-4.703884897505617E-5</v>
      </c>
      <c r="D919" s="48">
        <v>-0.6244500091544232</v>
      </c>
      <c r="E919" s="81">
        <v>42.04</v>
      </c>
      <c r="F919" s="7">
        <v>0.0025225337514048762</v>
      </c>
      <c r="G919" s="48">
        <v>-0.41084822828300793</v>
      </c>
      <c r="H919" s="50">
        <v>34049.6968</v>
      </c>
      <c r="I919" s="7">
        <v>-2.3024751683999267E-5</v>
      </c>
      <c r="J919" s="56">
        <v>0.5311436236811184</v>
      </c>
      <c r="K919" s="50">
        <v>30056.68663733999</v>
      </c>
      <c r="L919" s="7">
        <v>-2.0324637553557664E-5</v>
      </c>
      <c r="M919" s="56">
        <v>0.4688563763188815</v>
      </c>
      <c r="N919" s="51">
        <v>-0.0025695726003799324</v>
      </c>
      <c r="O919" s="7">
        <v>-0.21360178087141524</v>
      </c>
      <c r="P919" s="52">
        <v>71.35682521581985</v>
      </c>
      <c r="Q919" s="13">
        <v>1524.8901864257841</v>
      </c>
      <c r="R919" s="13">
        <v>2392.2028409155696</v>
      </c>
      <c r="S919" s="7">
        <v>-0.35315319057881356</v>
      </c>
      <c r="T919" s="52">
        <v>170700.0</v>
      </c>
      <c r="U919" s="50">
        <v>64106.383437339966</v>
      </c>
      <c r="V919" s="50">
        <v>-121121.86686265995</v>
      </c>
    </row>
    <row r="920">
      <c r="A920" s="54">
        <v>44736.95995319444</v>
      </c>
      <c r="B920" s="47">
        <v>2.084563514804763</v>
      </c>
      <c r="C920" s="7">
        <v>0.2541096595084944</v>
      </c>
      <c r="D920" s="48">
        <v>-0.6244029703054481</v>
      </c>
      <c r="E920" s="81">
        <v>41.86</v>
      </c>
      <c r="F920" s="7">
        <v>0.06138165461751721</v>
      </c>
      <c r="G920" s="48">
        <v>-0.4133707620344128</v>
      </c>
      <c r="H920" s="50">
        <v>42045.4302</v>
      </c>
      <c r="I920" s="7">
        <v>0.1319298638224835</v>
      </c>
      <c r="J920" s="56">
        <v>0.6557874938420042</v>
      </c>
      <c r="K920" s="50">
        <v>22068.982768860013</v>
      </c>
      <c r="L920" s="7">
        <v>0.06924790345934993</v>
      </c>
      <c r="M920" s="56">
        <v>0.34421250615799576</v>
      </c>
      <c r="N920" s="51">
        <v>0.1927280048909772</v>
      </c>
      <c r="O920" s="7">
        <v>-0.2110322082710353</v>
      </c>
      <c r="P920" s="52">
        <v>71.35682521581985</v>
      </c>
      <c r="Q920" s="13">
        <v>1531.6391058017202</v>
      </c>
      <c r="R920" s="13">
        <v>2392.2028409155696</v>
      </c>
      <c r="S920" s="7">
        <v>-0.35029035035318556</v>
      </c>
      <c r="T920" s="52">
        <v>170700.0</v>
      </c>
      <c r="U920" s="50">
        <v>64114.41296886001</v>
      </c>
      <c r="V920" s="50">
        <v>-121113.83733113992</v>
      </c>
    </row>
    <row r="921">
      <c r="A921" s="54">
        <v>44735.9599581713</v>
      </c>
      <c r="B921" s="47">
        <v>0.6742549045326193</v>
      </c>
      <c r="C921" s="7">
        <v>-0.03118670417430991</v>
      </c>
      <c r="D921" s="48">
        <v>-0.8785126298139425</v>
      </c>
      <c r="E921" s="81">
        <v>37.48</v>
      </c>
      <c r="F921" s="7">
        <v>0.1715718557017295</v>
      </c>
      <c r="G921" s="48">
        <v>-0.47475241665193</v>
      </c>
      <c r="H921" s="50">
        <v>10335.8332</v>
      </c>
      <c r="I921" s="7">
        <v>0.0027292449968725862</v>
      </c>
      <c r="J921" s="56">
        <v>0.49840322044104</v>
      </c>
      <c r="K921" s="50">
        <v>10402.060890760007</v>
      </c>
      <c r="L921" s="7">
        <v>0.002746732855873753</v>
      </c>
      <c r="M921" s="56">
        <v>0.5015967795589601</v>
      </c>
      <c r="N921" s="51">
        <v>-0.2027585598760394</v>
      </c>
      <c r="O921" s="7">
        <v>-0.4037602131620125</v>
      </c>
      <c r="P921" s="52">
        <v>71.35682521581985</v>
      </c>
      <c r="Q921" s="13">
        <v>1531.6391058017202</v>
      </c>
      <c r="R921" s="13">
        <v>2392.2028409155696</v>
      </c>
      <c r="S921" s="7">
        <v>-0.35029035035318556</v>
      </c>
      <c r="T921" s="52">
        <v>170700.0</v>
      </c>
      <c r="U921" s="50">
        <v>20737.89409076002</v>
      </c>
      <c r="V921" s="50">
        <v>-122321.95620923994</v>
      </c>
    </row>
    <row r="922">
      <c r="A922" s="54">
        <v>44734.959957280094</v>
      </c>
      <c r="B922" s="47">
        <v>0.8473411127000388</v>
      </c>
      <c r="C922" s="7">
        <v>-0.006170411619739635</v>
      </c>
      <c r="D922" s="48">
        <v>-0.8473259256396326</v>
      </c>
      <c r="E922" s="81">
        <v>34.74</v>
      </c>
      <c r="F922" s="7">
        <v>-0.01455832730380724</v>
      </c>
      <c r="G922" s="48">
        <v>-0.6463242723536595</v>
      </c>
      <c r="H922" s="50">
        <v>0.0</v>
      </c>
      <c r="I922" s="7">
        <v>0.0</v>
      </c>
      <c r="J922" s="56">
        <v>0.0</v>
      </c>
      <c r="K922" s="50">
        <v>19954.5015189</v>
      </c>
      <c r="L922" s="7">
        <v>-0.005637310517302985</v>
      </c>
      <c r="M922" s="56">
        <v>1.0</v>
      </c>
      <c r="N922" s="51">
        <v>0.008387915684067604</v>
      </c>
      <c r="O922" s="7">
        <v>-0.20100165328597308</v>
      </c>
      <c r="P922" s="52">
        <v>98.22557016052403</v>
      </c>
      <c r="Q922" s="13">
        <v>574.395553221071</v>
      </c>
      <c r="R922" s="13">
        <v>1330.610754271062</v>
      </c>
      <c r="S922" s="7">
        <v>-0.5590453116097246</v>
      </c>
      <c r="T922" s="52">
        <v>130700.0</v>
      </c>
      <c r="U922" s="50">
        <v>19954.50151890001</v>
      </c>
      <c r="V922" s="50">
        <v>-123105.34878109995</v>
      </c>
    </row>
    <row r="923">
      <c r="A923" s="54">
        <v>44733.9599566088</v>
      </c>
      <c r="B923" s="47">
        <v>0.881586897189594</v>
      </c>
      <c r="C923" s="7">
        <v>0.0072409996419279254</v>
      </c>
      <c r="D923" s="48">
        <v>-0.841155514019893</v>
      </c>
      <c r="E923" s="81">
        <v>36.17</v>
      </c>
      <c r="F923" s="7">
        <v>0.016798069965931473</v>
      </c>
      <c r="G923" s="48">
        <v>-0.6317659450498523</v>
      </c>
      <c r="H923" s="50">
        <v>0.0</v>
      </c>
      <c r="I923" s="7">
        <v>0.0</v>
      </c>
      <c r="J923" s="56">
        <v>0.0</v>
      </c>
      <c r="K923" s="50">
        <v>20760.974317599997</v>
      </c>
      <c r="L923" s="7">
        <v>0.0066154036315245746</v>
      </c>
      <c r="M923" s="56">
        <v>1.0</v>
      </c>
      <c r="N923" s="51">
        <v>-0.009557070324003547</v>
      </c>
      <c r="O923" s="7">
        <v>-0.20938956897004068</v>
      </c>
      <c r="P923" s="52">
        <v>98.22557016052403</v>
      </c>
      <c r="Q923" s="13">
        <v>573.983254564556</v>
      </c>
      <c r="R923" s="13">
        <v>1330.610754271062</v>
      </c>
      <c r="S923" s="7">
        <v>-0.5593618269876515</v>
      </c>
      <c r="T923" s="52">
        <v>130700.0</v>
      </c>
      <c r="U923" s="50">
        <v>20760.97431759999</v>
      </c>
      <c r="V923" s="50">
        <v>-122298.87598239997</v>
      </c>
    </row>
    <row r="924">
      <c r="A924" s="54">
        <v>44732.9599575</v>
      </c>
      <c r="B924" s="47">
        <v>0.841399349176894</v>
      </c>
      <c r="C924" s="7">
        <v>2.4169083397096447E-4</v>
      </c>
      <c r="D924" s="48">
        <v>-0.8483965136618209</v>
      </c>
      <c r="E924" s="81">
        <v>34.52</v>
      </c>
      <c r="F924" s="7">
        <v>7.12645392494049E-4</v>
      </c>
      <c r="G924" s="48">
        <v>-0.6485640150157838</v>
      </c>
      <c r="H924" s="50">
        <v>0.0</v>
      </c>
      <c r="I924" s="7">
        <v>0.0</v>
      </c>
      <c r="J924" s="56">
        <v>0.0</v>
      </c>
      <c r="K924" s="50">
        <v>19814.5756644</v>
      </c>
      <c r="L924" s="7">
        <v>2.208096257179104E-4</v>
      </c>
      <c r="M924" s="56">
        <v>1.0</v>
      </c>
      <c r="N924" s="51">
        <v>-4.7095455852308454E-4</v>
      </c>
      <c r="O924" s="7">
        <v>-0.19983249864603714</v>
      </c>
      <c r="P924" s="52">
        <v>98.22557016052403</v>
      </c>
      <c r="Q924" s="13">
        <v>574.0027712746237</v>
      </c>
      <c r="R924" s="13">
        <v>1330.610754271062</v>
      </c>
      <c r="S924" s="7">
        <v>-0.5593468443075836</v>
      </c>
      <c r="T924" s="52">
        <v>130700.0</v>
      </c>
      <c r="U924" s="50">
        <v>19814.57566440001</v>
      </c>
      <c r="V924" s="50">
        <v>-123245.27463559996</v>
      </c>
    </row>
    <row r="925">
      <c r="A925" s="54">
        <v>44731.95995480324</v>
      </c>
      <c r="B925" s="47">
        <v>0.8400579650483552</v>
      </c>
      <c r="C925" s="7">
        <v>0.02264924563580717</v>
      </c>
      <c r="D925" s="48">
        <v>-0.8486382044957919</v>
      </c>
      <c r="E925" s="81">
        <v>34.45</v>
      </c>
      <c r="F925" s="7">
        <v>0.0520231136520668</v>
      </c>
      <c r="G925" s="48">
        <v>-0.6492766604082778</v>
      </c>
      <c r="H925" s="50">
        <v>0.0</v>
      </c>
      <c r="I925" s="7">
        <v>0.0</v>
      </c>
      <c r="J925" s="56">
        <v>0.0</v>
      </c>
      <c r="K925" s="50">
        <v>19782.986672400002</v>
      </c>
      <c r="L925" s="7">
        <v>0.020692433260570797</v>
      </c>
      <c r="M925" s="56">
        <v>1.0</v>
      </c>
      <c r="N925" s="51">
        <v>-0.02937386801625963</v>
      </c>
      <c r="O925" s="7">
        <v>-0.19936154408751405</v>
      </c>
      <c r="P925" s="52">
        <v>98.22557016052403</v>
      </c>
      <c r="Q925" s="13">
        <v>574.2521530449928</v>
      </c>
      <c r="R925" s="13">
        <v>1330.610754271062</v>
      </c>
      <c r="S925" s="7">
        <v>-0.5591553977334821</v>
      </c>
      <c r="T925" s="52">
        <v>130700.0</v>
      </c>
      <c r="U925" s="50">
        <v>19782.986672400006</v>
      </c>
      <c r="V925" s="50">
        <v>-123276.86362759996</v>
      </c>
    </row>
    <row r="926">
      <c r="A926" s="54">
        <v>44730.95995375</v>
      </c>
      <c r="B926" s="47">
        <v>0.7143546517696253</v>
      </c>
      <c r="C926" s="7">
        <v>-0.009309714197237917</v>
      </c>
      <c r="D926" s="48">
        <v>-0.871287450131599</v>
      </c>
      <c r="E926" s="81">
        <v>29.34</v>
      </c>
      <c r="F926" s="7">
        <v>-0.020870329351611927</v>
      </c>
      <c r="G926" s="48">
        <v>-0.7012997740603446</v>
      </c>
      <c r="H926" s="50">
        <v>0.0</v>
      </c>
      <c r="I926" s="7">
        <v>0.0</v>
      </c>
      <c r="J926" s="56">
        <v>0.0</v>
      </c>
      <c r="K926" s="50">
        <v>16861.7833598</v>
      </c>
      <c r="L926" s="7">
        <v>-0.008505388779782574</v>
      </c>
      <c r="M926" s="56">
        <v>1.0</v>
      </c>
      <c r="N926" s="51">
        <v>0.01156061515437401</v>
      </c>
      <c r="O926" s="7">
        <v>-0.16998767607125442</v>
      </c>
      <c r="P926" s="52">
        <v>98.22557016052403</v>
      </c>
      <c r="Q926" s="13">
        <v>573.3718564349015</v>
      </c>
      <c r="R926" s="13">
        <v>1330.610754271062</v>
      </c>
      <c r="S926" s="7">
        <v>-0.5598311879885025</v>
      </c>
      <c r="T926" s="52">
        <v>130700.0</v>
      </c>
      <c r="U926" s="52">
        <v>16822.73026780001</v>
      </c>
      <c r="V926" s="52">
        <v>-126237.12003219995</v>
      </c>
    </row>
    <row r="927">
      <c r="A927" s="54">
        <v>44729.95996252315</v>
      </c>
      <c r="B927" s="47">
        <v>0.7660235655642958</v>
      </c>
      <c r="C927" s="7">
        <v>-1.3774420071921423E-4</v>
      </c>
      <c r="D927" s="48">
        <v>-0.8619777359343611</v>
      </c>
      <c r="E927" s="81">
        <v>31.39</v>
      </c>
      <c r="F927" s="7">
        <v>6.108389078520737E-4</v>
      </c>
      <c r="G927" s="48">
        <v>-0.6804294447087327</v>
      </c>
      <c r="H927" s="50">
        <v>0.0</v>
      </c>
      <c r="I927" s="7">
        <v>0.0</v>
      </c>
      <c r="J927" s="56">
        <v>0.0</v>
      </c>
      <c r="K927" s="50">
        <v>18039.509913379006</v>
      </c>
      <c r="L927" s="7">
        <v>-1.258436031930099E-4</v>
      </c>
      <c r="M927" s="56">
        <v>1.0</v>
      </c>
      <c r="N927" s="51">
        <v>-7.48583108571288E-4</v>
      </c>
      <c r="O927" s="7">
        <v>-0.18154829122562843</v>
      </c>
      <c r="P927" s="52">
        <v>98.22557016052403</v>
      </c>
      <c r="Q927" s="13">
        <v>574.6897073392482</v>
      </c>
      <c r="R927" s="13">
        <v>1330.610754271062</v>
      </c>
      <c r="S927" s="7">
        <v>-0.5588194939884144</v>
      </c>
      <c r="T927" s="52">
        <v>130700.0</v>
      </c>
      <c r="U927" s="50">
        <v>18039.509913379003</v>
      </c>
      <c r="V927" s="50">
        <v>-125020.34038662096</v>
      </c>
    </row>
    <row r="928">
      <c r="A928" s="54">
        <v>44728.95996840278</v>
      </c>
      <c r="B928" s="47">
        <v>0.7667880458782874</v>
      </c>
      <c r="C928" s="7">
        <v>-0.007645868129495081</v>
      </c>
      <c r="D928" s="48">
        <v>-0.8618399917336419</v>
      </c>
      <c r="E928" s="81">
        <v>31.33</v>
      </c>
      <c r="F928" s="7">
        <v>-0.01964865153590778</v>
      </c>
      <c r="G928" s="48">
        <v>-0.6810402836165848</v>
      </c>
      <c r="H928" s="50">
        <v>0.0</v>
      </c>
      <c r="I928" s="7">
        <v>0.0</v>
      </c>
      <c r="J928" s="56">
        <v>0.0</v>
      </c>
      <c r="K928" s="50">
        <v>18057.513080413002</v>
      </c>
      <c r="L928" s="7">
        <v>-0.006985292955566602</v>
      </c>
      <c r="M928" s="56">
        <v>1.0</v>
      </c>
      <c r="N928" s="51">
        <v>0.012002783406412698</v>
      </c>
      <c r="O928" s="7">
        <v>-0.18079970811705715</v>
      </c>
      <c r="P928" s="52">
        <v>98.22557016052403</v>
      </c>
      <c r="Q928" s="13">
        <v>576.3649243668372</v>
      </c>
      <c r="R928" s="13">
        <v>1330.610754271062</v>
      </c>
      <c r="S928" s="7">
        <v>-0.5575334554767231</v>
      </c>
      <c r="T928" s="52">
        <v>130700.0</v>
      </c>
      <c r="U928" s="50">
        <v>18057.513080413006</v>
      </c>
      <c r="V928" s="50">
        <v>-125002.33721958696</v>
      </c>
    </row>
    <row r="929">
      <c r="A929" s="54">
        <v>44727.959959513886</v>
      </c>
      <c r="B929" s="47">
        <v>0.8092226139969851</v>
      </c>
      <c r="C929" s="7">
        <v>0.020904864255286926</v>
      </c>
      <c r="D929" s="48">
        <v>-0.8541941236041468</v>
      </c>
      <c r="E929" s="81">
        <v>33.26</v>
      </c>
      <c r="F929" s="7">
        <v>0.04907072559744852</v>
      </c>
      <c r="G929" s="48">
        <v>-0.661391632080677</v>
      </c>
      <c r="H929" s="50">
        <v>0.0</v>
      </c>
      <c r="I929" s="7">
        <v>0.0</v>
      </c>
      <c r="J929" s="56">
        <v>0.0</v>
      </c>
      <c r="K929" s="50">
        <v>19056.828044937996</v>
      </c>
      <c r="L929" s="7">
        <v>0.01909876008143707</v>
      </c>
      <c r="M929" s="56">
        <v>1.0</v>
      </c>
      <c r="N929" s="51">
        <v>-0.02816586134216159</v>
      </c>
      <c r="O929" s="7">
        <v>-0.19280249152346984</v>
      </c>
      <c r="P929" s="52">
        <v>98.22557016052403</v>
      </c>
      <c r="Q929" s="13">
        <v>572.9653651514736</v>
      </c>
      <c r="R929" s="13">
        <v>1330.610754271062</v>
      </c>
      <c r="S929" s="7">
        <v>-0.5601432451348577</v>
      </c>
      <c r="T929" s="52">
        <v>130700.0</v>
      </c>
      <c r="U929" s="50">
        <v>19056.82804493801</v>
      </c>
      <c r="V929" s="50">
        <v>-124003.02225506195</v>
      </c>
    </row>
    <row r="930">
      <c r="A930" s="54">
        <v>44726.9599540162</v>
      </c>
      <c r="B930" s="47">
        <v>0.6932006173801426</v>
      </c>
      <c r="C930" s="7">
        <v>8.828986936497696E-4</v>
      </c>
      <c r="D930" s="48">
        <v>-0.8750989878594337</v>
      </c>
      <c r="E930" s="81">
        <v>28.44</v>
      </c>
      <c r="F930" s="7">
        <v>0.0020361296928401718</v>
      </c>
      <c r="G930" s="48">
        <v>-0.7104623576781255</v>
      </c>
      <c r="H930" s="50">
        <v>0.0</v>
      </c>
      <c r="I930" s="7">
        <v>0.0</v>
      </c>
      <c r="J930" s="56">
        <v>0.0</v>
      </c>
      <c r="K930" s="50">
        <v>16324.562286772001</v>
      </c>
      <c r="L930" s="7">
        <v>8.066194604428034E-4</v>
      </c>
      <c r="M930" s="56">
        <v>1.0</v>
      </c>
      <c r="N930" s="51">
        <v>-0.0011532309991904022</v>
      </c>
      <c r="O930" s="7">
        <v>-0.16463663018130825</v>
      </c>
      <c r="P930" s="52">
        <v>98.22557016052403</v>
      </c>
      <c r="Q930" s="13">
        <v>574.0000804068919</v>
      </c>
      <c r="R930" s="13">
        <v>1330.610754271062</v>
      </c>
      <c r="S930" s="7">
        <v>-0.5593489100456199</v>
      </c>
      <c r="T930" s="52">
        <v>130700.0</v>
      </c>
      <c r="U930" s="50">
        <v>16324.562286772007</v>
      </c>
      <c r="V930" s="50">
        <v>-126735.28801322795</v>
      </c>
    </row>
    <row r="931">
      <c r="A931" s="54">
        <v>44725.95995533565</v>
      </c>
      <c r="B931" s="47">
        <v>0.6883005296303868</v>
      </c>
      <c r="C931" s="7">
        <v>-0.002778477880622132</v>
      </c>
      <c r="D931" s="48">
        <v>-0.8759818865530835</v>
      </c>
      <c r="E931" s="81">
        <v>28.24</v>
      </c>
      <c r="F931" s="7">
        <v>-0.04041717440287773</v>
      </c>
      <c r="G931" s="48">
        <v>-0.7124984873709657</v>
      </c>
      <c r="H931" s="50">
        <v>0.0</v>
      </c>
      <c r="I931" s="7">
        <v>0.0</v>
      </c>
      <c r="J931" s="56">
        <v>0.0</v>
      </c>
      <c r="K931" s="50">
        <v>16209.167427511999</v>
      </c>
      <c r="L931" s="7">
        <v>-0.00253842750594091</v>
      </c>
      <c r="M931" s="56">
        <v>1.0</v>
      </c>
      <c r="N931" s="51">
        <v>0.0376386965222556</v>
      </c>
      <c r="O931" s="7">
        <v>-0.16348339918211785</v>
      </c>
      <c r="P931" s="52">
        <v>98.22557016052403</v>
      </c>
      <c r="Q931" s="13">
        <v>573.9790165549573</v>
      </c>
      <c r="R931" s="13">
        <v>1330.610754271062</v>
      </c>
      <c r="S931" s="7">
        <v>-0.5593650804428558</v>
      </c>
      <c r="T931" s="52">
        <v>130700.0</v>
      </c>
      <c r="U931" s="50">
        <v>16209.167427511993</v>
      </c>
      <c r="V931" s="50">
        <v>-126850.68287248797</v>
      </c>
    </row>
    <row r="932">
      <c r="A932" s="54">
        <v>44724.95995556713</v>
      </c>
      <c r="B932" s="47">
        <v>0.7037210818678394</v>
      </c>
      <c r="C932" s="7">
        <v>-0.0013404249192952022</v>
      </c>
      <c r="D932" s="48">
        <v>-0.8732034086724614</v>
      </c>
      <c r="E932" s="81">
        <v>32.21</v>
      </c>
      <c r="F932" s="7">
        <v>-0.02311007201373616</v>
      </c>
      <c r="G932" s="48">
        <v>-0.6720813129680879</v>
      </c>
      <c r="H932" s="50">
        <v>14193.75</v>
      </c>
      <c r="I932" s="7">
        <v>-0.001048852215180249</v>
      </c>
      <c r="J932" s="56">
        <v>0.8564736091361546</v>
      </c>
      <c r="K932" s="50">
        <v>2378.5644865093004</v>
      </c>
      <c r="L932" s="7">
        <v>-1.7576487049753245E-4</v>
      </c>
      <c r="M932" s="56">
        <v>0.14352639086384533</v>
      </c>
      <c r="N932" s="51">
        <v>0.021769647094440958</v>
      </c>
      <c r="O932" s="7">
        <v>-0.20112209570437345</v>
      </c>
      <c r="P932" s="52">
        <v>98.22557016052403</v>
      </c>
      <c r="Q932" s="13">
        <v>514.5083665479448</v>
      </c>
      <c r="R932" s="13">
        <v>1330.610754271062</v>
      </c>
      <c r="S932" s="7">
        <v>-0.6050197896326334</v>
      </c>
      <c r="T932" s="52">
        <v>130700.0</v>
      </c>
      <c r="U932" s="50">
        <v>16572.3144865093</v>
      </c>
      <c r="V932" s="50">
        <v>-126487.53581349066</v>
      </c>
    </row>
    <row r="933">
      <c r="A933" s="54">
        <v>44723.95995596064</v>
      </c>
      <c r="B933" s="47">
        <v>0.711160440169928</v>
      </c>
      <c r="C933" s="7">
        <v>-0.001887353264644398</v>
      </c>
      <c r="D933" s="48">
        <v>-0.8718629837531662</v>
      </c>
      <c r="E933" s="81">
        <v>34.48</v>
      </c>
      <c r="F933" s="7">
        <v>-0.03410517235507304</v>
      </c>
      <c r="G933" s="48">
        <v>-0.6489712409543518</v>
      </c>
      <c r="H933" s="50">
        <v>14202.29</v>
      </c>
      <c r="I933" s="7">
        <v>-0.0014622418176860347</v>
      </c>
      <c r="J933" s="56">
        <v>0.848024074990998</v>
      </c>
      <c r="K933" s="50">
        <v>2545.2180234611997</v>
      </c>
      <c r="L933" s="7">
        <v>-2.62050995229161E-4</v>
      </c>
      <c r="M933" s="56">
        <v>0.15197592500900206</v>
      </c>
      <c r="N933" s="51">
        <v>0.032217819090428645</v>
      </c>
      <c r="O933" s="7">
        <v>-0.2228917427988144</v>
      </c>
      <c r="P933" s="52">
        <v>98.22557016052403</v>
      </c>
      <c r="Q933" s="13">
        <v>485.7165900075751</v>
      </c>
      <c r="R933" s="13">
        <v>1330.610754271062</v>
      </c>
      <c r="S933" s="7">
        <v>-0.6271227964915231</v>
      </c>
      <c r="T933" s="52">
        <v>130700.0</v>
      </c>
      <c r="U933" s="50">
        <v>16747.50802346119</v>
      </c>
      <c r="V933" s="50">
        <v>-126312.34227653878</v>
      </c>
    </row>
    <row r="934">
      <c r="A934" s="54">
        <v>44722.9599744213</v>
      </c>
      <c r="B934" s="47">
        <v>0.721635250788704</v>
      </c>
      <c r="C934" s="7">
        <v>-0.0012933015581079177</v>
      </c>
      <c r="D934" s="48">
        <v>-0.8699756304885218</v>
      </c>
      <c r="E934" s="81">
        <v>37.83</v>
      </c>
      <c r="F934" s="7">
        <v>-0.02239742662124211</v>
      </c>
      <c r="G934" s="48">
        <v>-0.6148660685992787</v>
      </c>
      <c r="H934" s="50">
        <v>14202.29</v>
      </c>
      <c r="I934" s="7">
        <v>-9.874512282415876E-4</v>
      </c>
      <c r="J934" s="56">
        <v>0.8357146824329369</v>
      </c>
      <c r="K934" s="50">
        <v>2791.8950951502</v>
      </c>
      <c r="L934" s="7">
        <v>-1.941137831172106E-4</v>
      </c>
      <c r="M934" s="56">
        <v>0.16428531756706302</v>
      </c>
      <c r="N934" s="51">
        <v>0.021104125063134194</v>
      </c>
      <c r="O934" s="7">
        <v>-0.25510956188924305</v>
      </c>
      <c r="P934" s="52">
        <v>98.22557016052403</v>
      </c>
      <c r="Q934" s="13">
        <v>449.22508842585785</v>
      </c>
      <c r="R934" s="13">
        <v>1330.610754271062</v>
      </c>
      <c r="S934" s="7">
        <v>-0.6551367645987349</v>
      </c>
      <c r="T934" s="52">
        <v>130700.0</v>
      </c>
      <c r="U934" s="50">
        <v>16994.185095150202</v>
      </c>
      <c r="V934" s="50">
        <v>-126065.66520484976</v>
      </c>
    </row>
    <row r="935">
      <c r="A935" s="54">
        <v>44721.95996416667</v>
      </c>
      <c r="B935" s="47">
        <v>0.728813074436203</v>
      </c>
      <c r="C935" s="7">
        <v>5.052595567482943E-4</v>
      </c>
      <c r="D935" s="48">
        <v>-0.8686823289304139</v>
      </c>
      <c r="E935" s="81">
        <v>40.03</v>
      </c>
      <c r="F935" s="7">
        <v>0.009162583617780773</v>
      </c>
      <c r="G935" s="48">
        <v>-0.5924686419780366</v>
      </c>
      <c r="H935" s="50">
        <v>14210.109999999993</v>
      </c>
      <c r="I935" s="7">
        <v>3.8218271245651366E-4</v>
      </c>
      <c r="J935" s="56">
        <v>0.8279396479153801</v>
      </c>
      <c r="K935" s="50">
        <v>2953.1096087949004</v>
      </c>
      <c r="L935" s="7">
        <v>7.942425783267191E-5</v>
      </c>
      <c r="M935" s="56">
        <v>0.1720603520846198</v>
      </c>
      <c r="N935" s="51">
        <v>-0.008657324061032479</v>
      </c>
      <c r="O935" s="7">
        <v>-0.27621368695237725</v>
      </c>
      <c r="P935" s="52">
        <v>98.22557016052403</v>
      </c>
      <c r="Q935" s="13">
        <v>428.75892102910086</v>
      </c>
      <c r="R935" s="13">
        <v>1330.610754271062</v>
      </c>
      <c r="S935" s="7">
        <v>-0.6708483285486508</v>
      </c>
      <c r="T935" s="52">
        <v>130700.0</v>
      </c>
      <c r="U935" s="50">
        <v>17163.21960879491</v>
      </c>
      <c r="V935" s="50">
        <v>-125896.63069120505</v>
      </c>
    </row>
    <row r="936">
      <c r="A936" s="54">
        <v>44720.95995726852</v>
      </c>
      <c r="B936" s="47">
        <v>0.7260088838962498</v>
      </c>
      <c r="C936" s="7">
        <v>-7.841247352936564E-4</v>
      </c>
      <c r="D936" s="48">
        <v>-0.8691875884871622</v>
      </c>
      <c r="E936" s="81">
        <v>39.13</v>
      </c>
      <c r="F936" s="7">
        <v>-0.013336649488103092</v>
      </c>
      <c r="G936" s="48">
        <v>-0.6016312255958174</v>
      </c>
      <c r="H936" s="50">
        <v>14210.109999999993</v>
      </c>
      <c r="I936" s="7">
        <v>-5.954096588436159E-4</v>
      </c>
      <c r="J936" s="56">
        <v>0.8311375433954968</v>
      </c>
      <c r="K936" s="50">
        <v>2887.0721847279</v>
      </c>
      <c r="L936" s="7">
        <v>-1.209695536885874E-4</v>
      </c>
      <c r="M936" s="56">
        <v>0.16886245660450327</v>
      </c>
      <c r="N936" s="51">
        <v>0.012552524752809435</v>
      </c>
      <c r="O936" s="7">
        <v>-0.26755636289134477</v>
      </c>
      <c r="P936" s="52">
        <v>98.22557016052403</v>
      </c>
      <c r="Q936" s="13">
        <v>436.93284397464606</v>
      </c>
      <c r="R936" s="13">
        <v>1330.610754271062</v>
      </c>
      <c r="S936" s="7">
        <v>-0.66457333281589</v>
      </c>
      <c r="T936" s="52">
        <v>130700.0</v>
      </c>
      <c r="U936" s="50">
        <v>17097.182184727902</v>
      </c>
      <c r="V936" s="50">
        <v>-125962.66811527206</v>
      </c>
    </row>
    <row r="937">
      <c r="A937" s="54">
        <v>44719.959955185186</v>
      </c>
      <c r="B937" s="47">
        <v>0.7303607761771299</v>
      </c>
      <c r="C937" s="7">
        <v>-0.0014296873853391068</v>
      </c>
      <c r="D937" s="48">
        <v>-0.8684034637518685</v>
      </c>
      <c r="E937" s="81">
        <v>40.44</v>
      </c>
      <c r="F937" s="7">
        <v>-0.025349814675860394</v>
      </c>
      <c r="G937" s="48">
        <v>-0.5882945761077143</v>
      </c>
      <c r="H937" s="50">
        <v>14216.329999999994</v>
      </c>
      <c r="I937" s="7">
        <v>-0.0010796086529191013</v>
      </c>
      <c r="J937" s="56">
        <v>0.8265468024619129</v>
      </c>
      <c r="K937" s="50">
        <v>2983.3372876308</v>
      </c>
      <c r="L937" s="7">
        <v>-2.265589466692469E-4</v>
      </c>
      <c r="M937" s="56">
        <v>0.17345319753808716</v>
      </c>
      <c r="N937" s="51">
        <v>0.023920127290521287</v>
      </c>
      <c r="O937" s="7">
        <v>-0.2801088876441542</v>
      </c>
      <c r="P937" s="52">
        <v>98.22557016052403</v>
      </c>
      <c r="Q937" s="13">
        <v>425.3132365882985</v>
      </c>
      <c r="R937" s="13">
        <v>1330.610754271062</v>
      </c>
      <c r="S937" s="7">
        <v>-0.673493527837477</v>
      </c>
      <c r="T937" s="52">
        <v>130700.0</v>
      </c>
      <c r="U937" s="50">
        <v>17199.66728763079</v>
      </c>
      <c r="V937" s="50">
        <v>-125860.18301236918</v>
      </c>
    </row>
    <row r="938">
      <c r="A938" s="54">
        <v>44718.95995855324</v>
      </c>
      <c r="B938" s="47">
        <v>0.7382955411657619</v>
      </c>
      <c r="C938" s="7">
        <v>0.0021508940692654965</v>
      </c>
      <c r="D938" s="48">
        <v>-0.8669737763665294</v>
      </c>
      <c r="E938" s="81">
        <v>42.93</v>
      </c>
      <c r="F938" s="7">
        <v>0.033596139931863056</v>
      </c>
      <c r="G938" s="48">
        <v>-0.5629447614318539</v>
      </c>
      <c r="H938" s="50">
        <v>14220.619999999995</v>
      </c>
      <c r="I938" s="7">
        <v>0.0016072466337323313</v>
      </c>
      <c r="J938" s="56">
        <v>0.8179103077459164</v>
      </c>
      <c r="K938" s="50">
        <v>3165.9074288946003</v>
      </c>
      <c r="L938" s="7">
        <v>3.578180176250422E-4</v>
      </c>
      <c r="M938" s="56">
        <v>0.1820896922540836</v>
      </c>
      <c r="N938" s="51">
        <v>-0.03144524586259756</v>
      </c>
      <c r="O938" s="7">
        <v>-0.3040290149346755</v>
      </c>
      <c r="P938" s="52">
        <v>98.22557016052403</v>
      </c>
      <c r="Q938" s="13">
        <v>404.9971448612767</v>
      </c>
      <c r="R938" s="13">
        <v>1330.610754271062</v>
      </c>
      <c r="S938" s="7">
        <v>-0.6890898809891687</v>
      </c>
      <c r="T938" s="52">
        <v>130700.0</v>
      </c>
      <c r="U938" s="50">
        <v>17386.52742889461</v>
      </c>
      <c r="V938" s="50">
        <v>-125673.32287110535</v>
      </c>
    </row>
    <row r="939">
      <c r="A939" s="54">
        <v>44717.95995600695</v>
      </c>
      <c r="B939" s="47">
        <v>0.7263580790813381</v>
      </c>
      <c r="C939" s="7">
        <v>5.481794751461821E-4</v>
      </c>
      <c r="D939" s="48">
        <v>-0.8691246704357949</v>
      </c>
      <c r="E939" s="81">
        <v>39.63</v>
      </c>
      <c r="F939" s="7">
        <v>0.010689680887411068</v>
      </c>
      <c r="G939" s="48">
        <v>-0.596540901363717</v>
      </c>
      <c r="H939" s="52">
        <v>14185.43</v>
      </c>
      <c r="I939" s="7">
        <v>4.15730755439189E-4</v>
      </c>
      <c r="J939" s="7">
        <v>0.8301021953332556</v>
      </c>
      <c r="K939" s="52">
        <v>2903.34543</v>
      </c>
      <c r="L939" s="7">
        <v>8.508800853515312E-5</v>
      </c>
      <c r="M939" s="7">
        <v>0.1698978046667443</v>
      </c>
      <c r="N939" s="51">
        <v>-0.010141501412264886</v>
      </c>
      <c r="O939" s="7">
        <v>-0.27258376907207793</v>
      </c>
      <c r="P939" s="52">
        <v>98.22557016052403</v>
      </c>
      <c r="Q939" s="13">
        <v>431.6276955347363</v>
      </c>
      <c r="R939" s="13">
        <v>1330.610754271062</v>
      </c>
      <c r="S939" s="7">
        <v>-0.6686460142008106</v>
      </c>
      <c r="T939" s="52">
        <v>130700.0</v>
      </c>
      <c r="U939" s="50">
        <v>17105.4055740416</v>
      </c>
      <c r="V939" s="50">
        <v>-125954.44472595837</v>
      </c>
    </row>
    <row r="940">
      <c r="A940" s="54">
        <v>44716.95995752315</v>
      </c>
      <c r="B940" s="47">
        <v>0.7233156829942771</v>
      </c>
      <c r="C940" s="7">
        <v>-1.7124223412412487E-4</v>
      </c>
      <c r="D940" s="48">
        <v>-0.8696728499109411</v>
      </c>
      <c r="E940" s="81">
        <v>38.58</v>
      </c>
      <c r="F940" s="7">
        <v>-0.0016289037542721596</v>
      </c>
      <c r="G940" s="48">
        <v>-0.607230582251128</v>
      </c>
      <c r="H940" s="52">
        <v>14188.669999999998</v>
      </c>
      <c r="I940" s="7">
        <v>-1.313321477678928E-4</v>
      </c>
      <c r="J940" s="7">
        <v>0.8394645097185134</v>
      </c>
      <c r="K940" s="52">
        <v>2713.37867</v>
      </c>
      <c r="L940" s="7">
        <v>-2.5115380683227426E-5</v>
      </c>
      <c r="M940" s="7">
        <v>0.16053549028148673</v>
      </c>
      <c r="N940" s="51">
        <v>0.0014576615201480347</v>
      </c>
      <c r="O940" s="7">
        <v>-0.26244226765981304</v>
      </c>
      <c r="P940" s="52">
        <v>98.22557016052403</v>
      </c>
      <c r="Q940" s="13">
        <v>441.51784646552625</v>
      </c>
      <c r="R940" s="13">
        <v>1330.610754271062</v>
      </c>
      <c r="S940" s="7">
        <v>-0.6610534964708887</v>
      </c>
      <c r="T940" s="52">
        <v>130700.0</v>
      </c>
      <c r="U940" s="50">
        <v>17033.758516640002</v>
      </c>
      <c r="V940" s="50">
        <v>-126026.09178335997</v>
      </c>
    </row>
    <row r="941">
      <c r="A941" s="54">
        <v>44715.95994862268</v>
      </c>
      <c r="B941" s="47">
        <v>0.7242660773936659</v>
      </c>
      <c r="C941" s="7">
        <v>-0.0011119872024483168</v>
      </c>
      <c r="D941" s="48">
        <v>-0.869501607676817</v>
      </c>
      <c r="E941" s="81">
        <v>38.74</v>
      </c>
      <c r="F941" s="7">
        <v>-0.020259490443759853</v>
      </c>
      <c r="G941" s="48">
        <v>-0.6056016784968559</v>
      </c>
      <c r="H941" s="52">
        <v>14197.890000000007</v>
      </c>
      <c r="I941" s="7">
        <v>-8.475768316089901E-4</v>
      </c>
      <c r="J941" s="7">
        <v>0.8342985069932735</v>
      </c>
      <c r="K941" s="52">
        <v>2819.86789</v>
      </c>
      <c r="L941" s="7">
        <v>-1.683387243993387E-4</v>
      </c>
      <c r="M941" s="7">
        <v>0.16570149300672643</v>
      </c>
      <c r="N941" s="51">
        <v>0.019147503241311536</v>
      </c>
      <c r="O941" s="7">
        <v>-0.2638999291799611</v>
      </c>
      <c r="P941" s="52">
        <v>98.22557016052403</v>
      </c>
      <c r="Q941" s="13">
        <v>440.2720670273625</v>
      </c>
      <c r="R941" s="13">
        <v>1330.610754271062</v>
      </c>
      <c r="S941" s="7">
        <v>-0.6620098623077724</v>
      </c>
      <c r="T941" s="52">
        <v>130700.0</v>
      </c>
      <c r="U941" s="50">
        <v>17056.139876640023</v>
      </c>
      <c r="V941" s="50">
        <v>-126003.71042335994</v>
      </c>
    </row>
    <row r="942">
      <c r="A942" s="54">
        <v>44714.959958125</v>
      </c>
      <c r="B942" s="47">
        <v>0.730437606367254</v>
      </c>
      <c r="C942" s="7">
        <v>1.1751653435376763E-4</v>
      </c>
      <c r="D942" s="48">
        <v>-0.8683896204743686</v>
      </c>
      <c r="E942" s="81">
        <v>40.73</v>
      </c>
      <c r="F942" s="7">
        <v>0.0020361296928401718</v>
      </c>
      <c r="G942" s="48">
        <v>-0.585342188053096</v>
      </c>
      <c r="H942" s="52">
        <v>14197.890000000007</v>
      </c>
      <c r="I942" s="7">
        <v>8.861103886284419E-5</v>
      </c>
      <c r="J942" s="7">
        <v>0.8253364612490552</v>
      </c>
      <c r="K942" s="52">
        <v>3004.65789</v>
      </c>
      <c r="L942" s="7">
        <v>1.875249470592752E-5</v>
      </c>
      <c r="M942" s="7">
        <v>0.1746635387509448</v>
      </c>
      <c r="N942" s="51">
        <v>-0.0019186131584864041</v>
      </c>
      <c r="O942" s="7">
        <v>-0.2830474324212726</v>
      </c>
      <c r="P942" s="52">
        <v>98.22557016052403</v>
      </c>
      <c r="Q942" s="13">
        <v>422.32940348637413</v>
      </c>
      <c r="R942" s="13">
        <v>1330.610754271062</v>
      </c>
      <c r="S942" s="7">
        <v>-0.675784170911382</v>
      </c>
      <c r="T942" s="52">
        <v>130700.0</v>
      </c>
      <c r="U942" s="50">
        <v>17201.476604000018</v>
      </c>
      <c r="V942" s="50">
        <v>-125858.37369599994</v>
      </c>
    </row>
    <row r="943">
      <c r="A943" s="54">
        <v>44713.959948993055</v>
      </c>
      <c r="B943" s="47">
        <v>0.7297853896015908</v>
      </c>
      <c r="C943" s="7">
        <v>-0.002834496030604483</v>
      </c>
      <c r="D943" s="48">
        <v>-0.8685071370087224</v>
      </c>
      <c r="E943" s="81">
        <v>40.53</v>
      </c>
      <c r="F943" s="7">
        <v>-0.05161588771349879</v>
      </c>
      <c r="G943" s="48">
        <v>-0.5873783177459362</v>
      </c>
      <c r="H943" s="52">
        <v>14200.930000000008</v>
      </c>
      <c r="I943" s="7">
        <v>-0.0020914338097066157</v>
      </c>
      <c r="J943" s="7">
        <v>0.8076262941880616</v>
      </c>
      <c r="K943" s="52">
        <v>3382.61093</v>
      </c>
      <c r="L943" s="7">
        <v>-4.981720819752744E-4</v>
      </c>
      <c r="M943" s="7">
        <v>0.19237370581193844</v>
      </c>
      <c r="N943" s="51">
        <v>0.048781391682894304</v>
      </c>
      <c r="O943" s="7">
        <v>-0.2811288192627862</v>
      </c>
      <c r="P943" s="52">
        <v>98.22557016052403</v>
      </c>
      <c r="Q943" s="13">
        <v>424.0344730560076</v>
      </c>
      <c r="R943" s="13">
        <v>1330.610754271062</v>
      </c>
      <c r="S943" s="7">
        <v>-0.6744752150593646</v>
      </c>
      <c r="T943" s="52">
        <v>130700.0</v>
      </c>
      <c r="U943" s="50">
        <v>17186.117192959988</v>
      </c>
      <c r="V943" s="50">
        <v>-125873.73310703997</v>
      </c>
    </row>
    <row r="944">
      <c r="A944" s="54">
        <v>44712.95994674768</v>
      </c>
      <c r="B944" s="47">
        <v>0.7455168425714459</v>
      </c>
      <c r="C944" s="7">
        <v>-9.732371084930636E-4</v>
      </c>
      <c r="D944" s="48">
        <v>-0.8656726409781179</v>
      </c>
      <c r="E944" s="81">
        <v>45.6</v>
      </c>
      <c r="F944" s="7">
        <v>-0.016085424573437423</v>
      </c>
      <c r="G944" s="48">
        <v>-0.5357624300324374</v>
      </c>
      <c r="H944" s="52">
        <v>14205.48000000001</v>
      </c>
      <c r="I944" s="7">
        <v>-7.167320970695906E-4</v>
      </c>
      <c r="J944" s="7">
        <v>0.8060841331103055</v>
      </c>
      <c r="K944" s="52">
        <v>3417.34548</v>
      </c>
      <c r="L944" s="7">
        <v>-1.724208680235856E-4</v>
      </c>
      <c r="M944" s="7">
        <v>0.1939158668896946</v>
      </c>
      <c r="N944" s="51">
        <v>0.01511218746494436</v>
      </c>
      <c r="O944" s="7">
        <v>-0.3299102109456805</v>
      </c>
      <c r="P944" s="52">
        <v>98.22557016052403</v>
      </c>
      <c r="Q944" s="13">
        <v>385.01284702105255</v>
      </c>
      <c r="R944" s="13">
        <v>1330.610754271062</v>
      </c>
      <c r="S944" s="7">
        <v>-0.704431521044385</v>
      </c>
      <c r="T944" s="52">
        <v>130700.0</v>
      </c>
      <c r="U944" s="50">
        <v>17556.585824159996</v>
      </c>
      <c r="V944" s="50">
        <v>-125503.26447583997</v>
      </c>
    </row>
    <row r="945">
      <c r="A945" s="54">
        <v>44711.95994641204</v>
      </c>
      <c r="B945" s="47">
        <v>0.7509183085235819</v>
      </c>
      <c r="C945" s="7">
        <v>0.0015992284131600698</v>
      </c>
      <c r="D945" s="48">
        <v>-0.8646994038696248</v>
      </c>
      <c r="E945" s="81">
        <v>47.18</v>
      </c>
      <c r="F945" s="7">
        <v>0.026164266552996307</v>
      </c>
      <c r="G945" s="48">
        <v>-0.519677005459</v>
      </c>
      <c r="H945" s="52">
        <v>14192.960000000006</v>
      </c>
      <c r="I945" s="7">
        <v>0.001181157966095721</v>
      </c>
      <c r="J945" s="7">
        <v>0.8084248687259674</v>
      </c>
      <c r="K945" s="52">
        <v>3363.3529599999997</v>
      </c>
      <c r="L945" s="7">
        <v>2.799029336724419E-4</v>
      </c>
      <c r="M945" s="7">
        <v>0.19157513127403253</v>
      </c>
      <c r="N945" s="51">
        <v>-0.024565038139836237</v>
      </c>
      <c r="O945" s="7">
        <v>-0.3450223984106249</v>
      </c>
      <c r="P945" s="52">
        <v>98.22557016052403</v>
      </c>
      <c r="Q945" s="13">
        <v>374.81534366765635</v>
      </c>
      <c r="R945" s="13">
        <v>1330.610754271062</v>
      </c>
      <c r="S945" s="7">
        <v>-0.7122599885322328</v>
      </c>
      <c r="T945" s="52">
        <v>130700.0</v>
      </c>
      <c r="U945" s="50">
        <v>17683.787914240027</v>
      </c>
      <c r="V945" s="50">
        <v>-125376.06238575993</v>
      </c>
    </row>
    <row r="946">
      <c r="A946" s="54">
        <v>44710.95994743056</v>
      </c>
      <c r="B946" s="47">
        <v>0.7420425908305437</v>
      </c>
      <c r="C946" s="7">
        <v>2.2750255179804224E-4</v>
      </c>
      <c r="D946" s="48">
        <v>-0.8662986322827849</v>
      </c>
      <c r="E946" s="81">
        <v>44.61</v>
      </c>
      <c r="F946" s="7">
        <v>0.005701163139952614</v>
      </c>
      <c r="G946" s="48">
        <v>-0.5458412720119963</v>
      </c>
      <c r="H946" s="52">
        <v>14199.809999999998</v>
      </c>
      <c r="I946" s="7">
        <v>1.6969102641444124E-4</v>
      </c>
      <c r="J946" s="7">
        <v>0.8164221577130335</v>
      </c>
      <c r="K946" s="52">
        <v>3192.91981</v>
      </c>
      <c r="L946" s="7">
        <v>3.81561330621961E-5</v>
      </c>
      <c r="M946" s="7">
        <v>0.18357784228696647</v>
      </c>
      <c r="N946" s="51">
        <v>-0.005473660588154572</v>
      </c>
      <c r="O946" s="7">
        <v>-0.32045736027078864</v>
      </c>
      <c r="P946" s="52">
        <v>98.22557016052403</v>
      </c>
      <c r="Q946" s="13">
        <v>391.72312846088346</v>
      </c>
      <c r="R946" s="13">
        <v>1330.610754271062</v>
      </c>
      <c r="S946" s="7">
        <v>-0.6992801405284343</v>
      </c>
      <c r="T946" s="52">
        <v>130700.0</v>
      </c>
      <c r="U946" s="50">
        <v>17474.76876064001</v>
      </c>
      <c r="V946" s="50">
        <v>-125585.08153935995</v>
      </c>
    </row>
    <row r="947">
      <c r="A947" s="54">
        <v>44709.9599480787</v>
      </c>
      <c r="B947" s="47">
        <v>0.7407799516680644</v>
      </c>
      <c r="C947" s="7">
        <v>0.0011581705279266608</v>
      </c>
      <c r="D947" s="48">
        <v>-0.866526134834583</v>
      </c>
      <c r="E947" s="81">
        <v>44.05</v>
      </c>
      <c r="F947" s="7">
        <v>0.020972135836253902</v>
      </c>
      <c r="G947" s="48">
        <v>-0.5515424351519489</v>
      </c>
      <c r="H947" s="52">
        <v>14199.809999999998</v>
      </c>
      <c r="I947" s="7">
        <v>8.708744441187505E-4</v>
      </c>
      <c r="J947" s="7">
        <v>0.8230480983207357</v>
      </c>
      <c r="K947" s="52">
        <v>3052.89981</v>
      </c>
      <c r="L947" s="7">
        <v>1.872343661629268E-4</v>
      </c>
      <c r="M947" s="7">
        <v>0.17695190167926442</v>
      </c>
      <c r="N947" s="51">
        <v>-0.01981396530832724</v>
      </c>
      <c r="O947" s="7">
        <v>-0.31498369968263407</v>
      </c>
      <c r="P947" s="52">
        <v>98.22557016052403</v>
      </c>
      <c r="Q947" s="13">
        <v>396.0280176417708</v>
      </c>
      <c r="R947" s="13">
        <v>1330.610754271062</v>
      </c>
      <c r="S947" s="7">
        <v>-0.6959753428908693</v>
      </c>
      <c r="T947" s="52">
        <v>130700.0</v>
      </c>
      <c r="U947" s="50">
        <v>17445.034177120004</v>
      </c>
      <c r="V947" s="50">
        <v>-125614.81612287996</v>
      </c>
    </row>
    <row r="948">
      <c r="A948" s="54">
        <v>44708.959947905096</v>
      </c>
      <c r="B948" s="47">
        <v>0.7343521052380717</v>
      </c>
      <c r="C948" s="7">
        <v>-0.001411269037490559</v>
      </c>
      <c r="D948" s="48">
        <v>-0.8676843053625096</v>
      </c>
      <c r="E948" s="81">
        <v>41.99</v>
      </c>
      <c r="F948" s="7">
        <v>-0.02473897576800821</v>
      </c>
      <c r="G948" s="48">
        <v>-0.5725145709882028</v>
      </c>
      <c r="H948" s="52">
        <v>14203.740000000005</v>
      </c>
      <c r="I948" s="7">
        <v>-0.0010495417349733315</v>
      </c>
      <c r="J948" s="7">
        <v>0.8140143822331487</v>
      </c>
      <c r="K948" s="52">
        <v>3245.26374</v>
      </c>
      <c r="L948" s="7">
        <v>-2.397987949741154E-4</v>
      </c>
      <c r="M948" s="7">
        <v>0.18598561776685132</v>
      </c>
      <c r="N948" s="51">
        <v>0.02332770673051765</v>
      </c>
      <c r="O948" s="7">
        <v>-0.2951697343743068</v>
      </c>
      <c r="P948" s="52">
        <v>98.22557016052403</v>
      </c>
      <c r="Q948" s="13">
        <v>411.8519001933792</v>
      </c>
      <c r="R948" s="13">
        <v>1330.610754271062</v>
      </c>
      <c r="S948" s="7">
        <v>-0.6838275900739472</v>
      </c>
      <c r="T948" s="52">
        <v>130700.0</v>
      </c>
      <c r="U948" s="50">
        <v>17293.661289119995</v>
      </c>
      <c r="V948" s="50">
        <v>-125766.18901087997</v>
      </c>
    </row>
    <row r="949">
      <c r="A949" s="54">
        <v>44707.960152175925</v>
      </c>
      <c r="B949" s="47">
        <v>0.7421846483961438</v>
      </c>
      <c r="C949" s="7">
        <v>-0.002462128847130929</v>
      </c>
      <c r="D949" s="48">
        <v>-0.8662730363250191</v>
      </c>
      <c r="E949" s="81">
        <v>44.42</v>
      </c>
      <c r="F949" s="7">
        <v>-0.04418401433463215</v>
      </c>
      <c r="G949" s="48">
        <v>-0.5477755952201946</v>
      </c>
      <c r="H949" s="52">
        <v>14208.670000000006</v>
      </c>
      <c r="I949" s="7">
        <v>-0.0018016326319919842</v>
      </c>
      <c r="J949" s="7">
        <v>0.8009356810052518</v>
      </c>
      <c r="K949" s="52">
        <v>3531.41867</v>
      </c>
      <c r="L949" s="7">
        <v>-4.47777245378894E-4</v>
      </c>
      <c r="M949" s="7">
        <v>0.19906431899474825</v>
      </c>
      <c r="N949" s="51">
        <v>0.04172188548750122</v>
      </c>
      <c r="O949" s="7">
        <v>-0.3184974411048245</v>
      </c>
      <c r="P949" s="52">
        <v>98.22557016052403</v>
      </c>
      <c r="Q949" s="13">
        <v>393.4739791157137</v>
      </c>
      <c r="R949" s="13">
        <v>1330.610754271062</v>
      </c>
      <c r="S949" s="7">
        <v>-0.6979360392369304</v>
      </c>
      <c r="T949" s="52">
        <v>130700.0</v>
      </c>
      <c r="U949" s="50">
        <v>17478.114152320002</v>
      </c>
      <c r="V949" s="50">
        <v>-125581.73614767996</v>
      </c>
    </row>
    <row r="950">
      <c r="A950" s="54">
        <v>44706.95994994213</v>
      </c>
      <c r="B950" s="47">
        <v>0.7558494634977209</v>
      </c>
      <c r="C950" s="7">
        <v>-4.990128428461471E-4</v>
      </c>
      <c r="D950" s="48">
        <v>-0.8638109074778881</v>
      </c>
      <c r="E950" s="81">
        <v>48.76</v>
      </c>
      <c r="F950" s="7">
        <v>-0.009060777133138798</v>
      </c>
      <c r="G950" s="48">
        <v>-0.5035915808855624</v>
      </c>
      <c r="H950" s="52">
        <v>14208.670000000006</v>
      </c>
      <c r="I950" s="7">
        <v>-3.6211086261864396E-4</v>
      </c>
      <c r="J950" s="7">
        <v>0.7942770400260534</v>
      </c>
      <c r="K950" s="52">
        <v>3680.13867</v>
      </c>
      <c r="L950" s="7">
        <v>-9.378908711018895E-5</v>
      </c>
      <c r="M950" s="7">
        <v>0.20572295997394657</v>
      </c>
      <c r="N950" s="51">
        <v>0.00856176429029265</v>
      </c>
      <c r="O950" s="7">
        <v>-0.3602193265923257</v>
      </c>
      <c r="P950" s="52">
        <v>98.22557016052403</v>
      </c>
      <c r="Q950" s="13">
        <v>365.05156670713745</v>
      </c>
      <c r="R950" s="13">
        <v>1330.610754271062</v>
      </c>
      <c r="S950" s="7">
        <v>-0.7197554908964038</v>
      </c>
      <c r="T950" s="52">
        <v>130700.0</v>
      </c>
      <c r="U950" s="50">
        <v>17799.91439264002</v>
      </c>
      <c r="V950" s="50">
        <v>-125259.93590735993</v>
      </c>
    </row>
    <row r="951">
      <c r="A951" s="59">
        <v>44705.959957812505</v>
      </c>
      <c r="B951" s="60">
        <v>0.7586189847755166</v>
      </c>
      <c r="C951" s="61">
        <v>-5.140197617752307E-4</v>
      </c>
      <c r="D951" s="62">
        <v>-0.863311894635042</v>
      </c>
      <c r="E951" s="86">
        <v>49.65</v>
      </c>
      <c r="F951" s="61">
        <v>-0.009366196587064834</v>
      </c>
      <c r="G951" s="62">
        <v>-0.49453080375242364</v>
      </c>
      <c r="H951" s="66">
        <v>14208.680000000008</v>
      </c>
      <c r="I951" s="61">
        <v>-3.74539838710917E-4</v>
      </c>
      <c r="J951" s="61">
        <v>0.7975545220808378</v>
      </c>
      <c r="K951" s="66">
        <v>3606.6286800000003</v>
      </c>
      <c r="L951" s="61">
        <v>-9.507048677972666E-5</v>
      </c>
      <c r="M951" s="61">
        <v>0.20244547791916218</v>
      </c>
      <c r="N951" s="65">
        <v>0.008852176825289604</v>
      </c>
      <c r="O951" s="61">
        <v>-0.36878109088261835</v>
      </c>
      <c r="P951" s="66">
        <v>98.22557016052403</v>
      </c>
      <c r="Q951" s="68">
        <v>359.82145762739185</v>
      </c>
      <c r="R951" s="68">
        <v>1330.610754271062</v>
      </c>
      <c r="S951" s="61">
        <v>-0.7237705657112653</v>
      </c>
      <c r="T951" s="66">
        <v>130700.0</v>
      </c>
      <c r="U951" s="64">
        <v>17865.135371200005</v>
      </c>
      <c r="V951" s="64">
        <v>-125194.71492879995</v>
      </c>
    </row>
    <row r="952">
      <c r="A952" s="54">
        <v>44704.959973599536</v>
      </c>
      <c r="B952" s="47">
        <v>0.7614717944533692</v>
      </c>
      <c r="C952" s="7">
        <v>-1.0662509667669351E-4</v>
      </c>
      <c r="D952" s="48">
        <v>-0.8627978748732668</v>
      </c>
      <c r="E952" s="81">
        <v>50.57</v>
      </c>
      <c r="F952" s="7">
        <v>-0.012361166034319249</v>
      </c>
      <c r="G952" s="48">
        <v>-0.4851646071653588</v>
      </c>
      <c r="H952" s="52">
        <v>14319.107848136935</v>
      </c>
      <c r="I952" s="7">
        <v>-7.403177207715355E-5</v>
      </c>
      <c r="J952" s="7">
        <v>0.7985084830928659</v>
      </c>
      <c r="K952" s="52">
        <v>3613.209905927093</v>
      </c>
      <c r="L952" s="7">
        <v>-1.8680795972726157E-5</v>
      </c>
      <c r="M952" s="7">
        <v>0.2014915169071341</v>
      </c>
      <c r="N952" s="51">
        <v>0.012254540937642555</v>
      </c>
      <c r="O952" s="7">
        <v>-0.37763326770790795</v>
      </c>
      <c r="P952" s="52">
        <v>98.22557016052403</v>
      </c>
      <c r="Q952" s="13">
        <v>354.60387095242294</v>
      </c>
      <c r="R952" s="13">
        <v>1330.610754271062</v>
      </c>
      <c r="S952" s="7">
        <v>-0.727776027267345</v>
      </c>
      <c r="T952" s="52">
        <v>130700.0</v>
      </c>
      <c r="U952" s="50">
        <v>17932.317754064028</v>
      </c>
      <c r="V952" s="50">
        <v>-125127.53254593593</v>
      </c>
    </row>
    <row r="953">
      <c r="A953" s="54">
        <v>44703.959947372685</v>
      </c>
      <c r="B953" s="47">
        <v>0.7620635637399251</v>
      </c>
      <c r="C953" s="7">
        <v>0.0028935072187064037</v>
      </c>
      <c r="D953" s="48">
        <v>-0.8626912497765901</v>
      </c>
      <c r="E953" s="81">
        <v>51.86</v>
      </c>
      <c r="F953" s="7">
        <v>0.01860334945488229</v>
      </c>
      <c r="G953" s="48">
        <v>-0.47280344113103956</v>
      </c>
      <c r="H953" s="52">
        <v>14332.275863143948</v>
      </c>
      <c r="I953" s="7">
        <v>0.0021143289231988077</v>
      </c>
      <c r="J953" s="7">
        <v>0.7998461023379925</v>
      </c>
      <c r="K953" s="52">
        <v>3586.5160410110493</v>
      </c>
      <c r="L953" s="7">
        <v>5.290907509341443E-4</v>
      </c>
      <c r="M953" s="7">
        <v>0.20015389766200758</v>
      </c>
      <c r="N953" s="51">
        <v>-0.015709842236175886</v>
      </c>
      <c r="O953" s="7">
        <v>-0.3898878086455505</v>
      </c>
      <c r="P953" s="52">
        <v>98.36938259092521</v>
      </c>
      <c r="Q953" s="13">
        <v>345.52240463083297</v>
      </c>
      <c r="R953" s="13">
        <v>1326.6322971924285</v>
      </c>
      <c r="S953" s="7">
        <v>-0.7339392044030525</v>
      </c>
      <c r="T953" s="52">
        <v>130500.0</v>
      </c>
      <c r="U953" s="50">
        <v>17918.791904154998</v>
      </c>
      <c r="V953" s="50">
        <v>-124927.49759584496</v>
      </c>
    </row>
    <row r="954">
      <c r="A954" s="54">
        <v>44702.9599540162</v>
      </c>
      <c r="B954" s="47">
        <v>0.7460045986761045</v>
      </c>
      <c r="C954" s="7">
        <v>-0.0018060438182804228</v>
      </c>
      <c r="D954" s="48">
        <v>-0.8655847569952965</v>
      </c>
      <c r="E954" s="81">
        <v>50.03</v>
      </c>
      <c r="F954" s="7">
        <v>0.0024397835350665753</v>
      </c>
      <c r="G954" s="48">
        <v>-0.49140679058592185</v>
      </c>
      <c r="H954" s="52">
        <v>13996.966487528418</v>
      </c>
      <c r="I954" s="7">
        <v>-0.0013165723207600815</v>
      </c>
      <c r="J954" s="7">
        <v>0.7979485494553712</v>
      </c>
      <c r="K954" s="52">
        <v>3544.22272458539</v>
      </c>
      <c r="L954" s="7">
        <v>-3.3337405944035856E-4</v>
      </c>
      <c r="M954" s="7">
        <v>0.20205145054462884</v>
      </c>
      <c r="N954" s="51">
        <v>-0.004245827353346998</v>
      </c>
      <c r="O954" s="7">
        <v>-0.3741779664093746</v>
      </c>
      <c r="P954" s="52">
        <v>98.36938259092521</v>
      </c>
      <c r="Q954" s="13">
        <v>350.61341619256063</v>
      </c>
      <c r="R954" s="13">
        <v>1326.6322971924285</v>
      </c>
      <c r="S954" s="7">
        <v>-0.7300189996106781</v>
      </c>
      <c r="T954" s="52">
        <v>130500.0</v>
      </c>
      <c r="U954" s="50">
        <v>17541.189212113808</v>
      </c>
      <c r="V954" s="50">
        <v>-125305.10028788615</v>
      </c>
    </row>
    <row r="955">
      <c r="A955" s="54">
        <v>44701.95996096065</v>
      </c>
      <c r="B955" s="47">
        <v>0.7560281418675606</v>
      </c>
      <c r="C955" s="7">
        <v>4.48727251151082E-5</v>
      </c>
      <c r="D955" s="48">
        <v>-0.863778713177016</v>
      </c>
      <c r="E955" s="81">
        <v>49.79</v>
      </c>
      <c r="F955" s="7">
        <v>-0.030395636541037274</v>
      </c>
      <c r="G955" s="48">
        <v>-0.4938465741209884</v>
      </c>
      <c r="H955" s="52">
        <v>14180.610015330569</v>
      </c>
      <c r="I955" s="7">
        <v>3.27011793932105E-5</v>
      </c>
      <c r="J955" s="7">
        <v>0.797699690060929</v>
      </c>
      <c r="K955" s="52">
        <v>3596.267915068829</v>
      </c>
      <c r="L955" s="7">
        <v>8.293169483511208E-6</v>
      </c>
      <c r="M955" s="7">
        <v>0.202300309939071</v>
      </c>
      <c r="N955" s="51">
        <v>0.030440509266152382</v>
      </c>
      <c r="O955" s="7">
        <v>-0.3699321390560276</v>
      </c>
      <c r="P955" s="52">
        <v>98.36938259092521</v>
      </c>
      <c r="Q955" s="13">
        <v>357.0371144888411</v>
      </c>
      <c r="R955" s="13">
        <v>1326.6322971924285</v>
      </c>
      <c r="S955" s="7">
        <v>-0.725072593078201</v>
      </c>
      <c r="T955" s="52">
        <v>130500.0</v>
      </c>
      <c r="U955" s="50">
        <v>17776.877930399398</v>
      </c>
      <c r="V955" s="50">
        <v>-125069.41156960056</v>
      </c>
    </row>
    <row r="956">
      <c r="A956" s="54">
        <v>44700.95996407408</v>
      </c>
      <c r="B956" s="47">
        <v>0.7557790982431722</v>
      </c>
      <c r="C956" s="7">
        <v>-0.009986001011752843</v>
      </c>
      <c r="D956" s="48">
        <v>-0.8638235859021312</v>
      </c>
      <c r="E956" s="81">
        <v>52.78</v>
      </c>
      <c r="F956" s="7">
        <v>0.019721583575121104</v>
      </c>
      <c r="G956" s="48">
        <v>-0.46345093757995115</v>
      </c>
      <c r="H956" s="52">
        <v>14231.035575243941</v>
      </c>
      <c r="I956" s="7">
        <v>-0.0073056229205636005</v>
      </c>
      <c r="J956" s="7">
        <v>0.8008000633500206</v>
      </c>
      <c r="K956" s="52">
        <v>3539.9864645279467</v>
      </c>
      <c r="L956" s="7">
        <v>-0.0018172821026973623</v>
      </c>
      <c r="M956" s="7">
        <v>0.19919993664997934</v>
      </c>
      <c r="N956" s="51">
        <v>-0.029707584586873947</v>
      </c>
      <c r="O956" s="7">
        <v>-0.40037264832218</v>
      </c>
      <c r="P956" s="52">
        <v>98.36938259092521</v>
      </c>
      <c r="Q956" s="13">
        <v>336.6999249672582</v>
      </c>
      <c r="R956" s="13">
        <v>1326.6322971924285</v>
      </c>
      <c r="S956" s="7">
        <v>-0.7407327319050868</v>
      </c>
      <c r="T956" s="52">
        <v>130500.0</v>
      </c>
      <c r="U956" s="50">
        <v>17771.022039771888</v>
      </c>
      <c r="V956" s="50">
        <v>-125075.26746022806</v>
      </c>
    </row>
    <row r="957">
      <c r="A957" s="54">
        <v>44699.959954606486</v>
      </c>
      <c r="B957" s="47">
        <v>0.8112014038584002</v>
      </c>
      <c r="C957" s="7">
        <v>0.005257624917052395</v>
      </c>
      <c r="D957" s="48">
        <v>-0.8538375848903783</v>
      </c>
      <c r="E957" s="81">
        <v>50.84</v>
      </c>
      <c r="F957" s="7">
        <v>-0.05493383687258624</v>
      </c>
      <c r="G957" s="48">
        <v>-0.48317252115507225</v>
      </c>
      <c r="H957" s="52">
        <v>15236.246794598195</v>
      </c>
      <c r="I957" s="7">
        <v>0.0038538237865175366</v>
      </c>
      <c r="J957" s="7">
        <v>0.7987884499116134</v>
      </c>
      <c r="K957" s="52">
        <v>3837.948377207431</v>
      </c>
      <c r="L957" s="7">
        <v>9.707624815287349E-4</v>
      </c>
      <c r="M957" s="7">
        <v>0.20121155008838668</v>
      </c>
      <c r="N957" s="51">
        <v>0.060191461789638634</v>
      </c>
      <c r="O957" s="7">
        <v>-0.37066506373530606</v>
      </c>
      <c r="P957" s="52">
        <v>98.36938259092521</v>
      </c>
      <c r="Q957" s="13">
        <v>375.1808649056968</v>
      </c>
      <c r="R957" s="13">
        <v>1326.6322971924285</v>
      </c>
      <c r="S957" s="7">
        <v>-0.7111014566010201</v>
      </c>
      <c r="T957" s="52">
        <v>130500.0</v>
      </c>
      <c r="U957" s="50">
        <v>19074.195171805626</v>
      </c>
      <c r="V957" s="50">
        <v>-123772.09432819433</v>
      </c>
    </row>
    <row r="958">
      <c r="A958" s="54">
        <v>44698.95994903935</v>
      </c>
      <c r="B958" s="47">
        <v>0.7820215855687592</v>
      </c>
      <c r="C958" s="7">
        <v>-9.552159310231012E-4</v>
      </c>
      <c r="D958" s="48">
        <v>-0.8590952098074307</v>
      </c>
      <c r="E958" s="81">
        <v>56.46</v>
      </c>
      <c r="F958" s="7">
        <v>0.011848401335272651</v>
      </c>
      <c r="G958" s="48">
        <v>-0.428238684282486</v>
      </c>
      <c r="H958" s="52">
        <v>14738.650630279904</v>
      </c>
      <c r="I958" s="7">
        <v>-7.020363157521089E-4</v>
      </c>
      <c r="J958" s="7">
        <v>0.8046159073981335</v>
      </c>
      <c r="K958" s="52">
        <v>3578.9720947540973</v>
      </c>
      <c r="L958" s="7">
        <v>-1.7047479084814004E-4</v>
      </c>
      <c r="M958" s="7">
        <v>0.19538409260186648</v>
      </c>
      <c r="N958" s="51">
        <v>-0.012803617266295753</v>
      </c>
      <c r="O958" s="7">
        <v>-0.4308565255249447</v>
      </c>
      <c r="P958" s="52">
        <v>98.74749908385685</v>
      </c>
      <c r="Q958" s="13">
        <v>324.43540072678</v>
      </c>
      <c r="R958" s="13">
        <v>1316.489037252512</v>
      </c>
      <c r="S958" s="7">
        <v>-0.74820405827856</v>
      </c>
      <c r="T958" s="52">
        <v>130000.0</v>
      </c>
      <c r="U958" s="50">
        <v>18317.622725034</v>
      </c>
      <c r="V958" s="50">
        <v>-124005.00227496594</v>
      </c>
    </row>
    <row r="959">
      <c r="A959" s="54">
        <v>44697.95994770833</v>
      </c>
      <c r="B959" s="47">
        <v>0.7873230339859375</v>
      </c>
      <c r="C959" s="7">
        <v>-0.019729884359830696</v>
      </c>
      <c r="D959" s="48">
        <v>-0.8581399938764076</v>
      </c>
      <c r="E959" s="81">
        <v>55.29</v>
      </c>
      <c r="F959" s="7">
        <v>-0.016709283934358776</v>
      </c>
      <c r="G959" s="48">
        <v>-0.44008708561775867</v>
      </c>
      <c r="H959" s="52">
        <v>14816.192881612731</v>
      </c>
      <c r="I959" s="7">
        <v>-0.01447862244869808</v>
      </c>
      <c r="J959" s="7">
        <v>0.8034027178502281</v>
      </c>
      <c r="K959" s="52">
        <v>3625.6079144542728</v>
      </c>
      <c r="L959" s="7">
        <v>-0.003543002481125985</v>
      </c>
      <c r="M959" s="7">
        <v>0.1965972821497719</v>
      </c>
      <c r="N959" s="51">
        <v>-0.00302060042547192</v>
      </c>
      <c r="O959" s="7">
        <v>-0.41805290825864894</v>
      </c>
      <c r="P959" s="52">
        <v>98.74749908385685</v>
      </c>
      <c r="Q959" s="13">
        <v>333.5467678796709</v>
      </c>
      <c r="R959" s="13">
        <v>1316.489037252512</v>
      </c>
      <c r="S959" s="7">
        <v>-0.7411326805328128</v>
      </c>
      <c r="T959" s="52">
        <v>130000.0</v>
      </c>
      <c r="U959" s="50">
        <v>18441.800796067004</v>
      </c>
      <c r="V959" s="50">
        <v>-123880.82420393293</v>
      </c>
    </row>
    <row r="960">
      <c r="A960" s="54">
        <v>44696.95996015046</v>
      </c>
      <c r="B960" s="47">
        <v>0.8968238921829983</v>
      </c>
      <c r="C960" s="7">
        <v>-0.006943405935497804</v>
      </c>
      <c r="D960" s="48">
        <v>-0.8384101095165769</v>
      </c>
      <c r="E960" s="81">
        <v>56.94</v>
      </c>
      <c r="F960" s="7">
        <v>0.0573179073142247</v>
      </c>
      <c r="G960" s="48">
        <v>-0.4233778016833999</v>
      </c>
      <c r="H960" s="52">
        <v>16912.768948695342</v>
      </c>
      <c r="I960" s="7">
        <v>-0.005106215508646119</v>
      </c>
      <c r="J960" s="7">
        <v>0.8051136261870178</v>
      </c>
      <c r="K960" s="52">
        <v>4093.916814149663</v>
      </c>
      <c r="L960" s="7">
        <v>-0.001236014137657258</v>
      </c>
      <c r="M960" s="7">
        <v>0.1948863738129822</v>
      </c>
      <c r="N960" s="51">
        <v>-0.06426131324972251</v>
      </c>
      <c r="O960" s="7">
        <v>-0.415032307833177</v>
      </c>
      <c r="P960" s="52">
        <v>98.74749908385685</v>
      </c>
      <c r="Q960" s="13">
        <v>368.92669060142265</v>
      </c>
      <c r="R960" s="13">
        <v>1316.489037252512</v>
      </c>
      <c r="S960" s="7">
        <v>-0.71367414505919</v>
      </c>
      <c r="T960" s="52">
        <v>130000.0</v>
      </c>
      <c r="U960" s="50">
        <v>21006.685762845005</v>
      </c>
      <c r="V960" s="50">
        <v>-121315.93923715493</v>
      </c>
    </row>
    <row r="961">
      <c r="A961" s="54">
        <v>44695.95995174769</v>
      </c>
      <c r="B961" s="47">
        <v>0.9353597951250111</v>
      </c>
      <c r="C961" s="7">
        <v>0.01263853491471656</v>
      </c>
      <c r="D961" s="48">
        <v>-0.8314667035810791</v>
      </c>
      <c r="E961" s="81">
        <v>51.28</v>
      </c>
      <c r="F961" s="7">
        <v>0.004455809049162318</v>
      </c>
      <c r="G961" s="48">
        <v>-0.4806957089976246</v>
      </c>
      <c r="H961" s="52">
        <v>17510.914539403515</v>
      </c>
      <c r="I961" s="7">
        <v>0.00922668938338596</v>
      </c>
      <c r="J961" s="7">
        <v>0.7992446921347574</v>
      </c>
      <c r="K961" s="52">
        <v>4398.413995056206</v>
      </c>
      <c r="L961" s="7">
        <v>0.0023175716848255323</v>
      </c>
      <c r="M961" s="7">
        <v>0.2007553078652426</v>
      </c>
      <c r="N961" s="51">
        <v>0.008182725865554241</v>
      </c>
      <c r="O961" s="7">
        <v>-0.3507709945834545</v>
      </c>
      <c r="P961" s="52">
        <v>98.74749908385685</v>
      </c>
      <c r="Q961" s="13">
        <v>427.24899638181984</v>
      </c>
      <c r="R961" s="13">
        <v>1316.489037252512</v>
      </c>
      <c r="S961" s="7">
        <v>-0.6684099110254079</v>
      </c>
      <c r="T961" s="52">
        <v>130000.0</v>
      </c>
      <c r="U961" s="50">
        <v>21909.32853445972</v>
      </c>
      <c r="V961" s="50">
        <v>-120413.29646554022</v>
      </c>
    </row>
    <row r="962">
      <c r="A962" s="54">
        <v>44694.959976412036</v>
      </c>
      <c r="B962" s="47">
        <v>0.8652159263483339</v>
      </c>
      <c r="C962" s="7">
        <v>-0.1712056373894033</v>
      </c>
      <c r="D962" s="48">
        <v>-0.8441052384957957</v>
      </c>
      <c r="E962" s="81">
        <v>50.84</v>
      </c>
      <c r="F962" s="7">
        <v>0.08952125453317072</v>
      </c>
      <c r="G962" s="48">
        <v>-0.4851515180467869</v>
      </c>
      <c r="H962" s="52">
        <v>16188.501535866924</v>
      </c>
      <c r="I962" s="7">
        <v>-0.12491633808632659</v>
      </c>
      <c r="J962" s="7">
        <v>0.7987884499116135</v>
      </c>
      <c r="K962" s="52">
        <v>4077.817459679636</v>
      </c>
      <c r="L962" s="7">
        <v>-0.03146591568831008</v>
      </c>
      <c r="M962" s="7">
        <v>0.20121155008838654</v>
      </c>
      <c r="N962" s="51">
        <v>-0.26072689192257403</v>
      </c>
      <c r="O962" s="7">
        <v>-0.35895372044900875</v>
      </c>
      <c r="P962" s="52">
        <v>98.74749908385685</v>
      </c>
      <c r="Q962" s="13">
        <v>398.6294058919465</v>
      </c>
      <c r="R962" s="13">
        <v>1316.489037252512</v>
      </c>
      <c r="S962" s="7">
        <v>-0.6906217187471809</v>
      </c>
      <c r="T962" s="52">
        <v>130000.0</v>
      </c>
      <c r="U962" s="50">
        <v>20266.31899554656</v>
      </c>
      <c r="V962" s="50">
        <v>-122056.30600445338</v>
      </c>
    </row>
    <row r="963">
      <c r="A963" s="54">
        <v>44693.95995289352</v>
      </c>
      <c r="B963" s="47">
        <v>1.8154072138595223</v>
      </c>
      <c r="C963" s="7">
        <v>-0.07169798863572319</v>
      </c>
      <c r="D963" s="48">
        <v>-0.6728996011063924</v>
      </c>
      <c r="E963" s="81">
        <v>42.0</v>
      </c>
      <c r="F963" s="7">
        <v>-0.0248107549328358</v>
      </c>
      <c r="G963" s="48">
        <v>-0.5746727725799576</v>
      </c>
      <c r="H963" s="52">
        <v>33577.14273327014</v>
      </c>
      <c r="I963" s="7">
        <v>-0.05171251861755574</v>
      </c>
      <c r="J963" s="7">
        <v>0.7896221288829947</v>
      </c>
      <c r="K963" s="52">
        <v>8945.909122898855</v>
      </c>
      <c r="L963" s="7">
        <v>-0.013777690845936188</v>
      </c>
      <c r="M963" s="7">
        <v>0.21037787111700532</v>
      </c>
      <c r="N963" s="51">
        <v>-0.04688723370288739</v>
      </c>
      <c r="O963" s="7">
        <v>-0.09822682852643472</v>
      </c>
      <c r="P963" s="52">
        <v>98.74749908385685</v>
      </c>
      <c r="Q963" s="13">
        <v>1012.4536156230713</v>
      </c>
      <c r="R963" s="13">
        <v>1316.489037252512</v>
      </c>
      <c r="S963" s="7">
        <v>-0.2142296709175204</v>
      </c>
      <c r="T963" s="52">
        <v>130000.0</v>
      </c>
      <c r="U963" s="50">
        <v>42523.051856169</v>
      </c>
      <c r="V963" s="50">
        <v>-99799.57314383094</v>
      </c>
    </row>
    <row r="964">
      <c r="A964" s="54">
        <v>44692.95995310185</v>
      </c>
      <c r="B964" s="47">
        <v>2.213331050787786</v>
      </c>
      <c r="C964" s="7">
        <v>-0.003920631597161384</v>
      </c>
      <c r="D964" s="48">
        <v>-0.6012016124706692</v>
      </c>
      <c r="E964" s="81">
        <v>44.45</v>
      </c>
      <c r="F964" s="7">
        <v>-0.1995999917249769</v>
      </c>
      <c r="G964" s="48">
        <v>-0.5498620176471218</v>
      </c>
      <c r="H964" s="52">
        <v>41068.71014904945</v>
      </c>
      <c r="I964" s="7">
        <v>-0.0028368721242816052</v>
      </c>
      <c r="J964" s="7">
        <v>0.7921625685345915</v>
      </c>
      <c r="K964" s="52">
        <v>10775.080229763553</v>
      </c>
      <c r="L964" s="7">
        <v>-7.443020399174029E-4</v>
      </c>
      <c r="M964" s="7">
        <v>0.2078374314654085</v>
      </c>
      <c r="N964" s="51">
        <v>0.1956793601278155</v>
      </c>
      <c r="O964" s="7">
        <v>-0.05133959482354733</v>
      </c>
      <c r="P964" s="52">
        <v>98.74749908385685</v>
      </c>
      <c r="Q964" s="13">
        <v>1166.3394910869067</v>
      </c>
      <c r="R964" s="13">
        <v>1316.489037252512</v>
      </c>
      <c r="S964" s="7">
        <v>-0.09479807114991126</v>
      </c>
      <c r="T964" s="52">
        <v>130000.0</v>
      </c>
      <c r="U964" s="50">
        <v>51843.790378813006</v>
      </c>
      <c r="V964" s="50">
        <v>-90478.83462118694</v>
      </c>
    </row>
    <row r="965">
      <c r="A965" s="54">
        <v>44691.95995041667</v>
      </c>
      <c r="B965" s="47">
        <v>2.235090556152032</v>
      </c>
      <c r="C965" s="7">
        <v>-0.29476688733765466</v>
      </c>
      <c r="D965" s="48">
        <v>-0.5972809808735078</v>
      </c>
      <c r="E965" s="81">
        <v>64.16</v>
      </c>
      <c r="F965" s="7">
        <v>-0.033924909806122505</v>
      </c>
      <c r="G965" s="48">
        <v>-0.35026202592214495</v>
      </c>
      <c r="H965" s="52">
        <v>42542.439401962445</v>
      </c>
      <c r="I965" s="7">
        <v>-0.21878875583462154</v>
      </c>
      <c r="J965" s="7">
        <v>0.8126001463031522</v>
      </c>
      <c r="K965" s="52">
        <v>9811.033084481547</v>
      </c>
      <c r="L965" s="7">
        <v>-0.05045652652224285</v>
      </c>
      <c r="M965" s="7">
        <v>0.18739985369684772</v>
      </c>
      <c r="N965" s="51">
        <v>-0.26084197753153215</v>
      </c>
      <c r="O965" s="7">
        <v>-0.24701895495136283</v>
      </c>
      <c r="P965" s="52">
        <v>98.74749908385685</v>
      </c>
      <c r="Q965" s="13">
        <v>815.983049975748</v>
      </c>
      <c r="R965" s="13">
        <v>1316.489037252512</v>
      </c>
      <c r="S965" s="7">
        <v>-0.3667114623215751</v>
      </c>
      <c r="T965" s="52">
        <v>130000.0</v>
      </c>
      <c r="U965" s="50">
        <v>52353.47248644399</v>
      </c>
      <c r="V965" s="50">
        <v>-89969.15251355595</v>
      </c>
    </row>
    <row r="966">
      <c r="A966" s="54">
        <v>44690.95995246527</v>
      </c>
      <c r="B966" s="47">
        <v>3.871046780876015</v>
      </c>
      <c r="C966" s="7">
        <v>-0.16952697605219524</v>
      </c>
      <c r="D966" s="48">
        <v>-0.3025140935358531</v>
      </c>
      <c r="E966" s="81">
        <v>67.51</v>
      </c>
      <c r="F966" s="7">
        <v>-0.08678994120791772</v>
      </c>
      <c r="G966" s="48">
        <v>-0.31633711611602244</v>
      </c>
      <c r="H966" s="52">
        <v>73995.99742490069</v>
      </c>
      <c r="I966" s="7">
        <v>-0.12596450375250282</v>
      </c>
      <c r="J966" s="7">
        <v>0.8160738086839071</v>
      </c>
      <c r="K966" s="52">
        <v>16677.170415438406</v>
      </c>
      <c r="L966" s="7">
        <v>-0.02838979902269274</v>
      </c>
      <c r="M966" s="7">
        <v>0.18392619131609284</v>
      </c>
      <c r="N966" s="51">
        <v>-0.08273703484427752</v>
      </c>
      <c r="O966" s="7">
        <v>0.01382302258016932</v>
      </c>
      <c r="P966" s="52">
        <v>98.74749908385685</v>
      </c>
      <c r="Q966" s="13">
        <v>1343.1072113811153</v>
      </c>
      <c r="R966" s="13">
        <v>1316.489037252512</v>
      </c>
      <c r="S966" s="7">
        <v>0.04239224315526378</v>
      </c>
      <c r="T966" s="52">
        <v>130000.0</v>
      </c>
      <c r="U966" s="50">
        <v>90673.1678403391</v>
      </c>
      <c r="V966" s="50">
        <v>-51649.457159660844</v>
      </c>
    </row>
    <row r="967">
      <c r="A967" s="54">
        <v>44689.9599506713</v>
      </c>
      <c r="B967" s="47">
        <v>4.811921497965699</v>
      </c>
      <c r="C967" s="7">
        <v>-0.01907803477411163</v>
      </c>
      <c r="D967" s="48">
        <v>-0.13298711748365788</v>
      </c>
      <c r="E967" s="81">
        <v>76.55</v>
      </c>
      <c r="F967" s="7">
        <v>-0.03794392097447996</v>
      </c>
      <c r="G967" s="48">
        <v>-0.22954717490810472</v>
      </c>
      <c r="H967" s="52">
        <v>91606.22428343224</v>
      </c>
      <c r="I967" s="7">
        <v>-0.014375440792704938</v>
      </c>
      <c r="J967" s="7">
        <v>0.8254475125412277</v>
      </c>
      <c r="K967" s="52">
        <v>19371.42467865956</v>
      </c>
      <c r="L967" s="7">
        <v>-0.003039889163828117</v>
      </c>
      <c r="M967" s="7">
        <v>0.17455248745877228</v>
      </c>
      <c r="N967" s="51">
        <v>0.01886588620036833</v>
      </c>
      <c r="O967" s="7">
        <v>0.09656005742444684</v>
      </c>
      <c r="P967" s="52">
        <v>99.35715400987665</v>
      </c>
      <c r="Q967" s="13">
        <v>1449.7406787993705</v>
      </c>
      <c r="R967" s="13">
        <v>1288.2816670380482</v>
      </c>
      <c r="S967" s="7">
        <v>0.15022238580441433</v>
      </c>
      <c r="T967" s="52">
        <v>128000.0</v>
      </c>
      <c r="U967" s="50">
        <v>110977.6489620918</v>
      </c>
      <c r="V967" s="50">
        <v>-29242.97603790817</v>
      </c>
    </row>
    <row r="968">
      <c r="A968" s="54">
        <v>44688.95995201389</v>
      </c>
      <c r="B968" s="47">
        <v>4.917804590962018</v>
      </c>
      <c r="C968" s="7">
        <v>-0.013680286519299756</v>
      </c>
      <c r="D968" s="48">
        <v>-0.11390908270954625</v>
      </c>
      <c r="E968" s="81">
        <v>80.32</v>
      </c>
      <c r="F968" s="7">
        <v>-0.030496042586916294</v>
      </c>
      <c r="G968" s="48">
        <v>-0.19160325393362476</v>
      </c>
      <c r="H968" s="52">
        <v>94065.33380275469</v>
      </c>
      <c r="I968" s="7">
        <v>-0.010357015133629022</v>
      </c>
      <c r="J968" s="7">
        <v>0.8293566788622564</v>
      </c>
      <c r="K968" s="52">
        <v>19354.30361042339</v>
      </c>
      <c r="L968" s="7">
        <v>-0.0021309956313378398</v>
      </c>
      <c r="M968" s="7">
        <v>0.17064332113774364</v>
      </c>
      <c r="N968" s="51">
        <v>0.01681575606761654</v>
      </c>
      <c r="O968" s="7">
        <v>0.07769417122407851</v>
      </c>
      <c r="P968" s="52">
        <v>99.35715400987665</v>
      </c>
      <c r="Q968" s="13">
        <v>1412.0970793473368</v>
      </c>
      <c r="R968" s="13">
        <v>1288.2816670380482</v>
      </c>
      <c r="S968" s="7">
        <v>0.12035600252279025</v>
      </c>
      <c r="T968" s="52">
        <v>128000.0</v>
      </c>
      <c r="U968" s="50">
        <v>113419.63741317808</v>
      </c>
      <c r="V968" s="50">
        <v>-26800.987586821895</v>
      </c>
    </row>
    <row r="969">
      <c r="A969" s="54">
        <v>44687.98194834491</v>
      </c>
      <c r="B969" s="47">
        <v>4.993730181144132</v>
      </c>
      <c r="C969" s="7">
        <v>-0.003472689815280816</v>
      </c>
      <c r="D969" s="48">
        <v>-0.1002287961902465</v>
      </c>
      <c r="E969" s="81">
        <v>83.35</v>
      </c>
      <c r="F969" s="7">
        <v>-0.008655642450411949</v>
      </c>
      <c r="G969" s="48">
        <v>-0.16110721134670847</v>
      </c>
      <c r="H969" s="52">
        <v>95879.45002926378</v>
      </c>
      <c r="I969" s="7">
        <v>-0.002639049517321328</v>
      </c>
      <c r="J969" s="7">
        <v>0.8324985287170884</v>
      </c>
      <c r="K969" s="52">
        <v>19291.264058384666</v>
      </c>
      <c r="L969" s="7">
        <v>-5.309855353390084E-4</v>
      </c>
      <c r="M969" s="7">
        <v>0.16750147128291157</v>
      </c>
      <c r="N969" s="51">
        <v>0.005182952635131133</v>
      </c>
      <c r="O969" s="7">
        <v>0.060878415156461974</v>
      </c>
      <c r="P969" s="52">
        <v>99.35715400987665</v>
      </c>
      <c r="Q969" s="13">
        <v>1381.7722146088597</v>
      </c>
      <c r="R969" s="13">
        <v>1288.2816670380482</v>
      </c>
      <c r="S969" s="7">
        <v>0.09629629392885461</v>
      </c>
      <c r="T969" s="52">
        <v>128000.0</v>
      </c>
      <c r="U969" s="50">
        <v>115170.71408764845</v>
      </c>
      <c r="V969" s="50">
        <v>-25049.910912351523</v>
      </c>
    </row>
    <row r="970">
      <c r="A970" s="54">
        <v>44686.0</v>
      </c>
      <c r="B970" s="47">
        <v>5.0130036096189405</v>
      </c>
      <c r="C970" s="7">
        <v>0.001703893625034314</v>
      </c>
      <c r="D970" s="48">
        <v>-0.09675610637496568</v>
      </c>
      <c r="E970" s="81">
        <v>84.21</v>
      </c>
      <c r="F970" s="7">
        <v>-0.02214234115221647</v>
      </c>
      <c r="G970" s="48">
        <v>-0.15245156889629652</v>
      </c>
      <c r="H970" s="52">
        <v>96352.59862941517</v>
      </c>
      <c r="I970" s="7">
        <v>0.0012962750769719953</v>
      </c>
      <c r="J970" s="7">
        <v>0.8333902748805061</v>
      </c>
      <c r="K970" s="52">
        <v>19262.619754589236</v>
      </c>
      <c r="L970" s="7">
        <v>2.591487335084654E-4</v>
      </c>
      <c r="M970" s="7">
        <v>0.16660972511949393</v>
      </c>
      <c r="N970" s="51">
        <v>0.023846234777250785</v>
      </c>
      <c r="O970" s="7">
        <v>0.05569546252133084</v>
      </c>
      <c r="P970" s="52">
        <v>99.35715400987665</v>
      </c>
      <c r="Q970" s="13">
        <v>1372.9392991806722</v>
      </c>
      <c r="R970" s="13">
        <v>1288.2816670380482</v>
      </c>
      <c r="S970" s="7">
        <v>0.08928827021399785</v>
      </c>
      <c r="T970" s="52">
        <v>128000.0</v>
      </c>
      <c r="U970" s="50">
        <v>115615.2183840044</v>
      </c>
      <c r="V970" s="50">
        <v>-24605.40661599557</v>
      </c>
    </row>
    <row r="971">
      <c r="A971" s="54">
        <v>44685.0</v>
      </c>
      <c r="B971" s="47">
        <v>5.003547</v>
      </c>
      <c r="C971" s="7">
        <v>0.0044307177781235385</v>
      </c>
      <c r="D971" s="48">
        <v>-0.09845999999999999</v>
      </c>
      <c r="E971" s="81">
        <v>86.41</v>
      </c>
      <c r="F971" s="7">
        <v>0.006944643361377012</v>
      </c>
      <c r="G971" s="48">
        <v>-0.13030922774408005</v>
      </c>
      <c r="H971" s="52">
        <v>96437.83730181532</v>
      </c>
      <c r="I971" s="7">
        <v>0.0033799067699068876</v>
      </c>
      <c r="J971" s="7">
        <v>0.8356717348556202</v>
      </c>
      <c r="K971" s="52">
        <v>18963.74118818468</v>
      </c>
      <c r="L971" s="7">
        <v>6.646320471093866E-4</v>
      </c>
      <c r="M971" s="7">
        <v>0.16432826514437981</v>
      </c>
      <c r="N971" s="51">
        <v>-0.0025139255832534735</v>
      </c>
      <c r="O971" s="7">
        <v>0.031849227744080055</v>
      </c>
      <c r="P971" s="52">
        <v>99.35715400987665</v>
      </c>
      <c r="Q971" s="13">
        <v>1335.4602476565212</v>
      </c>
      <c r="R971" s="13">
        <v>1288.2816670380482</v>
      </c>
      <c r="S971" s="7">
        <v>0.05955243904624918</v>
      </c>
      <c r="T971" s="52">
        <v>128000.0</v>
      </c>
      <c r="U971" s="50">
        <v>115397.12</v>
      </c>
      <c r="V971" s="50">
        <v>-24823.5</v>
      </c>
    </row>
    <row r="972">
      <c r="A972" s="54">
        <v>44684.0</v>
      </c>
      <c r="B972" s="47">
        <v>4.978956516331414</v>
      </c>
      <c r="C972" s="7">
        <v>-0.013010211918748293</v>
      </c>
      <c r="D972" s="48">
        <v>-0.10289071777812353</v>
      </c>
      <c r="E972" s="81">
        <v>85.72</v>
      </c>
      <c r="F972" s="7">
        <v>-0.029791513550255</v>
      </c>
      <c r="G972" s="48">
        <v>-0.13725387110545706</v>
      </c>
      <c r="H972" s="52">
        <v>95877.98931408471</v>
      </c>
      <c r="I972" s="7">
        <v>-0.009916217401947277</v>
      </c>
      <c r="J972" s="7">
        <v>0.8349560152372046</v>
      </c>
      <c r="K972" s="52">
        <v>18951.998810315476</v>
      </c>
      <c r="L972" s="7">
        <v>-0.0019601176635952538</v>
      </c>
      <c r="M972" s="7">
        <v>0.16504398476279536</v>
      </c>
      <c r="N972" s="51">
        <v>0.016781301631506707</v>
      </c>
      <c r="O972" s="7">
        <v>0.03436315332733353</v>
      </c>
      <c r="P972" s="52">
        <v>99.35715400987665</v>
      </c>
      <c r="Q972" s="13">
        <v>1339.5938885254338</v>
      </c>
      <c r="R972" s="13">
        <v>1288.2816670380482</v>
      </c>
      <c r="S972" s="7">
        <v>0.06283206438326938</v>
      </c>
      <c r="T972" s="52">
        <v>128000.0</v>
      </c>
      <c r="U972" s="52">
        <v>114829.98812440019</v>
      </c>
      <c r="V972" s="52">
        <v>-25390.636875599783</v>
      </c>
    </row>
    <row r="973">
      <c r="A973" s="54">
        <v>44683.0</v>
      </c>
      <c r="B973" s="47">
        <v>5.051163192480467</v>
      </c>
      <c r="C973" s="7">
        <v>-0.0014583580772231652</v>
      </c>
      <c r="D973" s="48">
        <v>-0.08988050585937524</v>
      </c>
      <c r="E973" s="81">
        <v>88.68</v>
      </c>
      <c r="F973" s="7">
        <v>0.0059381733090035915</v>
      </c>
      <c r="G973" s="48">
        <v>-0.10746235755520206</v>
      </c>
      <c r="H973" s="52">
        <v>97625.58942792266</v>
      </c>
      <c r="I973" s="7">
        <v>-0.0011156231691106277</v>
      </c>
      <c r="J973" s="7">
        <v>0.8380217348556203</v>
      </c>
      <c r="K973" s="52">
        <v>18869.705822077303</v>
      </c>
      <c r="L973" s="7">
        <v>-2.1563486717745788E-4</v>
      </c>
      <c r="M973" s="7">
        <v>0.1619782651443798</v>
      </c>
      <c r="N973" s="51">
        <v>-0.007396531386226757</v>
      </c>
      <c r="O973" s="7">
        <v>0.017581851695826822</v>
      </c>
      <c r="P973" s="52">
        <v>99.35715400987665</v>
      </c>
      <c r="Q973" s="13">
        <v>1313.6591706134411</v>
      </c>
      <c r="R973" s="13">
        <v>1288.2816670380482</v>
      </c>
      <c r="S973" s="7">
        <v>0.04225549262244828</v>
      </c>
      <c r="T973" s="52">
        <v>128000.0</v>
      </c>
      <c r="U973" s="52">
        <v>116495.29524999997</v>
      </c>
      <c r="V973" s="52">
        <v>-23725.329750000004</v>
      </c>
    </row>
    <row r="974">
      <c r="A974" s="54">
        <v>44682.0</v>
      </c>
      <c r="B974" s="47">
        <v>5.059257079809056</v>
      </c>
      <c r="C974" s="7">
        <v>-0.017737459325174343</v>
      </c>
      <c r="D974" s="48">
        <v>-0.08842214778215207</v>
      </c>
      <c r="E974" s="81">
        <v>88.09</v>
      </c>
      <c r="F974" s="7">
        <v>-0.028080514461219952</v>
      </c>
      <c r="G974" s="48">
        <v>-0.11340053086420565</v>
      </c>
      <c r="H974" s="52">
        <v>97711.05297282118</v>
      </c>
      <c r="I974" s="7">
        <v>-0.013559055627507352</v>
      </c>
      <c r="J974" s="7">
        <v>0.8374135017573208</v>
      </c>
      <c r="K974" s="52">
        <v>18970.912111063357</v>
      </c>
      <c r="L974" s="7">
        <v>-0.002632533831049903</v>
      </c>
      <c r="M974" s="7">
        <v>0.16258649824267926</v>
      </c>
      <c r="N974" s="51">
        <v>0.010343055136045609</v>
      </c>
      <c r="O974" s="7">
        <v>0.02497838308205358</v>
      </c>
      <c r="P974" s="52">
        <v>99.35715400987665</v>
      </c>
      <c r="Q974" s="13">
        <v>1324.5767406502955</v>
      </c>
      <c r="R974" s="13">
        <v>1288.2816670380482</v>
      </c>
      <c r="S974" s="7">
        <v>0.05091747861664503</v>
      </c>
      <c r="T974" s="52">
        <v>128000.0</v>
      </c>
      <c r="U974" s="52">
        <v>116681.96508388454</v>
      </c>
      <c r="V974" s="52">
        <v>-23538.65991611543</v>
      </c>
    </row>
    <row r="975">
      <c r="A975" s="54">
        <v>44681.0</v>
      </c>
      <c r="B975" s="47">
        <v>5.157699979063773</v>
      </c>
      <c r="C975" s="7">
        <v>-0.024347742610033585</v>
      </c>
      <c r="D975" s="48">
        <v>-0.07068468845697773</v>
      </c>
      <c r="E975" s="81">
        <v>90.88</v>
      </c>
      <c r="F975" s="7">
        <v>-0.03180445365500184</v>
      </c>
      <c r="G975" s="48">
        <v>-0.0853200164029857</v>
      </c>
      <c r="H975" s="52">
        <v>99956.44026968651</v>
      </c>
      <c r="I975" s="7">
        <v>-0.018676456989228894</v>
      </c>
      <c r="J975" s="7">
        <v>0.8403064922177106</v>
      </c>
      <c r="K975" s="52">
        <v>18995.919607820324</v>
      </c>
      <c r="L975" s="7">
        <v>-0.00354931082548663</v>
      </c>
      <c r="M975" s="7">
        <v>0.15969350778228936</v>
      </c>
      <c r="N975" s="51">
        <v>0.007456711044968256</v>
      </c>
      <c r="O975" s="7">
        <v>0.01463532794600797</v>
      </c>
      <c r="P975" s="52">
        <v>99.35715400987665</v>
      </c>
      <c r="Q975" s="13">
        <v>1308.8948049901721</v>
      </c>
      <c r="R975" s="13">
        <v>1288.2816670380482</v>
      </c>
      <c r="S975" s="7">
        <v>0.03847545107834301</v>
      </c>
      <c r="T975" s="52">
        <v>128000.0</v>
      </c>
      <c r="U975" s="52">
        <v>118952.35987750684</v>
      </c>
      <c r="V975" s="52">
        <v>-21268.265122493132</v>
      </c>
    </row>
    <row r="976">
      <c r="A976" s="54">
        <v>44680.0</v>
      </c>
      <c r="B976" s="47">
        <v>5.29282995054946</v>
      </c>
      <c r="C976" s="7">
        <v>-0.034173674548243826</v>
      </c>
      <c r="D976" s="48">
        <v>-0.046336945846944144</v>
      </c>
      <c r="E976" s="81">
        <v>94.04</v>
      </c>
      <c r="F976" s="7">
        <v>-0.04519050535156899</v>
      </c>
      <c r="G976" s="48">
        <v>-0.05351556274798386</v>
      </c>
      <c r="H976" s="52">
        <v>102975.2415479554</v>
      </c>
      <c r="I976" s="7">
        <v>-0.02631586452507405</v>
      </c>
      <c r="J976" s="7">
        <v>0.8435831409111988</v>
      </c>
      <c r="K976" s="52">
        <v>19093.62938363575</v>
      </c>
      <c r="L976" s="7">
        <v>-0.004879477402514607</v>
      </c>
      <c r="M976" s="7">
        <v>0.15641685908880118</v>
      </c>
      <c r="N976" s="51">
        <v>0.011016830803325162</v>
      </c>
      <c r="O976" s="7">
        <v>0.007178616901039714</v>
      </c>
      <c r="P976" s="52">
        <v>99.35715400987665</v>
      </c>
      <c r="Q976" s="13">
        <v>1298.0526470819987</v>
      </c>
      <c r="R976" s="13">
        <v>1288.2816670380482</v>
      </c>
      <c r="S976" s="7">
        <v>0.029873296969833416</v>
      </c>
      <c r="T976" s="52">
        <v>128000.0</v>
      </c>
      <c r="U976" s="50">
        <v>122068.87093159115</v>
      </c>
      <c r="V976" s="50">
        <v>-18151.754068408816</v>
      </c>
    </row>
    <row r="977">
      <c r="A977" s="54">
        <v>44679.0</v>
      </c>
      <c r="B977" s="47">
        <v>5.482493844292213</v>
      </c>
      <c r="C977" s="7">
        <v>0.006039953753506855</v>
      </c>
      <c r="D977" s="48">
        <v>-0.012163271298700318</v>
      </c>
      <c r="E977" s="81">
        <v>98.53</v>
      </c>
      <c r="F977" s="7">
        <v>0.001710999089034937</v>
      </c>
      <c r="G977" s="48">
        <v>-0.00832505739641487</v>
      </c>
      <c r="H977" s="52">
        <v>107253.95529294555</v>
      </c>
      <c r="I977" s="7">
        <v>0.0046768114597906035</v>
      </c>
      <c r="J977" s="7">
        <v>0.8482388854155538</v>
      </c>
      <c r="K977" s="52">
        <v>19189.145980820787</v>
      </c>
      <c r="L977" s="7">
        <v>8.367432005801302E-4</v>
      </c>
      <c r="M977" s="7">
        <v>0.1517611145844462</v>
      </c>
      <c r="N977" s="51">
        <v>0.004328954664471918</v>
      </c>
      <c r="O977" s="7">
        <v>-0.003838213902285448</v>
      </c>
      <c r="P977" s="52">
        <v>99.35715400987665</v>
      </c>
      <c r="Q977" s="13">
        <v>1283.2954559399811</v>
      </c>
      <c r="R977" s="13">
        <v>1288.2816670380482</v>
      </c>
      <c r="S977" s="7">
        <v>0.01816496054017585</v>
      </c>
      <c r="T977" s="52">
        <v>128000.0</v>
      </c>
      <c r="U977" s="50">
        <v>126443.10127376634</v>
      </c>
      <c r="V977" s="50">
        <v>-13777.52372623363</v>
      </c>
    </row>
    <row r="978">
      <c r="A978" s="54">
        <v>44678.0</v>
      </c>
      <c r="B978" s="47">
        <v>5.44897210096025</v>
      </c>
      <c r="C978" s="7">
        <v>-0.006758510742988388</v>
      </c>
      <c r="D978" s="48">
        <v>-0.018203225052207173</v>
      </c>
      <c r="E978" s="81">
        <v>98.36</v>
      </c>
      <c r="F978" s="7">
        <v>0.009762759508022634</v>
      </c>
      <c r="G978" s="48">
        <v>-0.010036056485449807</v>
      </c>
      <c r="H978" s="52">
        <v>106576.01733923356</v>
      </c>
      <c r="I978" s="7">
        <v>-0.005232111562349285</v>
      </c>
      <c r="J978" s="7">
        <v>0.8480626100111573</v>
      </c>
      <c r="K978" s="52">
        <v>19093.969854083945</v>
      </c>
      <c r="L978" s="7">
        <v>-9.373758087310767E-4</v>
      </c>
      <c r="M978" s="7">
        <v>0.15193738998884268</v>
      </c>
      <c r="N978" s="51">
        <v>-0.016521270251011022</v>
      </c>
      <c r="O978" s="7">
        <v>-0.008167168566757366</v>
      </c>
      <c r="P978" s="52">
        <v>99.35715400987665</v>
      </c>
      <c r="Q978" s="13">
        <v>1277.6533874879779</v>
      </c>
      <c r="R978" s="13">
        <v>1288.2816670380482</v>
      </c>
      <c r="S978" s="7">
        <v>0.01368855070313551</v>
      </c>
      <c r="T978" s="52">
        <v>128000.0</v>
      </c>
      <c r="U978" s="50">
        <v>125669.9871933175</v>
      </c>
      <c r="V978" s="50">
        <v>-14550.637806682469</v>
      </c>
    </row>
    <row r="979">
      <c r="A979" s="54">
        <v>44677.0</v>
      </c>
      <c r="B979" s="47">
        <v>5.486481835583835</v>
      </c>
      <c r="C979" s="7">
        <v>0.009326229315781087</v>
      </c>
      <c r="D979" s="48">
        <v>-0.011444714309218784</v>
      </c>
      <c r="E979" s="87">
        <v>97.39</v>
      </c>
      <c r="F979" s="7">
        <v>-0.02667145638789703</v>
      </c>
      <c r="G979" s="48">
        <v>-0.01979881599347244</v>
      </c>
      <c r="H979" s="52">
        <v>107182.39746234842</v>
      </c>
      <c r="I979" s="7">
        <v>0.00721135201648921</v>
      </c>
      <c r="J979" s="7">
        <v>0.8470568032919537</v>
      </c>
      <c r="K979" s="52">
        <v>19352.679106071562</v>
      </c>
      <c r="L979" s="7">
        <v>0.001302069974177082</v>
      </c>
      <c r="M979" s="7">
        <v>0.15294319670804632</v>
      </c>
      <c r="N979" s="51">
        <v>0.03599768570367812</v>
      </c>
      <c r="O979" s="7">
        <v>0.008354101684253656</v>
      </c>
      <c r="P979" s="52">
        <v>99.35715400987665</v>
      </c>
      <c r="Q979" s="13">
        <v>1299.2614905885614</v>
      </c>
      <c r="R979" s="13">
        <v>1288.2816670380482</v>
      </c>
      <c r="S979" s="7">
        <v>0.03083239184970827</v>
      </c>
      <c r="T979" s="52">
        <v>128000.0</v>
      </c>
      <c r="U979" s="52">
        <v>126535.07656841999</v>
      </c>
      <c r="V979" s="52">
        <v>-13685.548431579984</v>
      </c>
    </row>
    <row r="980">
      <c r="A980" s="54">
        <v>44676.0</v>
      </c>
      <c r="B980" s="47">
        <v>5.434721262881251</v>
      </c>
      <c r="C980" s="7">
        <v>-0.010051333297499632</v>
      </c>
      <c r="D980" s="48">
        <v>-0.02077094362499987</v>
      </c>
      <c r="E980" s="87">
        <v>100.04</v>
      </c>
      <c r="F980" s="7">
        <v>2.012940104747507E-4</v>
      </c>
      <c r="G980" s="48">
        <v>0.0068726403944245895</v>
      </c>
      <c r="H980" s="52">
        <v>106515.6328701533</v>
      </c>
      <c r="I980" s="7">
        <v>-0.007797238815747722</v>
      </c>
      <c r="J980" s="7">
        <v>0.8498046257722522</v>
      </c>
      <c r="K980" s="52">
        <v>18825.686345846712</v>
      </c>
      <c r="L980" s="7">
        <v>-0.0013780922889306644</v>
      </c>
      <c r="M980" s="7">
        <v>0.15019537422774776</v>
      </c>
      <c r="N980" s="51">
        <v>-0.010252627307974382</v>
      </c>
      <c r="O980" s="7">
        <v>-0.02764358401942446</v>
      </c>
      <c r="P980" s="52">
        <v>99.35715400987665</v>
      </c>
      <c r="Q980" s="13">
        <v>1252.9120273490605</v>
      </c>
      <c r="R980" s="13">
        <v>1288.2816670380482</v>
      </c>
      <c r="S980" s="7">
        <v>-0.0059412125387980855</v>
      </c>
      <c r="T980" s="52">
        <v>128000.0</v>
      </c>
      <c r="U980" s="52">
        <v>125341.31921600002</v>
      </c>
      <c r="V980" s="52">
        <v>-14879.305783999953</v>
      </c>
    </row>
    <row r="981">
      <c r="A981" s="46">
        <v>44675.0</v>
      </c>
      <c r="B981" s="47">
        <v>5.490506162682373</v>
      </c>
      <c r="C981" s="7">
        <v>-0.035934522117500256</v>
      </c>
      <c r="D981" s="48">
        <v>-0.01071961032750024</v>
      </c>
      <c r="E981" s="87">
        <v>100.02</v>
      </c>
      <c r="F981" s="7">
        <v>-0.017713872921773177</v>
      </c>
      <c r="G981" s="48">
        <v>0.006671346383949839</v>
      </c>
      <c r="H981" s="52">
        <v>107606.34052517216</v>
      </c>
      <c r="I981" s="7">
        <v>-0.02787522856363374</v>
      </c>
      <c r="J981" s="7">
        <v>0.849783887489382</v>
      </c>
      <c r="K981" s="52">
        <v>19021.549352907794</v>
      </c>
      <c r="L981" s="7">
        <v>-0.004927498075475474</v>
      </c>
      <c r="M981" s="7">
        <v>0.15021611251061792</v>
      </c>
      <c r="N981" s="51">
        <v>-0.01822064919572708</v>
      </c>
      <c r="O981" s="7">
        <v>-0.01739095671145008</v>
      </c>
      <c r="P981" s="52">
        <v>99.35715400987665</v>
      </c>
      <c r="Q981" s="13">
        <v>1266.0256936420712</v>
      </c>
      <c r="R981" s="13">
        <v>1288.2816670380482</v>
      </c>
      <c r="S981" s="7">
        <v>0.004463153394205553</v>
      </c>
      <c r="T981" s="52">
        <v>128000.0</v>
      </c>
      <c r="U981" s="52">
        <v>126627.88987807995</v>
      </c>
      <c r="V981" s="52">
        <v>-13592.73512192002</v>
      </c>
    </row>
    <row r="982">
      <c r="A982" s="54">
        <v>44674.0</v>
      </c>
      <c r="B982" s="47">
        <v>5.6899427604345</v>
      </c>
      <c r="C982" s="7">
        <v>0.021342793064999865</v>
      </c>
      <c r="D982" s="48">
        <v>0.025214911790000016</v>
      </c>
      <c r="E982" s="81">
        <v>101.78</v>
      </c>
      <c r="F982" s="7">
        <v>0.0025161751309334957</v>
      </c>
      <c r="G982" s="48">
        <v>0.024385219305723016</v>
      </c>
      <c r="H982" s="52">
        <v>111754.50861762709</v>
      </c>
      <c r="I982" s="7">
        <v>0.01659164679976577</v>
      </c>
      <c r="J982" s="7">
        <v>0.8516088563819577</v>
      </c>
      <c r="K982" s="52">
        <v>19473.000091492926</v>
      </c>
      <c r="L982" s="7">
        <v>0.0028910613419215205</v>
      </c>
      <c r="M982" s="7">
        <v>0.14839114361804231</v>
      </c>
      <c r="N982" s="51">
        <v>0.01882661793406637</v>
      </c>
      <c r="O982" s="7">
        <v>8.296924842770004E-4</v>
      </c>
      <c r="P982" s="52">
        <v>99.35715400987665</v>
      </c>
      <c r="Q982" s="13">
        <v>1289.3251003057576</v>
      </c>
      <c r="R982" s="13">
        <v>1288.2816670380482</v>
      </c>
      <c r="S982" s="7">
        <v>0.022948872607607963</v>
      </c>
      <c r="T982" s="52">
        <v>128000.0</v>
      </c>
      <c r="U982" s="52">
        <v>131227.50870912</v>
      </c>
      <c r="V982" s="52">
        <v>-8993.11629087996</v>
      </c>
    </row>
    <row r="983">
      <c r="A983" s="46">
        <v>44673.0</v>
      </c>
      <c r="B983" s="47">
        <v>5.571490258923751</v>
      </c>
      <c r="C983" s="7">
        <v>0.005212316388750304</v>
      </c>
      <c r="D983" s="48">
        <v>0.003872118725000151</v>
      </c>
      <c r="E983" s="87">
        <v>101.53</v>
      </c>
      <c r="F983" s="7">
        <v>-0.03401868777022332</v>
      </c>
      <c r="G983" s="48">
        <v>0.02186904417478952</v>
      </c>
      <c r="H983" s="52">
        <v>109394.70779924291</v>
      </c>
      <c r="I983" s="7">
        <v>0.0040507625969835375</v>
      </c>
      <c r="J983" s="7">
        <v>0.8513496278460805</v>
      </c>
      <c r="K983" s="52">
        <v>19100.92339755711</v>
      </c>
      <c r="L983" s="7">
        <v>7.072856413553813E-4</v>
      </c>
      <c r="M983" s="7">
        <v>0.1486503721539195</v>
      </c>
      <c r="N983" s="51">
        <v>0.039231004158973626</v>
      </c>
      <c r="O983" s="7">
        <v>-0.01799692544978937</v>
      </c>
      <c r="P983" s="52">
        <v>99.35715400987665</v>
      </c>
      <c r="Q983" s="13">
        <v>1265.5927430000986</v>
      </c>
      <c r="R983" s="13">
        <v>1288.2816670380482</v>
      </c>
      <c r="S983" s="7">
        <v>0.004119650912949567</v>
      </c>
      <c r="T983" s="52">
        <v>128000.0</v>
      </c>
      <c r="U983" s="52">
        <v>128495.63119680002</v>
      </c>
      <c r="V983" s="52">
        <v>-11724.993803199948</v>
      </c>
    </row>
    <row r="984">
      <c r="A984" s="54">
        <v>44672.0</v>
      </c>
      <c r="B984" s="47">
        <v>5.542561902966186</v>
      </c>
      <c r="C984" s="7">
        <v>0.13332134845017396</v>
      </c>
      <c r="D984" s="48">
        <v>-0.0013401976637501534</v>
      </c>
      <c r="E984" s="87">
        <v>104.91</v>
      </c>
      <c r="F984" s="7">
        <v>0.027349159173952753</v>
      </c>
      <c r="G984" s="48">
        <v>0.05588773194501284</v>
      </c>
      <c r="H984" s="52">
        <v>109274.71664442394</v>
      </c>
      <c r="I984" s="7">
        <v>0.1085013423704766</v>
      </c>
      <c r="J984" s="7">
        <v>0.8548543976511406</v>
      </c>
      <c r="K984" s="52">
        <v>18553.738054616042</v>
      </c>
      <c r="L984" s="7">
        <v>0.01842242695047757</v>
      </c>
      <c r="M984" s="7">
        <v>0.14514560234885937</v>
      </c>
      <c r="N984" s="51">
        <v>0.10597218927622121</v>
      </c>
      <c r="O984" s="7">
        <v>-0.057227929608762995</v>
      </c>
      <c r="P984" s="52">
        <v>99.35715400987665</v>
      </c>
      <c r="Q984" s="13">
        <v>1218.4582470597654</v>
      </c>
      <c r="R984" s="13">
        <v>1288.2816670380482</v>
      </c>
      <c r="S984" s="7">
        <v>-0.033276797408468714</v>
      </c>
      <c r="T984" s="52">
        <v>128000.0</v>
      </c>
      <c r="U984" s="52">
        <v>127828.45469903998</v>
      </c>
      <c r="V984" s="52">
        <v>-12392.170300959988</v>
      </c>
    </row>
    <row r="985">
      <c r="A985" s="54">
        <v>44671.0</v>
      </c>
      <c r="B985" s="47">
        <v>4.802628419067721</v>
      </c>
      <c r="C985" s="7">
        <v>-0.1725948699721519</v>
      </c>
      <c r="D985" s="48">
        <v>-0.1346615461139241</v>
      </c>
      <c r="E985" s="81">
        <v>105.6</v>
      </c>
      <c r="F985" s="7">
        <v>-0.02863544890101255</v>
      </c>
      <c r="G985" s="48">
        <v>0.02853857277106009</v>
      </c>
      <c r="H985" s="52">
        <v>29244.12153130173</v>
      </c>
      <c r="I985" s="7">
        <v>-0.13390630104093038</v>
      </c>
      <c r="J985" s="7">
        <v>0.8555698684101617</v>
      </c>
      <c r="K985" s="52">
        <v>4936.747397198269</v>
      </c>
      <c r="L985" s="7">
        <v>-0.02260493899345505</v>
      </c>
      <c r="M985" s="7">
        <v>0.14443013158983825</v>
      </c>
      <c r="N985" s="51">
        <v>-0.14395942107113935</v>
      </c>
      <c r="O985" s="7">
        <v>-0.1632001188849842</v>
      </c>
      <c r="P985" s="52">
        <v>102.66994626705676</v>
      </c>
      <c r="Q985" s="13">
        <v>323.6824709138258</v>
      </c>
      <c r="R985" s="13">
        <v>384.72796992856894</v>
      </c>
      <c r="S985" s="7">
        <v>-0.1495114311966199</v>
      </c>
      <c r="T985" s="52">
        <v>39500.0</v>
      </c>
      <c r="U985" s="52">
        <v>34180.8689285</v>
      </c>
      <c r="V985" s="52">
        <v>-9378.286071499999</v>
      </c>
    </row>
    <row r="986">
      <c r="A986" s="54">
        <v>44670.0</v>
      </c>
      <c r="B986" s="47">
        <v>5.760529947413164</v>
      </c>
      <c r="C986" s="7">
        <v>0.24544128047594937</v>
      </c>
      <c r="D986" s="48">
        <v>0.037933323858227785</v>
      </c>
      <c r="E986" s="81">
        <v>108.54</v>
      </c>
      <c r="F986" s="7">
        <v>0.06106947775828164</v>
      </c>
      <c r="G986" s="48">
        <v>0.05717402167207264</v>
      </c>
      <c r="H986" s="52">
        <v>35201.951504276156</v>
      </c>
      <c r="I986" s="7">
        <v>0.19110209421702065</v>
      </c>
      <c r="J986" s="7">
        <v>0.8586183959920779</v>
      </c>
      <c r="K986" s="52">
        <v>5796.414788123839</v>
      </c>
      <c r="L986" s="7">
        <v>0.03146720444820836</v>
      </c>
      <c r="M986" s="7">
        <v>0.14138160400792213</v>
      </c>
      <c r="N986" s="51">
        <v>0.18437180271766773</v>
      </c>
      <c r="O986" s="7">
        <v>-0.019240697813844854</v>
      </c>
      <c r="P986" s="52">
        <v>102.66994626705676</v>
      </c>
      <c r="Q986" s="13">
        <v>377.7258733407038</v>
      </c>
      <c r="R986" s="13">
        <v>384.72796992856894</v>
      </c>
      <c r="S986" s="7">
        <v>-0.0075102414085654245</v>
      </c>
      <c r="T986" s="52">
        <v>39500.0</v>
      </c>
      <c r="U986" s="52">
        <v>40998.366292399995</v>
      </c>
      <c r="V986" s="52">
        <v>-2560.7887076000043</v>
      </c>
    </row>
    <row r="987">
      <c r="A987" s="46">
        <v>44669.0</v>
      </c>
      <c r="B987" s="47">
        <v>4.398330840771645</v>
      </c>
      <c r="C987" s="7">
        <v>4.8735677468336736E-4</v>
      </c>
      <c r="D987" s="48">
        <v>-0.2075079566177216</v>
      </c>
      <c r="E987" s="81">
        <v>102.27</v>
      </c>
      <c r="F987" s="7">
        <v>0.017824105948589408</v>
      </c>
      <c r="G987" s="48">
        <v>-0.0038954560862090037</v>
      </c>
      <c r="H987" s="52">
        <v>26674.187986748635</v>
      </c>
      <c r="I987" s="7">
        <v>3.7658572905076016E-4</v>
      </c>
      <c r="J987" s="7">
        <v>0.852116944312277</v>
      </c>
      <c r="K987" s="52">
        <v>4629.247726851365</v>
      </c>
      <c r="L987" s="7">
        <v>6.53556401056687E-5</v>
      </c>
      <c r="M987" s="7">
        <v>0.14788305568772298</v>
      </c>
      <c r="N987" s="51">
        <v>-0.01733674917390604</v>
      </c>
      <c r="O987" s="7">
        <v>-0.20361250053151259</v>
      </c>
      <c r="P987" s="52">
        <v>102.66994626705676</v>
      </c>
      <c r="Q987" s="13">
        <v>306.0862003872103</v>
      </c>
      <c r="R987" s="13">
        <v>384.72796992856894</v>
      </c>
      <c r="S987" s="7">
        <v>-0.19574633200606958</v>
      </c>
      <c r="T987" s="52">
        <v>39500.0</v>
      </c>
      <c r="U987" s="52">
        <v>31303.435713599996</v>
      </c>
      <c r="V987" s="52">
        <v>-12255.719286400003</v>
      </c>
    </row>
    <row r="988">
      <c r="A988" s="54">
        <v>44668.0</v>
      </c>
      <c r="B988" s="47">
        <v>4.395626010672152</v>
      </c>
      <c r="C988" s="7">
        <v>0.015347547327291933</v>
      </c>
      <c r="D988" s="48">
        <v>-0.20799531339240496</v>
      </c>
      <c r="E988" s="81">
        <v>100.44</v>
      </c>
      <c r="F988" s="7">
        <v>-0.018213703892820843</v>
      </c>
      <c r="G988" s="48">
        <v>-0.021719562034798412</v>
      </c>
      <c r="H988" s="52">
        <v>26598.42083494931</v>
      </c>
      <c r="I988" s="7">
        <v>0.011832803064422127</v>
      </c>
      <c r="J988" s="7">
        <v>0.8502193914296557</v>
      </c>
      <c r="K988" s="52">
        <v>4685.764286050689</v>
      </c>
      <c r="L988" s="7">
        <v>0.0020845495432678766</v>
      </c>
      <c r="M988" s="7">
        <v>0.14978060857034428</v>
      </c>
      <c r="N988" s="51">
        <v>0.033561251220112776</v>
      </c>
      <c r="O988" s="7">
        <v>-0.18627575135760654</v>
      </c>
      <c r="P988" s="52">
        <v>102.66994626705676</v>
      </c>
      <c r="Q988" s="13">
        <v>311.47137715053765</v>
      </c>
      <c r="R988" s="13">
        <v>384.72796992856894</v>
      </c>
      <c r="S988" s="7">
        <v>-0.18159656583162992</v>
      </c>
      <c r="T988" s="52">
        <v>39500.0</v>
      </c>
      <c r="U988" s="52">
        <v>31284.185121</v>
      </c>
      <c r="V988" s="52">
        <v>-12274.969879</v>
      </c>
    </row>
    <row r="989">
      <c r="A989" s="54">
        <v>44667.0</v>
      </c>
      <c r="B989" s="47">
        <v>4.310447123005682</v>
      </c>
      <c r="C989" s="7">
        <v>0.010445514366182906</v>
      </c>
      <c r="D989" s="48">
        <v>-0.2233428607196969</v>
      </c>
      <c r="E989" s="81">
        <v>102.31</v>
      </c>
      <c r="F989" s="7">
        <v>0.009350350661555096</v>
      </c>
      <c r="G989" s="48">
        <v>-0.003505858141977569</v>
      </c>
      <c r="H989" s="52">
        <v>26142.47939422329</v>
      </c>
      <c r="I989" s="7">
        <v>0.008071752185919052</v>
      </c>
      <c r="J989" s="7">
        <v>0.8521584208780174</v>
      </c>
      <c r="K989" s="52">
        <v>4535.477607348683</v>
      </c>
      <c r="L989" s="7">
        <v>0.0014003741090982057</v>
      </c>
      <c r="M989" s="7">
        <v>0.1478415791219826</v>
      </c>
      <c r="N989" s="51">
        <v>0.0010951637046278107</v>
      </c>
      <c r="O989" s="7">
        <v>-0.21983700257771932</v>
      </c>
      <c r="P989" s="52">
        <v>102.66994626705676</v>
      </c>
      <c r="Q989" s="13">
        <v>299.8529664898052</v>
      </c>
      <c r="R989" s="13">
        <v>384.72796992856894</v>
      </c>
      <c r="S989" s="7">
        <v>-0.21212440203702937</v>
      </c>
      <c r="T989" s="52">
        <v>39500.0</v>
      </c>
      <c r="U989" s="52">
        <v>30677.957001571973</v>
      </c>
      <c r="V989" s="52">
        <v>-12881.197998428026</v>
      </c>
    </row>
    <row r="990">
      <c r="A990" s="54">
        <v>44666.0</v>
      </c>
      <c r="B990" s="47">
        <v>4.252474518273367</v>
      </c>
      <c r="C990" s="7">
        <v>0.0066774437642461715</v>
      </c>
      <c r="D990" s="48">
        <v>-0.2337883750858798</v>
      </c>
      <c r="E990" s="81">
        <v>101.35</v>
      </c>
      <c r="F990" s="7">
        <v>0.005941368649529877</v>
      </c>
      <c r="G990" s="48">
        <v>-0.012856208803532665</v>
      </c>
      <c r="H990" s="52">
        <v>25760.75341379873</v>
      </c>
      <c r="I990" s="7">
        <v>0.005153954931637416</v>
      </c>
      <c r="J990" s="7">
        <v>0.8511629833002489</v>
      </c>
      <c r="K990" s="52">
        <v>4504.605770309012</v>
      </c>
      <c r="L990" s="7">
        <v>9.01236650653648E-4</v>
      </c>
      <c r="M990" s="7">
        <v>0.1488370166997512</v>
      </c>
      <c r="N990" s="51">
        <v>7.360751147162947E-4</v>
      </c>
      <c r="O990" s="7">
        <v>-0.22093216628234713</v>
      </c>
      <c r="P990" s="52">
        <v>102.66994626705676</v>
      </c>
      <c r="Q990" s="13">
        <v>298.6221922457597</v>
      </c>
      <c r="R990" s="13">
        <v>384.72796992856894</v>
      </c>
      <c r="S990" s="7">
        <v>-0.21535831032493602</v>
      </c>
      <c r="T990" s="52">
        <v>39500.0</v>
      </c>
      <c r="U990" s="52">
        <v>30265.359184107743</v>
      </c>
      <c r="V990" s="52">
        <v>-13293.795815892256</v>
      </c>
    </row>
    <row r="991">
      <c r="A991" s="54">
        <v>44665.0</v>
      </c>
      <c r="B991" s="47">
        <v>4.215414705381801</v>
      </c>
      <c r="C991" s="7">
        <v>-0.10298345814414367</v>
      </c>
      <c r="D991" s="48">
        <v>-0.24046581885012597</v>
      </c>
      <c r="E991" s="81">
        <v>100.74</v>
      </c>
      <c r="F991" s="7">
        <v>-0.03993378928372493</v>
      </c>
      <c r="G991" s="48">
        <v>-0.01879757745306254</v>
      </c>
      <c r="H991" s="52">
        <v>25517.2749511158</v>
      </c>
      <c r="I991" s="7">
        <v>-0.07942825016167109</v>
      </c>
      <c r="J991" s="7">
        <v>0.8505304656727084</v>
      </c>
      <c r="K991" s="52">
        <v>4484.32520430423</v>
      </c>
      <c r="L991" s="7">
        <v>-0.013958469500215514</v>
      </c>
      <c r="M991" s="7">
        <v>0.14946953432729157</v>
      </c>
      <c r="N991" s="51">
        <v>-0.06304966886041874</v>
      </c>
      <c r="O991" s="7">
        <v>-0.22166824139706343</v>
      </c>
      <c r="P991" s="52">
        <v>102.66994626705676</v>
      </c>
      <c r="Q991" s="13">
        <v>297.81219133829694</v>
      </c>
      <c r="R991" s="13">
        <v>384.72796992856894</v>
      </c>
      <c r="S991" s="7">
        <v>-0.21748661993210305</v>
      </c>
      <c r="T991" s="52">
        <v>39500.0</v>
      </c>
      <c r="U991" s="52">
        <v>30001.60015542003</v>
      </c>
      <c r="V991" s="52">
        <v>-13557.554844579969</v>
      </c>
    </row>
    <row r="992">
      <c r="A992" s="54">
        <v>44664.0</v>
      </c>
      <c r="B992" s="47">
        <v>4.786972898081798</v>
      </c>
      <c r="C992" s="7">
        <v>0.014277323475814896</v>
      </c>
      <c r="D992" s="48">
        <v>-0.1374823607059823</v>
      </c>
      <c r="E992" s="81">
        <v>104.84</v>
      </c>
      <c r="F992" s="7">
        <v>0.013051531131753835</v>
      </c>
      <c r="G992" s="48">
        <v>0.021136211830662388</v>
      </c>
      <c r="H992" s="52">
        <v>29121.943485201846</v>
      </c>
      <c r="I992" s="7">
        <v>0.011066740389428559</v>
      </c>
      <c r="J992" s="7">
        <v>0.854781813661095</v>
      </c>
      <c r="K992" s="52">
        <v>4947.503266911852</v>
      </c>
      <c r="L992" s="7">
        <v>0.0018801195139529555</v>
      </c>
      <c r="M992" s="7">
        <v>0.1452181863389051</v>
      </c>
      <c r="N992" s="51">
        <v>0.0012257923440610607</v>
      </c>
      <c r="O992" s="7">
        <v>-0.1586185725366447</v>
      </c>
      <c r="P992" s="52">
        <v>102.66994626705676</v>
      </c>
      <c r="Q992" s="13">
        <v>324.9661078988334</v>
      </c>
      <c r="R992" s="13">
        <v>384.72796992856894</v>
      </c>
      <c r="S992" s="7">
        <v>-0.14613862395389202</v>
      </c>
      <c r="T992" s="52">
        <v>39500.0</v>
      </c>
      <c r="U992" s="52">
        <v>34069.4467521137</v>
      </c>
      <c r="V992" s="52">
        <v>-9489.708247886301</v>
      </c>
    </row>
    <row r="993">
      <c r="A993" s="54">
        <v>44663.0</v>
      </c>
      <c r="B993" s="47">
        <v>4.707733752791025</v>
      </c>
      <c r="C993" s="7">
        <v>0.04490891746377246</v>
      </c>
      <c r="D993" s="48">
        <v>-0.1517596841817972</v>
      </c>
      <c r="E993" s="81">
        <v>103.5</v>
      </c>
      <c r="F993" s="7">
        <v>0.03944679185343558</v>
      </c>
      <c r="G993" s="48">
        <v>0.008084680698908553</v>
      </c>
      <c r="H993" s="52">
        <v>28593.33091773058</v>
      </c>
      <c r="I993" s="7">
        <v>0.03475353456280188</v>
      </c>
      <c r="J993" s="7">
        <v>0.853392348708793</v>
      </c>
      <c r="K993" s="52">
        <v>4912.161557088424</v>
      </c>
      <c r="L993" s="7">
        <v>0.005970447337651023</v>
      </c>
      <c r="M993" s="7">
        <v>0.14660765129120698</v>
      </c>
      <c r="N993" s="51">
        <v>0.0054621256103368765</v>
      </c>
      <c r="O993" s="7">
        <v>-0.15984436488070575</v>
      </c>
      <c r="P993" s="52">
        <v>102.66994626705676</v>
      </c>
      <c r="Q993" s="13">
        <v>323.7245649740967</v>
      </c>
      <c r="R993" s="13">
        <v>384.72796992856894</v>
      </c>
      <c r="S993" s="7">
        <v>-0.14940082737870578</v>
      </c>
      <c r="T993" s="52">
        <v>39500.0</v>
      </c>
      <c r="U993" s="52">
        <v>33505.49247481901</v>
      </c>
      <c r="V993" s="52">
        <v>-10053.66252518099</v>
      </c>
    </row>
    <row r="994">
      <c r="A994" s="46">
        <v>44662.0</v>
      </c>
      <c r="B994" s="47">
        <v>4.458489260867088</v>
      </c>
      <c r="C994" s="7">
        <v>-0.1967647451772152</v>
      </c>
      <c r="D994" s="48">
        <v>-0.19666860164556965</v>
      </c>
      <c r="E994" s="81">
        <v>99.45</v>
      </c>
      <c r="F994" s="7">
        <v>-0.12389214626560485</v>
      </c>
      <c r="G994" s="48">
        <v>-0.03136211115452703</v>
      </c>
      <c r="H994" s="52">
        <v>26946.23943333331</v>
      </c>
      <c r="I994" s="7">
        <v>-0.1515204542955132</v>
      </c>
      <c r="J994" s="7">
        <v>0.8491928464275819</v>
      </c>
      <c r="K994" s="52">
        <v>4785.350801666689</v>
      </c>
      <c r="L994" s="7">
        <v>-0.026908338331433034</v>
      </c>
      <c r="M994" s="7">
        <v>0.15080715357241817</v>
      </c>
      <c r="N994" s="51">
        <v>-0.07287259891161035</v>
      </c>
      <c r="O994" s="7">
        <v>-0.16530649049104262</v>
      </c>
      <c r="P994" s="52">
        <v>102.66994626705676</v>
      </c>
      <c r="Q994" s="13">
        <v>319.070791704374</v>
      </c>
      <c r="R994" s="13">
        <v>384.72796992856894</v>
      </c>
      <c r="S994" s="7">
        <v>-0.16162880177759012</v>
      </c>
      <c r="T994" s="52">
        <v>39500.0</v>
      </c>
      <c r="U994" s="52">
        <v>31731.590234999996</v>
      </c>
      <c r="V994" s="52">
        <v>-11827.564765000003</v>
      </c>
    </row>
    <row r="995">
      <c r="A995" s="54">
        <v>44661.0</v>
      </c>
      <c r="B995" s="47">
        <v>5.550533596600633</v>
      </c>
      <c r="C995" s="7">
        <v>-0.005648703150632928</v>
      </c>
      <c r="D995" s="48">
        <v>9.614353164555389E-5</v>
      </c>
      <c r="E995" s="81">
        <v>112.17</v>
      </c>
      <c r="F995" s="7">
        <v>-0.008181556828860792</v>
      </c>
      <c r="G995" s="48">
        <v>0.09253003511107782</v>
      </c>
      <c r="H995" s="52">
        <v>34067.379619470405</v>
      </c>
      <c r="I995" s="7">
        <v>-0.004417395489944907</v>
      </c>
      <c r="J995" s="7">
        <v>0.8623823943330153</v>
      </c>
      <c r="K995" s="52">
        <v>5436.418050029599</v>
      </c>
      <c r="L995" s="7">
        <v>-7.049209197742565E-4</v>
      </c>
      <c r="M995" s="7">
        <v>0.13761760566698467</v>
      </c>
      <c r="N995" s="51">
        <v>0.0025328536782278643</v>
      </c>
      <c r="O995" s="7">
        <v>-0.09243389157943227</v>
      </c>
      <c r="P995" s="52">
        <v>102.66994626705676</v>
      </c>
      <c r="Q995" s="13">
        <v>352.17792341535164</v>
      </c>
      <c r="R995" s="13">
        <v>384.72796992856894</v>
      </c>
      <c r="S995" s="7">
        <v>-0.07463849616554885</v>
      </c>
      <c r="T995" s="52">
        <v>39500.0</v>
      </c>
      <c r="U995" s="52">
        <v>39503.797669499996</v>
      </c>
      <c r="V995" s="52">
        <v>-4055.3573305000027</v>
      </c>
    </row>
    <row r="996">
      <c r="A996" s="54">
        <v>44660.0</v>
      </c>
      <c r="B996" s="47">
        <v>5.5818838990866455</v>
      </c>
      <c r="C996" s="7">
        <v>-0.05525212063822749</v>
      </c>
      <c r="D996" s="48">
        <v>0.005744846682278482</v>
      </c>
      <c r="E996" s="81">
        <v>113.01</v>
      </c>
      <c r="F996" s="7">
        <v>0.008473755287034423</v>
      </c>
      <c r="G996" s="48">
        <v>0.10071159193993862</v>
      </c>
      <c r="H996" s="52">
        <v>34294.40009596078</v>
      </c>
      <c r="I996" s="7">
        <v>-0.043251871030517586</v>
      </c>
      <c r="J996" s="7">
        <v>0.8632534022135628</v>
      </c>
      <c r="K996" s="52">
        <v>5432.521347989219</v>
      </c>
      <c r="L996" s="7">
        <v>-0.0068514600650920205</v>
      </c>
      <c r="M996" s="7">
        <v>0.13674659778643725</v>
      </c>
      <c r="N996" s="51">
        <v>-0.06372587592526191</v>
      </c>
      <c r="O996" s="7">
        <v>-0.09496674525766013</v>
      </c>
      <c r="P996" s="52">
        <v>102.66994626705676</v>
      </c>
      <c r="Q996" s="13">
        <v>351.53456724139454</v>
      </c>
      <c r="R996" s="13">
        <v>384.72796992856894</v>
      </c>
      <c r="S996" s="7">
        <v>-0.07632894010610215</v>
      </c>
      <c r="T996" s="52">
        <v>39500.0</v>
      </c>
      <c r="U996" s="52">
        <v>39726.92144395</v>
      </c>
      <c r="V996" s="52">
        <v>-3832.2335560499996</v>
      </c>
    </row>
    <row r="997">
      <c r="A997" s="46">
        <v>44659.0</v>
      </c>
      <c r="B997" s="47">
        <v>5.888533168628808</v>
      </c>
      <c r="C997" s="7">
        <v>-0.07859874855291182</v>
      </c>
      <c r="D997" s="48">
        <v>0.06099696732050597</v>
      </c>
      <c r="E997" s="87">
        <v>112.14</v>
      </c>
      <c r="F997" s="7">
        <v>-0.0792831816511026</v>
      </c>
      <c r="G997" s="48">
        <v>0.09223783665290419</v>
      </c>
      <c r="H997" s="52">
        <v>36140.60795691554</v>
      </c>
      <c r="I997" s="7">
        <v>-0.06146352959736482</v>
      </c>
      <c r="J997" s="7">
        <v>0.8623512869087101</v>
      </c>
      <c r="K997" s="52">
        <v>5768.772252244446</v>
      </c>
      <c r="L997" s="7">
        <v>-0.00981082289730647</v>
      </c>
      <c r="M997" s="7">
        <v>0.1376487130912899</v>
      </c>
      <c r="N997" s="51">
        <v>6.844330981907731E-4</v>
      </c>
      <c r="O997" s="7">
        <v>-0.031240869332398225</v>
      </c>
      <c r="P997" s="52">
        <v>102.66994626705676</v>
      </c>
      <c r="Q997" s="13">
        <v>373.7237400495808</v>
      </c>
      <c r="R997" s="13">
        <v>384.72796992856894</v>
      </c>
      <c r="S997" s="7">
        <v>-0.01802600584065839</v>
      </c>
      <c r="T997" s="52">
        <v>39500.0</v>
      </c>
      <c r="U997" s="52">
        <v>41909.38020915999</v>
      </c>
      <c r="V997" s="52">
        <v>-1649.7747908400124</v>
      </c>
    </row>
    <row r="998">
      <c r="A998" s="54">
        <v>44658.0</v>
      </c>
      <c r="B998" s="47">
        <v>6.324756223097468</v>
      </c>
      <c r="C998" s="7">
        <v>-0.11358463202531621</v>
      </c>
      <c r="D998" s="48">
        <v>0.1395957158734178</v>
      </c>
      <c r="E998" s="81">
        <v>120.28</v>
      </c>
      <c r="F998" s="7">
        <v>-0.08853613282659989</v>
      </c>
      <c r="G998" s="48">
        <v>0.1715210183040068</v>
      </c>
      <c r="H998" s="52">
        <v>39197.84744677003</v>
      </c>
      <c r="I998" s="7">
        <v>-0.08969155210779767</v>
      </c>
      <c r="J998" s="7">
        <v>0.8707917680368726</v>
      </c>
      <c r="K998" s="52">
        <v>5816.183330229971</v>
      </c>
      <c r="L998" s="7">
        <v>-0.01330844789220209</v>
      </c>
      <c r="M998" s="7">
        <v>0.1292082319631274</v>
      </c>
      <c r="N998" s="51">
        <v>-0.025048499198716323</v>
      </c>
      <c r="O998" s="7">
        <v>-0.031925302430589</v>
      </c>
      <c r="P998" s="52">
        <v>102.66994626705676</v>
      </c>
      <c r="Q998" s="13">
        <v>374.2436878699701</v>
      </c>
      <c r="R998" s="13">
        <v>384.72796992856894</v>
      </c>
      <c r="S998" s="7">
        <v>-0.016659822258436992</v>
      </c>
      <c r="T998" s="52">
        <v>39500.0</v>
      </c>
      <c r="U998" s="52">
        <v>45014.030777</v>
      </c>
      <c r="V998" s="52">
        <v>1454.875777000001</v>
      </c>
    </row>
    <row r="999">
      <c r="A999" s="54">
        <v>44657.0</v>
      </c>
      <c r="B999" s="47">
        <v>6.9551509308379735</v>
      </c>
      <c r="C999" s="7">
        <v>0.0</v>
      </c>
      <c r="D999" s="48">
        <v>0.253180347898734</v>
      </c>
      <c r="E999" s="81">
        <v>129.37</v>
      </c>
      <c r="F999" s="7">
        <v>0.0</v>
      </c>
      <c r="G999" s="48">
        <v>0.2600571511306067</v>
      </c>
      <c r="H999" s="52">
        <v>43571.30624977787</v>
      </c>
      <c r="I999" s="7">
        <v>0.0</v>
      </c>
      <c r="J999" s="7">
        <v>0.8802173176013687</v>
      </c>
      <c r="K999" s="52">
        <v>5929.317492222137</v>
      </c>
      <c r="L999" s="7">
        <v>0.0</v>
      </c>
      <c r="M999" s="7">
        <v>0.11978268239863135</v>
      </c>
      <c r="N999" s="51">
        <v>0.0</v>
      </c>
      <c r="O999" s="7">
        <v>-0.006876803231872675</v>
      </c>
      <c r="P999" s="52">
        <v>102.66994626705676</v>
      </c>
      <c r="Q999" s="13">
        <v>382.6283044136971</v>
      </c>
      <c r="R999" s="13">
        <v>384.72796992856894</v>
      </c>
      <c r="S999" s="7">
        <v>0.00537109126031835</v>
      </c>
      <c r="T999" s="52">
        <v>39500.0</v>
      </c>
      <c r="U999" s="52">
        <v>49500.623741999996</v>
      </c>
      <c r="V999" s="52">
        <v>5941.468741999997</v>
      </c>
    </row>
    <row r="1000">
      <c r="A1000" s="54">
        <v>44656.0</v>
      </c>
      <c r="B1000" s="47">
        <v>6.9551509308379735</v>
      </c>
      <c r="C1000" s="7">
        <v>-0.010676065033923932</v>
      </c>
      <c r="D1000" s="48">
        <v>0.253180347898734</v>
      </c>
      <c r="E1000" s="81">
        <v>129.37</v>
      </c>
      <c r="F1000" s="7">
        <v>-0.012272335243290966</v>
      </c>
      <c r="G1000" s="48">
        <v>0.2600571511306067</v>
      </c>
      <c r="H1000" s="52">
        <v>43571.30624977787</v>
      </c>
      <c r="I1000" s="7">
        <v>-0.00852155337734604</v>
      </c>
      <c r="J1000" s="7">
        <v>0.8802173176013687</v>
      </c>
      <c r="K1000" s="52">
        <v>5929.317492222137</v>
      </c>
      <c r="L1000" s="7">
        <v>-0.0011596392178731178</v>
      </c>
      <c r="M1000" s="7">
        <v>0.11978268239863135</v>
      </c>
      <c r="N1000" s="51">
        <v>0.0015962702093670345</v>
      </c>
      <c r="O1000" s="7">
        <v>-0.006876803231872675</v>
      </c>
      <c r="P1000" s="52">
        <v>102.66994626705676</v>
      </c>
      <c r="Q1000" s="13">
        <v>382.6283044136971</v>
      </c>
      <c r="R1000" s="13">
        <v>384.72796992856894</v>
      </c>
      <c r="S1000" s="7">
        <v>0.00537109126031835</v>
      </c>
      <c r="T1000" s="52">
        <v>39500.0</v>
      </c>
      <c r="U1000" s="52">
        <v>49500.623741999996</v>
      </c>
      <c r="V1000" s="52">
        <v>5941.468741999997</v>
      </c>
    </row>
    <row r="1001">
      <c r="A1001" s="54">
        <v>44655.0</v>
      </c>
      <c r="B1001" s="47">
        <v>7.014403091776251</v>
      </c>
      <c r="C1001" s="7">
        <v>-0.42762548256734245</v>
      </c>
      <c r="D1001" s="48">
        <v>0.26385641293265794</v>
      </c>
      <c r="E1001" s="87">
        <v>130.63</v>
      </c>
      <c r="F1001" s="7">
        <v>-0.3466682842018751</v>
      </c>
      <c r="G1001" s="48">
        <v>0.27232948637389764</v>
      </c>
      <c r="H1001" s="52">
        <v>44007.72202624348</v>
      </c>
      <c r="I1001" s="7">
        <v>-0.3455739203089825</v>
      </c>
      <c r="J1001" s="7">
        <v>0.8815238294221899</v>
      </c>
      <c r="K1001" s="52">
        <v>5914.606284596521</v>
      </c>
      <c r="L1001" s="7">
        <v>-0.04644488709579854</v>
      </c>
      <c r="M1001" s="7">
        <v>0.11847617057781015</v>
      </c>
      <c r="N1001" s="51">
        <v>-0.08095719836546733</v>
      </c>
      <c r="O1001" s="7">
        <v>-0.008473073441239709</v>
      </c>
      <c r="P1001" s="52">
        <v>102.66994626705676</v>
      </c>
      <c r="Q1001" s="13">
        <v>382.16587545617386</v>
      </c>
      <c r="R1001" s="13">
        <v>384.72796992856894</v>
      </c>
      <c r="S1001" s="7">
        <v>0.004156040778446946</v>
      </c>
      <c r="T1001" s="52">
        <v>39500.0</v>
      </c>
      <c r="U1001" s="52">
        <v>49922.32831083999</v>
      </c>
      <c r="V1001" s="52">
        <v>6363.173310839993</v>
      </c>
    </row>
    <row r="1002">
      <c r="A1002" s="54">
        <v>44654.0</v>
      </c>
      <c r="B1002" s="47">
        <v>9.387724520025001</v>
      </c>
      <c r="C1002" s="7">
        <v>0.07082774061764763</v>
      </c>
      <c r="D1002" s="48">
        <v>0.6914818955000004</v>
      </c>
      <c r="E1002" s="81">
        <v>138.28</v>
      </c>
      <c r="F1002" s="7">
        <v>-0.02126613774809205</v>
      </c>
      <c r="G1002" s="48">
        <v>0.6189977705757728</v>
      </c>
      <c r="H1002" s="52">
        <v>27080.983753228866</v>
      </c>
      <c r="I1002" s="7">
        <v>0.05692519824768197</v>
      </c>
      <c r="J1002" s="7">
        <v>0.8894562226200331</v>
      </c>
      <c r="K1002" s="52">
        <v>3365.6903657711373</v>
      </c>
      <c r="L1002" s="7">
        <v>0.007074801752317866</v>
      </c>
      <c r="M1002" s="7">
        <v>0.11054377737996694</v>
      </c>
      <c r="N1002" s="51">
        <v>0.09209387836573968</v>
      </c>
      <c r="O1002" s="7">
        <v>0.07248412492422762</v>
      </c>
      <c r="P1002" s="52">
        <v>85.41086498891394</v>
      </c>
      <c r="Q1002" s="13">
        <v>220.18132860138851</v>
      </c>
      <c r="R1002" s="13">
        <v>210.746021625426</v>
      </c>
      <c r="S1002" s="7">
        <v>0.06325800120625501</v>
      </c>
      <c r="T1002" s="52">
        <v>18000.0</v>
      </c>
      <c r="U1002" s="52">
        <v>30446.674119000003</v>
      </c>
      <c r="V1002" s="52">
        <v>10651.684119000001</v>
      </c>
    </row>
    <row r="1003">
      <c r="A1003" s="54">
        <v>44653.0</v>
      </c>
      <c r="B1003" s="47">
        <v>8.994630559597057</v>
      </c>
      <c r="C1003" s="7">
        <v>-0.021746528709522872</v>
      </c>
      <c r="D1003" s="48">
        <v>0.6206541548823528</v>
      </c>
      <c r="E1003" s="81">
        <v>137.48</v>
      </c>
      <c r="F1003" s="7">
        <v>-0.023562901536422043</v>
      </c>
      <c r="G1003" s="48">
        <v>0.6402639083238648</v>
      </c>
      <c r="H1003" s="52">
        <v>24482.661169853927</v>
      </c>
      <c r="I1003" s="7">
        <v>-0.018011917574102882</v>
      </c>
      <c r="J1003" s="7">
        <v>0.888626691305226</v>
      </c>
      <c r="K1003" s="52">
        <v>3068.4594631460677</v>
      </c>
      <c r="L1003" s="7">
        <v>-0.002257468603850825</v>
      </c>
      <c r="M1003" s="7">
        <v>0.11137330869477408</v>
      </c>
      <c r="N1003" s="51">
        <v>0.0018163728268991708</v>
      </c>
      <c r="O1003" s="7">
        <v>-0.019609753441512057</v>
      </c>
      <c r="P1003" s="52">
        <v>83.81578068158957</v>
      </c>
      <c r="Q1003" s="13">
        <v>200.40093564882164</v>
      </c>
      <c r="R1003" s="13">
        <v>202.82576695887184</v>
      </c>
      <c r="S1003" s="7">
        <v>0.006337442365323105</v>
      </c>
      <c r="T1003" s="52">
        <v>17000.0</v>
      </c>
      <c r="U1003" s="52">
        <v>27551.120633</v>
      </c>
      <c r="V1003" s="52">
        <v>8860.990633000001</v>
      </c>
    </row>
    <row r="1004">
      <c r="A1004" s="54">
        <v>44652.0</v>
      </c>
      <c r="B1004" s="47">
        <v>9.115323793934909</v>
      </c>
      <c r="C1004" s="7">
        <v>0.09187736641150246</v>
      </c>
      <c r="D1004" s="48">
        <v>0.6424006835918756</v>
      </c>
      <c r="E1004" s="87">
        <v>136.69</v>
      </c>
      <c r="F1004" s="7">
        <v>0.12439467336468191</v>
      </c>
      <c r="G1004" s="48">
        <v>0.6638268098602869</v>
      </c>
      <c r="H1004" s="52">
        <v>23330.17108390673</v>
      </c>
      <c r="I1004" s="7">
        <v>0.0737287310977422</v>
      </c>
      <c r="J1004" s="7">
        <v>0.8878075291318539</v>
      </c>
      <c r="K1004" s="52">
        <v>2948.2398535632747</v>
      </c>
      <c r="L1004" s="7">
        <v>0.00931711913269922</v>
      </c>
      <c r="M1004" s="7">
        <v>0.11219247086814607</v>
      </c>
      <c r="N1004" s="51">
        <v>-0.03251730695317945</v>
      </c>
      <c r="O1004" s="7">
        <v>-0.021426126268411227</v>
      </c>
      <c r="P1004" s="52">
        <v>82.15398332923725</v>
      </c>
      <c r="Q1004" s="13">
        <v>192.24823277101476</v>
      </c>
      <c r="R1004" s="13">
        <v>194.75622911525778</v>
      </c>
      <c r="S1004" s="7">
        <v>0.006497087113037122</v>
      </c>
      <c r="T1004" s="52">
        <v>15999.999999999998</v>
      </c>
      <c r="U1004" s="52">
        <v>26278.410937470006</v>
      </c>
      <c r="V1004" s="52">
        <v>8693.460937470009</v>
      </c>
    </row>
    <row r="1005">
      <c r="A1005" s="54">
        <v>44651.0</v>
      </c>
      <c r="B1005" s="47">
        <v>8.60540441035107</v>
      </c>
      <c r="C1005" s="7">
        <v>0.017632554323229632</v>
      </c>
      <c r="D1005" s="48">
        <v>0.5505233171803732</v>
      </c>
      <c r="E1005" s="88">
        <v>124.19</v>
      </c>
      <c r="F1005" s="7">
        <v>-0.015769300255379592</v>
      </c>
      <c r="G1005" s="48">
        <v>0.539432136495605</v>
      </c>
      <c r="H1005" s="52">
        <v>20347.03920929136</v>
      </c>
      <c r="I1005" s="7">
        <v>0.01340573569771729</v>
      </c>
      <c r="J1005" s="7">
        <v>0.8748461023379924</v>
      </c>
      <c r="K1005" s="52">
        <v>2910.8105484142325</v>
      </c>
      <c r="L1005" s="7">
        <v>0.0019178002497950535</v>
      </c>
      <c r="M1005" s="7">
        <v>0.12515389766200752</v>
      </c>
      <c r="N1005" s="51">
        <v>0.033401854578609225</v>
      </c>
      <c r="O1005" s="7">
        <v>0.01109118068476822</v>
      </c>
      <c r="P1005" s="52">
        <v>80.6726045635949</v>
      </c>
      <c r="Q1005" s="13">
        <v>187.27634880188094</v>
      </c>
      <c r="R1005" s="13">
        <v>185.93672636632638</v>
      </c>
      <c r="S1005" s="7">
        <v>0.02788651995093353</v>
      </c>
      <c r="T1005" s="52">
        <v>14999.999999999998</v>
      </c>
      <c r="U1005" s="52">
        <v>23257.849757705593</v>
      </c>
      <c r="V1005" s="52">
        <v>6778.389757705594</v>
      </c>
    </row>
    <row r="1006">
      <c r="A1006" s="54">
        <v>44650.0</v>
      </c>
      <c r="B1006" s="47">
        <v>8.507543733857146</v>
      </c>
      <c r="C1006" s="7">
        <v>0.13143769650000015</v>
      </c>
      <c r="D1006" s="48">
        <v>0.5328907628571435</v>
      </c>
      <c r="E1006" s="89">
        <v>122.92</v>
      </c>
      <c r="F1006" s="7">
        <v>0.13259446027619837</v>
      </c>
      <c r="G1006" s="48">
        <v>0.5552014367509845</v>
      </c>
      <c r="H1006" s="52">
        <v>18746.348243457214</v>
      </c>
      <c r="I1006" s="7">
        <v>0.10456144779867572</v>
      </c>
      <c r="J1006" s="7">
        <v>0.8735292213757361</v>
      </c>
      <c r="K1006" s="52">
        <v>2714.122436542788</v>
      </c>
      <c r="L1006" s="7">
        <v>0.015138552201324417</v>
      </c>
      <c r="M1006" s="7">
        <v>0.12647077862426398</v>
      </c>
      <c r="N1006" s="51">
        <v>-0.001156763776198222</v>
      </c>
      <c r="O1006" s="7">
        <v>-0.022310673893841004</v>
      </c>
      <c r="P1006" s="52">
        <v>79.03799282541537</v>
      </c>
      <c r="Q1006" s="13">
        <v>174.58892515457214</v>
      </c>
      <c r="R1006" s="13">
        <v>177.13000418576132</v>
      </c>
      <c r="S1006" s="7">
        <v>0.007303607949718444</v>
      </c>
      <c r="T1006" s="52">
        <v>13999.999999999998</v>
      </c>
      <c r="U1006" s="52">
        <v>21460.470680000006</v>
      </c>
      <c r="V1006" s="52">
        <v>6087.640680000002</v>
      </c>
    </row>
    <row r="1007">
      <c r="A1007" s="54">
        <v>44649.0</v>
      </c>
      <c r="B1007" s="47">
        <v>7.778064518282146</v>
      </c>
      <c r="C1007" s="7">
        <v>0.03173391335714304</v>
      </c>
      <c r="D1007" s="48">
        <v>0.4014530663571434</v>
      </c>
      <c r="E1007" s="90">
        <v>112.44</v>
      </c>
      <c r="F1007" s="7">
        <v>0.03200992218499832</v>
      </c>
      <c r="G1007" s="48">
        <v>0.4226069764747862</v>
      </c>
      <c r="H1007" s="52">
        <v>16925.731357738434</v>
      </c>
      <c r="I1007" s="7">
        <v>0.024930942237286067</v>
      </c>
      <c r="J1007" s="7">
        <v>0.8626623611517626</v>
      </c>
      <c r="K1007" s="52">
        <v>2694.611571261572</v>
      </c>
      <c r="L1007" s="7">
        <v>0.003969057762714082</v>
      </c>
      <c r="M1007" s="7">
        <v>0.13733763884823744</v>
      </c>
      <c r="N1007" s="51">
        <v>-2.760088278552786E-4</v>
      </c>
      <c r="O1007" s="7">
        <v>-0.021153910117642782</v>
      </c>
      <c r="P1007" s="52">
        <v>79.03799282541537</v>
      </c>
      <c r="Q1007" s="13">
        <v>174.49611285129853</v>
      </c>
      <c r="R1007" s="13">
        <v>177.13000418576132</v>
      </c>
      <c r="S1007" s="7">
        <v>0.006768120559170313</v>
      </c>
      <c r="T1007" s="52">
        <v>13999.999999999998</v>
      </c>
      <c r="U1007" s="52">
        <v>19620.342929000006</v>
      </c>
      <c r="V1007" s="52">
        <v>4247.512929000002</v>
      </c>
    </row>
    <row r="1008">
      <c r="A1008" s="54">
        <v>44648.0</v>
      </c>
      <c r="B1008" s="47">
        <v>7.601941299150002</v>
      </c>
      <c r="C1008" s="7">
        <v>0.10925689892857138</v>
      </c>
      <c r="D1008" s="48">
        <v>0.36971915300000036</v>
      </c>
      <c r="E1008" s="90">
        <v>109.91</v>
      </c>
      <c r="F1008" s="7">
        <v>0.11083277404766201</v>
      </c>
      <c r="G1008" s="48">
        <v>0.39059705428978786</v>
      </c>
      <c r="H1008" s="52">
        <v>16492.165862213293</v>
      </c>
      <c r="I1008" s="7">
        <v>0.0855738773526841</v>
      </c>
      <c r="J1008" s="7">
        <v>0.8600389683686851</v>
      </c>
      <c r="K1008" s="52">
        <v>2683.902279786711</v>
      </c>
      <c r="L1008" s="7">
        <v>0.013926122647315813</v>
      </c>
      <c r="M1008" s="7">
        <v>0.13996103163131482</v>
      </c>
      <c r="N1008" s="51">
        <v>-0.0015758751190906306</v>
      </c>
      <c r="O1008" s="7">
        <v>-0.020877901289787504</v>
      </c>
      <c r="P1008" s="52">
        <v>79.03799282541537</v>
      </c>
      <c r="Q1008" s="13">
        <v>174.47064090619602</v>
      </c>
      <c r="R1008" s="13">
        <v>177.13000418576132</v>
      </c>
      <c r="S1008" s="7">
        <v>0.0066211583038008</v>
      </c>
      <c r="T1008" s="52">
        <v>13999.999999999998</v>
      </c>
      <c r="U1008" s="52">
        <v>19176.068142000004</v>
      </c>
      <c r="V1008" s="52">
        <v>3803.238142</v>
      </c>
    </row>
    <row r="1009">
      <c r="A1009" s="54">
        <v>44647.0</v>
      </c>
      <c r="B1009" s="47">
        <v>6.995565510096431</v>
      </c>
      <c r="C1009" s="7">
        <v>0.012517875857142924</v>
      </c>
      <c r="D1009" s="48">
        <v>0.260462254071429</v>
      </c>
      <c r="E1009" s="90">
        <v>101.15</v>
      </c>
      <c r="F1009" s="7">
        <v>0.01315822888237106</v>
      </c>
      <c r="G1009" s="48">
        <v>0.27976428024212585</v>
      </c>
      <c r="H1009" s="52">
        <v>15016.363799991013</v>
      </c>
      <c r="I1009" s="7">
        <v>0.0097008938453757</v>
      </c>
      <c r="J1009" s="7">
        <v>0.850955600471547</v>
      </c>
      <c r="K1009" s="52">
        <v>2630.107757008991</v>
      </c>
      <c r="L1009" s="7">
        <v>0.001699106154624376</v>
      </c>
      <c r="M1009" s="7">
        <v>0.14904439952845303</v>
      </c>
      <c r="N1009" s="51">
        <v>-6.403530252281353E-4</v>
      </c>
      <c r="O1009" s="7">
        <v>-0.019302026170696873</v>
      </c>
      <c r="P1009" s="52">
        <v>79.03799282541537</v>
      </c>
      <c r="Q1009" s="13">
        <v>174.45844347009395</v>
      </c>
      <c r="R1009" s="13">
        <v>177.13000418576132</v>
      </c>
      <c r="S1009" s="7">
        <v>0.0065507843016556246</v>
      </c>
      <c r="T1009" s="52">
        <v>13999.999999999998</v>
      </c>
      <c r="U1009" s="52">
        <v>17646.471557000004</v>
      </c>
      <c r="V1009" s="52">
        <v>2273.641557000001</v>
      </c>
    </row>
    <row r="1010">
      <c r="A1010" s="54">
        <v>44646.0</v>
      </c>
      <c r="B1010" s="47">
        <v>6.926091299089287</v>
      </c>
      <c r="C1010" s="7">
        <v>0.08464422238966396</v>
      </c>
      <c r="D1010" s="48">
        <v>0.24794437821428605</v>
      </c>
      <c r="E1010" s="90">
        <v>100.11</v>
      </c>
      <c r="F1010" s="7">
        <v>0.018472129007943483</v>
      </c>
      <c r="G1010" s="48">
        <v>0.2666060513597548</v>
      </c>
      <c r="H1010" s="52">
        <v>14848.392805334242</v>
      </c>
      <c r="I1010" s="7">
        <v>0.06551303420764919</v>
      </c>
      <c r="J1010" s="7">
        <v>0.8498772097622976</v>
      </c>
      <c r="K1010" s="52">
        <v>2622.828489665764</v>
      </c>
      <c r="L1010" s="7">
        <v>0.01157225935607932</v>
      </c>
      <c r="M1010" s="7">
        <v>0.15012279023770234</v>
      </c>
      <c r="N1010" s="51">
        <v>0.06617209338172048</v>
      </c>
      <c r="O1010" s="7">
        <v>-0.018661673145468738</v>
      </c>
      <c r="P1010" s="52">
        <v>79.03799282541537</v>
      </c>
      <c r="Q1010" s="13">
        <v>174.52024068524625</v>
      </c>
      <c r="R1010" s="13">
        <v>177.13000418576132</v>
      </c>
      <c r="S1010" s="7">
        <v>0.006907327866655761</v>
      </c>
      <c r="T1010" s="52">
        <v>13999.999999999998</v>
      </c>
      <c r="U1010" s="52">
        <v>17471.221295000003</v>
      </c>
      <c r="V1010" s="52">
        <v>2098.3912949999994</v>
      </c>
    </row>
    <row r="1011">
      <c r="A1011" s="54">
        <v>44645.0</v>
      </c>
      <c r="B1011" s="47">
        <v>6.456315864826652</v>
      </c>
      <c r="C1011" s="7">
        <v>0.037565485350555594</v>
      </c>
      <c r="D1011" s="48">
        <v>0.1633001558246221</v>
      </c>
      <c r="E1011" s="91">
        <v>98.65</v>
      </c>
      <c r="F1011" s="7">
        <v>-0.044662065341124046</v>
      </c>
      <c r="G1011" s="48">
        <v>0.2481339223518113</v>
      </c>
      <c r="H1011" s="52">
        <v>13816.616473332173</v>
      </c>
      <c r="I1011" s="7">
        <v>0.02902318672628576</v>
      </c>
      <c r="J1011" s="7">
        <v>0.8483633151127746</v>
      </c>
      <c r="K1011" s="52">
        <v>2469.5857082125367</v>
      </c>
      <c r="L1011" s="7">
        <v>0.005187612125179957</v>
      </c>
      <c r="M1011" s="7">
        <v>0.15163668488722531</v>
      </c>
      <c r="N1011" s="51">
        <v>0.08222755069167964</v>
      </c>
      <c r="O1011" s="7">
        <v>-0.08483376652718921</v>
      </c>
      <c r="P1011" s="52">
        <v>79.03799282541537</v>
      </c>
      <c r="Q1011" s="13">
        <v>165.09074689857786</v>
      </c>
      <c r="R1011" s="13">
        <v>177.13000418576132</v>
      </c>
      <c r="S1011" s="7">
        <v>-0.04749682809020779</v>
      </c>
      <c r="T1011" s="52">
        <v>13999.999999999998</v>
      </c>
      <c r="U1011" s="52">
        <v>16286.202181544708</v>
      </c>
      <c r="V1011" s="52">
        <v>913.3721815447043</v>
      </c>
    </row>
    <row r="1012">
      <c r="A1012" s="54">
        <v>44644.0</v>
      </c>
      <c r="B1012" s="47">
        <v>6.247827421131069</v>
      </c>
      <c r="C1012" s="7">
        <v>0.011972602642534858</v>
      </c>
      <c r="D1012" s="48">
        <v>0.1257346704740665</v>
      </c>
      <c r="E1012" s="91">
        <v>102.18</v>
      </c>
      <c r="F1012" s="7">
        <v>0.08016277741044031</v>
      </c>
      <c r="G1012" s="48">
        <v>0.29279598769293536</v>
      </c>
      <c r="H1012" s="52">
        <v>13428.135439496407</v>
      </c>
      <c r="I1012" s="7">
        <v>0.009210613071830858</v>
      </c>
      <c r="J1012" s="7">
        <v>0.8520236220393611</v>
      </c>
      <c r="K1012" s="52">
        <v>2332.1499471405205</v>
      </c>
      <c r="L1012" s="7">
        <v>0.0015996659316840865</v>
      </c>
      <c r="M1012" s="7">
        <v>0.14797637796063892</v>
      </c>
      <c r="N1012" s="51">
        <v>-0.06819017476790545</v>
      </c>
      <c r="O1012" s="7">
        <v>-0.16706131721886885</v>
      </c>
      <c r="P1012" s="52">
        <v>79.03799282541537</v>
      </c>
      <c r="Q1012" s="13">
        <v>154.24041286589284</v>
      </c>
      <c r="R1012" s="13">
        <v>177.13000418576132</v>
      </c>
      <c r="S1012" s="7">
        <v>-0.11009862605022588</v>
      </c>
      <c r="T1012" s="52">
        <v>13999.999999999998</v>
      </c>
      <c r="U1012" s="52">
        <v>15760.28538663693</v>
      </c>
      <c r="V1012" s="52">
        <v>387.45538663692605</v>
      </c>
    </row>
    <row r="1013">
      <c r="A1013" s="54">
        <v>44643.0</v>
      </c>
      <c r="B1013" s="47">
        <v>6.1813794764650005</v>
      </c>
      <c r="C1013" s="7">
        <v>0.004526725285538324</v>
      </c>
      <c r="D1013" s="48">
        <v>0.11376206783153164</v>
      </c>
      <c r="E1013" s="91">
        <v>94.92</v>
      </c>
      <c r="F1013" s="7">
        <v>0.049469199062120106</v>
      </c>
      <c r="G1013" s="48">
        <v>0.21263321028249504</v>
      </c>
      <c r="H1013" s="52">
        <v>12227.373521646872</v>
      </c>
      <c r="I1013" s="7">
        <v>0.0035114206431255445</v>
      </c>
      <c r="J1013" s="7">
        <v>0.8444956253574863</v>
      </c>
      <c r="K1013" s="52">
        <v>2251.5333601630373</v>
      </c>
      <c r="L1013" s="7">
        <v>6.465886321020364E-4</v>
      </c>
      <c r="M1013" s="7">
        <v>0.15550437464251365</v>
      </c>
      <c r="N1013" s="51">
        <v>-0.04494247377658178</v>
      </c>
      <c r="O1013" s="7">
        <v>-0.0988711424509634</v>
      </c>
      <c r="P1013" s="52">
        <v>78.2759363632202</v>
      </c>
      <c r="Q1013" s="13">
        <v>152.53799917625273</v>
      </c>
      <c r="R1013" s="13">
        <v>166.079137522887</v>
      </c>
      <c r="S1013" s="7">
        <v>-0.06123413652631466</v>
      </c>
      <c r="T1013" s="52">
        <v>12999.999999999998</v>
      </c>
      <c r="U1013" s="52">
        <v>14478.90688180991</v>
      </c>
      <c r="V1013" s="52">
        <v>205.44688180990852</v>
      </c>
    </row>
    <row r="1014">
      <c r="A1014" s="54">
        <v>44642.0</v>
      </c>
      <c r="B1014" s="47">
        <v>6.156256151130263</v>
      </c>
      <c r="C1014" s="7">
        <v>0.020297363455083817</v>
      </c>
      <c r="D1014" s="48">
        <v>0.10923534254599332</v>
      </c>
      <c r="E1014" s="91">
        <v>90.5</v>
      </c>
      <c r="F1014" s="7">
        <v>0.014722633986272715</v>
      </c>
      <c r="G1014" s="48">
        <v>0.16316401122037494</v>
      </c>
      <c r="H1014" s="52">
        <v>11179.927087787648</v>
      </c>
      <c r="I1014" s="7">
        <v>0.015232332712812881</v>
      </c>
      <c r="J1014" s="7">
        <v>0.8399124648431769</v>
      </c>
      <c r="K1014" s="52">
        <v>2130.8970227642676</v>
      </c>
      <c r="L1014" s="7">
        <v>0.0029032865932501193</v>
      </c>
      <c r="M1014" s="7">
        <v>0.16008753515682306</v>
      </c>
      <c r="N1014" s="51">
        <v>0.0055747294688111015</v>
      </c>
      <c r="O1014" s="7">
        <v>-0.05392866867438162</v>
      </c>
      <c r="P1014" s="52">
        <v>77.80502072536504</v>
      </c>
      <c r="Q1014" s="13">
        <v>147.08092939836374</v>
      </c>
      <c r="R1014" s="13">
        <v>154.2316920955193</v>
      </c>
      <c r="S1014" s="7">
        <v>-0.02548546448465924</v>
      </c>
      <c r="T1014" s="52">
        <v>11999.999999999998</v>
      </c>
      <c r="U1014" s="52">
        <v>13310.824110551917</v>
      </c>
      <c r="V1014" s="52">
        <v>134.86411055191638</v>
      </c>
    </row>
    <row r="1015">
      <c r="A1015" s="54">
        <v>44641.0</v>
      </c>
      <c r="B1015" s="47">
        <v>6.043605783954548</v>
      </c>
      <c r="C1015" s="7">
        <v>-0.0095491990909089</v>
      </c>
      <c r="D1015" s="48">
        <v>0.0889379790909095</v>
      </c>
      <c r="E1015" s="90">
        <v>88.76</v>
      </c>
      <c r="F1015" s="7">
        <v>-0.012421177581621645</v>
      </c>
      <c r="G1015" s="48">
        <v>0.14844137723410222</v>
      </c>
      <c r="H1015" s="52">
        <v>10039.126755302113</v>
      </c>
      <c r="I1015" s="7">
        <v>-0.007291541637831236</v>
      </c>
      <c r="J1015" s="7">
        <v>0.8381082342334715</v>
      </c>
      <c r="K1015" s="52">
        <v>1939.1910146978862</v>
      </c>
      <c r="L1015" s="7">
        <v>-0.0014084583621688047</v>
      </c>
      <c r="M1015" s="7">
        <v>0.16189176576652853</v>
      </c>
      <c r="N1015" s="51">
        <v>0.0028719784907127455</v>
      </c>
      <c r="O1015" s="7">
        <v>-0.05950339814319272</v>
      </c>
      <c r="P1015" s="52">
        <v>77.2873581181557</v>
      </c>
      <c r="Q1015" s="13">
        <v>134.95175495718794</v>
      </c>
      <c r="R1015" s="13">
        <v>142.32599312274812</v>
      </c>
      <c r="S1015" s="7">
        <v>-0.03073583059542236</v>
      </c>
      <c r="T1015" s="52">
        <v>10999.999999999998</v>
      </c>
      <c r="U1015" s="52">
        <v>11978.317770000001</v>
      </c>
      <c r="V1015" s="52">
        <v>-95.38222999999925</v>
      </c>
    </row>
    <row r="1016">
      <c r="A1016" s="54">
        <v>44640.0</v>
      </c>
      <c r="B1016" s="47">
        <v>6.0966038389090915</v>
      </c>
      <c r="C1016" s="7">
        <v>-1.0976090909098346E-4</v>
      </c>
      <c r="D1016" s="48">
        <v>0.0984871781818184</v>
      </c>
      <c r="E1016" s="90">
        <v>89.72</v>
      </c>
      <c r="F1016" s="7">
        <v>-3.881617994256903E-4</v>
      </c>
      <c r="G1016" s="48">
        <v>0.16086255481572387</v>
      </c>
      <c r="H1016" s="52">
        <v>10139.190871149247</v>
      </c>
      <c r="I1016" s="7">
        <v>-8.391036718111477E-5</v>
      </c>
      <c r="J1016" s="7">
        <v>0.83910367181124</v>
      </c>
      <c r="K1016" s="52">
        <v>1944.1680888507526</v>
      </c>
      <c r="L1016" s="7">
        <v>-1.6089632818874218E-5</v>
      </c>
      <c r="M1016" s="7">
        <v>0.1608963281887599</v>
      </c>
      <c r="N1016" s="51">
        <v>2.7840089033470683E-4</v>
      </c>
      <c r="O1016" s="7">
        <v>-0.062375376633905466</v>
      </c>
      <c r="P1016" s="52">
        <v>77.2873581181557</v>
      </c>
      <c r="Q1016" s="13">
        <v>134.67854391440036</v>
      </c>
      <c r="R1016" s="13">
        <v>142.32599312274812</v>
      </c>
      <c r="S1016" s="7">
        <v>-0.03269811463199285</v>
      </c>
      <c r="T1016" s="52">
        <v>10999.999999999998</v>
      </c>
      <c r="U1016" s="52">
        <v>12083.358960000001</v>
      </c>
      <c r="V1016" s="52">
        <v>9.658960000000661</v>
      </c>
    </row>
    <row r="1017">
      <c r="A1017" s="54">
        <v>44639.0</v>
      </c>
      <c r="B1017" s="47">
        <v>6.097213011954547</v>
      </c>
      <c r="C1017" s="7">
        <v>0.01064680818181829</v>
      </c>
      <c r="D1017" s="48">
        <v>0.09859693909090939</v>
      </c>
      <c r="E1017" s="90">
        <v>89.75</v>
      </c>
      <c r="F1017" s="7">
        <v>0.01138607944981973</v>
      </c>
      <c r="G1017" s="48">
        <v>0.16125071661514956</v>
      </c>
      <c r="H1017" s="52">
        <v>10140.579899481852</v>
      </c>
      <c r="I1017" s="7">
        <v>0.008139607358584917</v>
      </c>
      <c r="J1017" s="7">
        <v>0.8391347792355452</v>
      </c>
      <c r="K1017" s="52">
        <v>1943.9864305181472</v>
      </c>
      <c r="L1017" s="7">
        <v>0.0015603926414152363</v>
      </c>
      <c r="M1017" s="7">
        <v>0.1608652207644548</v>
      </c>
      <c r="N1017" s="51">
        <v>-7.392712680014402E-4</v>
      </c>
      <c r="O1017" s="7">
        <v>-0.06265377752424017</v>
      </c>
      <c r="P1017" s="52">
        <v>77.2873581181557</v>
      </c>
      <c r="Q1017" s="13">
        <v>134.64697860724235</v>
      </c>
      <c r="R1017" s="13">
        <v>142.32599312274812</v>
      </c>
      <c r="S1017" s="7">
        <v>-0.032924826179643506</v>
      </c>
      <c r="T1017" s="52">
        <v>10999.999999999998</v>
      </c>
      <c r="U1017" s="52">
        <v>12084.566330000001</v>
      </c>
      <c r="V1017" s="52">
        <v>10.866330000000744</v>
      </c>
    </row>
    <row r="1018">
      <c r="A1018" s="54">
        <v>44638.0</v>
      </c>
      <c r="B1018" s="47">
        <v>6.038123226545455</v>
      </c>
      <c r="C1018" s="7">
        <v>-0.0010834399909092074</v>
      </c>
      <c r="D1018" s="48">
        <v>0.0879501309090911</v>
      </c>
      <c r="E1018" s="90">
        <v>88.87</v>
      </c>
      <c r="F1018" s="7">
        <v>-0.001705550285611146</v>
      </c>
      <c r="G1018" s="48">
        <v>0.14986463716532983</v>
      </c>
      <c r="H1018" s="52">
        <v>10031.384608815802</v>
      </c>
      <c r="I1018" s="7">
        <v>-0.0014249779011416737</v>
      </c>
      <c r="J1018" s="7">
        <v>0.8382222947892574</v>
      </c>
      <c r="K1018" s="52">
        <v>1936.0668311841982</v>
      </c>
      <c r="L1018" s="7">
        <v>-2.7502209885825024E-4</v>
      </c>
      <c r="M1018" s="7">
        <v>0.1617777052107427</v>
      </c>
      <c r="N1018" s="51">
        <v>6.221102947019386E-4</v>
      </c>
      <c r="O1018" s="7">
        <v>-0.06191450625623873</v>
      </c>
      <c r="P1018" s="52">
        <v>77.2873581181557</v>
      </c>
      <c r="Q1018" s="13">
        <v>134.66244446944975</v>
      </c>
      <c r="R1018" s="13">
        <v>142.32599312274812</v>
      </c>
      <c r="S1018" s="7">
        <v>-0.03281374569690845</v>
      </c>
      <c r="T1018" s="52">
        <v>10999.999999999998</v>
      </c>
      <c r="U1018" s="52">
        <v>11967.45144</v>
      </c>
      <c r="V1018" s="52">
        <v>-106.24856</v>
      </c>
    </row>
    <row r="1019">
      <c r="A1019" s="54">
        <v>44637.0</v>
      </c>
      <c r="B1019" s="47">
        <v>6.044136318495002</v>
      </c>
      <c r="C1019" s="7">
        <v>0.07097226895991948</v>
      </c>
      <c r="D1019" s="48">
        <v>0.0890335709000003</v>
      </c>
      <c r="E1019" s="90">
        <v>88.89</v>
      </c>
      <c r="F1019" s="7">
        <v>0.07448015350371318</v>
      </c>
      <c r="G1019" s="48">
        <v>0.15157018745094097</v>
      </c>
      <c r="H1019" s="52">
        <v>9128.74803588586</v>
      </c>
      <c r="I1019" s="7">
        <v>0.05339608120669432</v>
      </c>
      <c r="J1019" s="7">
        <v>0.8382430330721276</v>
      </c>
      <c r="K1019" s="52">
        <v>1761.5876731141416</v>
      </c>
      <c r="L1019" s="7">
        <v>0.010303918793305436</v>
      </c>
      <c r="M1019" s="7">
        <v>0.16175696692787245</v>
      </c>
      <c r="N1019" s="51">
        <v>-0.0035078845437936934</v>
      </c>
      <c r="O1019" s="7">
        <v>-0.06253661655094067</v>
      </c>
      <c r="P1019" s="52">
        <v>77.1902581090281</v>
      </c>
      <c r="Q1019" s="13">
        <v>122.51474529193386</v>
      </c>
      <c r="R1019" s="13">
        <v>129.55002671289694</v>
      </c>
      <c r="S1019" s="7">
        <v>-0.032674753932102334</v>
      </c>
      <c r="T1019" s="52">
        <v>9999.999999999998</v>
      </c>
      <c r="U1019" s="52">
        <v>10890.335709</v>
      </c>
      <c r="V1019" s="52">
        <v>-77.87429100000008</v>
      </c>
    </row>
    <row r="1020">
      <c r="A1020" s="54">
        <v>44636.0</v>
      </c>
      <c r="B1020" s="47">
        <v>5.650240225767448</v>
      </c>
      <c r="C1020" s="7">
        <v>-0.02389527615177811</v>
      </c>
      <c r="D1020" s="48">
        <v>0.01806130194008082</v>
      </c>
      <c r="E1020" s="90">
        <v>82.85</v>
      </c>
      <c r="F1020" s="7">
        <v>-0.020569238927454547</v>
      </c>
      <c r="G1020" s="48">
        <v>0.0770900339472278</v>
      </c>
      <c r="H1020" s="52">
        <v>7803.489804760896</v>
      </c>
      <c r="I1020" s="7">
        <v>-0.018553155597690746</v>
      </c>
      <c r="J1020" s="7">
        <v>0.8319800716453337</v>
      </c>
      <c r="K1020" s="52">
        <v>1575.9293312391064</v>
      </c>
      <c r="L1020" s="7">
        <v>-0.003746844402309019</v>
      </c>
      <c r="M1020" s="7">
        <v>0.1680199283546663</v>
      </c>
      <c r="N1020" s="51">
        <v>-0.0033260372243235636</v>
      </c>
      <c r="O1020" s="7">
        <v>-0.05902873200714698</v>
      </c>
      <c r="P1020" s="52">
        <v>76.9202177986722</v>
      </c>
      <c r="Q1020" s="13">
        <v>113.20964557634282</v>
      </c>
      <c r="R1020" s="13">
        <v>119.77371182325273</v>
      </c>
      <c r="S1020" s="7">
        <v>-0.03334053838567731</v>
      </c>
      <c r="T1020" s="52">
        <v>9213.019999999999</v>
      </c>
      <c r="U1020" s="52">
        <v>9379.419136000002</v>
      </c>
      <c r="V1020" s="52">
        <v>-714.6608639999995</v>
      </c>
    </row>
    <row r="1021">
      <c r="A1021" s="54">
        <v>44635.0</v>
      </c>
      <c r="B1021" s="47">
        <v>5.782859008409817</v>
      </c>
      <c r="C1021" s="7">
        <v>0.07249345819199238</v>
      </c>
      <c r="D1021" s="48">
        <v>0.04195657809185893</v>
      </c>
      <c r="E1021" s="90">
        <v>84.63</v>
      </c>
      <c r="F1021" s="7">
        <v>0.06692569831068607</v>
      </c>
      <c r="G1021" s="48">
        <v>0.09765927287468235</v>
      </c>
      <c r="H1021" s="52">
        <v>7135.556002367034</v>
      </c>
      <c r="I1021" s="7">
        <v>0.05519926655793545</v>
      </c>
      <c r="J1021" s="7">
        <v>0.8338257788207796</v>
      </c>
      <c r="K1021" s="52">
        <v>1422.0542126329665</v>
      </c>
      <c r="L1021" s="7">
        <v>0.011000733442064363</v>
      </c>
      <c r="M1021" s="7">
        <v>0.16617422117922045</v>
      </c>
      <c r="N1021" s="51">
        <v>0.005567759881306311</v>
      </c>
      <c r="O1021" s="7">
        <v>-0.055702694782823414</v>
      </c>
      <c r="P1021" s="52">
        <v>77.10042823977678</v>
      </c>
      <c r="Q1021" s="13">
        <v>101.11792762613732</v>
      </c>
      <c r="R1021" s="13">
        <v>106.52366254644008</v>
      </c>
      <c r="S1021" s="7">
        <v>-0.02977510964030231</v>
      </c>
      <c r="T1021" s="52">
        <v>8213.02</v>
      </c>
      <c r="U1021" s="52">
        <v>8557.610215</v>
      </c>
      <c r="V1021" s="52">
        <v>-436.1997850000007</v>
      </c>
    </row>
    <row r="1022">
      <c r="A1022" s="54">
        <v>44634.0</v>
      </c>
      <c r="B1022" s="47">
        <v>5.380520315444259</v>
      </c>
      <c r="C1022" s="7">
        <v>-0.012365520114995476</v>
      </c>
      <c r="D1022" s="48">
        <v>-0.030536880100133446</v>
      </c>
      <c r="E1022" s="90">
        <v>79.47</v>
      </c>
      <c r="F1022" s="7">
        <v>-0.006562821785912165</v>
      </c>
      <c r="G1022" s="48">
        <v>0.03073357456399628</v>
      </c>
      <c r="H1022" s="52">
        <v>6596.502612019336</v>
      </c>
      <c r="I1022" s="7">
        <v>-0.009776008561715163</v>
      </c>
      <c r="J1022" s="7">
        <v>0.8284753018402735</v>
      </c>
      <c r="K1022" s="52">
        <v>1365.7173809806645</v>
      </c>
      <c r="L1022" s="7">
        <v>-0.002023991438284759</v>
      </c>
      <c r="M1022" s="7">
        <v>0.17152469815972649</v>
      </c>
      <c r="N1022" s="51">
        <v>-0.005802698329083311</v>
      </c>
      <c r="O1022" s="7">
        <v>-0.061270454664129725</v>
      </c>
      <c r="P1022" s="52">
        <v>77.10042823977678</v>
      </c>
      <c r="Q1022" s="13">
        <v>100.19151872404683</v>
      </c>
      <c r="R1022" s="13">
        <v>106.52366254644008</v>
      </c>
      <c r="S1022" s="7">
        <v>-0.03866398816619744</v>
      </c>
      <c r="T1022" s="52">
        <v>8213.02</v>
      </c>
      <c r="U1022" s="52">
        <v>7962.2199930000015</v>
      </c>
      <c r="V1022" s="52">
        <v>-1031.5900069999998</v>
      </c>
    </row>
    <row r="1023">
      <c r="A1023" s="54">
        <v>44633.0</v>
      </c>
      <c r="B1023" s="47">
        <v>5.449148952082484</v>
      </c>
      <c r="C1023" s="7">
        <v>-0.004969854115206673</v>
      </c>
      <c r="D1023" s="48">
        <v>-0.01817135998513797</v>
      </c>
      <c r="E1023" s="90">
        <v>80.57</v>
      </c>
      <c r="F1023" s="7">
        <v>-0.0014405300071258509</v>
      </c>
      <c r="G1023" s="48">
        <v>0.037296396349908445</v>
      </c>
      <c r="H1023" s="52">
        <v>5875.298057655317</v>
      </c>
      <c r="I1023" s="7">
        <v>-0.0034014252203324324</v>
      </c>
      <c r="J1023" s="7">
        <v>0.8296159073981333</v>
      </c>
      <c r="K1023" s="52">
        <v>1206.651559344683</v>
      </c>
      <c r="L1023" s="7">
        <v>-6.985747796676713E-4</v>
      </c>
      <c r="M1023" s="7">
        <v>0.17038409260186677</v>
      </c>
      <c r="N1023" s="51">
        <v>-0.0035293241080808224</v>
      </c>
      <c r="O1023" s="7">
        <v>-0.055467756335046414</v>
      </c>
      <c r="P1023" s="52">
        <v>77.67307423752153</v>
      </c>
      <c r="Q1023" s="13">
        <v>87.89809627652974</v>
      </c>
      <c r="R1023" s="13">
        <v>92.86384079433806</v>
      </c>
      <c r="S1023" s="7">
        <v>-0.03360553040017353</v>
      </c>
      <c r="T1023" s="52">
        <v>7213.02</v>
      </c>
      <c r="U1023" s="52">
        <v>7081.949617</v>
      </c>
      <c r="V1023" s="52">
        <v>-812.3203830000002</v>
      </c>
    </row>
    <row r="1024">
      <c r="A1024" s="54">
        <v>44632.0</v>
      </c>
      <c r="B1024" s="47">
        <v>5.476731642421881</v>
      </c>
      <c r="C1024" s="7">
        <v>0.008538012489867963</v>
      </c>
      <c r="D1024" s="48">
        <v>-0.013201505869931296</v>
      </c>
      <c r="E1024" s="90">
        <v>81.39</v>
      </c>
      <c r="F1024" s="7">
        <v>0.013660262694577874</v>
      </c>
      <c r="G1024" s="48">
        <v>0.038736926357034296</v>
      </c>
      <c r="H1024" s="52">
        <v>5091.587117992579</v>
      </c>
      <c r="I1024" s="7">
        <v>0.006975915886764871</v>
      </c>
      <c r="J1024" s="7">
        <v>0.8304661769958106</v>
      </c>
      <c r="K1024" s="52">
        <v>1039.411662007421</v>
      </c>
      <c r="L1024" s="7">
        <v>0.0014240841132352033</v>
      </c>
      <c r="M1024" s="7">
        <v>0.16953382300418937</v>
      </c>
      <c r="N1024" s="51">
        <v>-0.0051222502047099105</v>
      </c>
      <c r="O1024" s="7">
        <v>-0.05193843222696559</v>
      </c>
      <c r="P1024" s="52">
        <v>78.35477678207106</v>
      </c>
      <c r="Q1024" s="13">
        <v>75.3286494655363</v>
      </c>
      <c r="R1024" s="13">
        <v>79.29344266119648</v>
      </c>
      <c r="S1024" s="7">
        <v>-0.03119278515331185</v>
      </c>
      <c r="T1024" s="52">
        <v>6213.02</v>
      </c>
      <c r="U1024" s="52">
        <v>6130.99878</v>
      </c>
      <c r="V1024" s="52">
        <v>-672.1512199999997</v>
      </c>
    </row>
    <row r="1025">
      <c r="A1025" s="54">
        <v>44631.0</v>
      </c>
      <c r="B1025" s="47">
        <v>5.429345673103114</v>
      </c>
      <c r="C1025" s="7">
        <v>-0.0532803608284913</v>
      </c>
      <c r="D1025" s="48">
        <v>-0.02173951835979926</v>
      </c>
      <c r="E1025" s="90">
        <v>80.8</v>
      </c>
      <c r="F1025" s="7">
        <v>-0.01464208108423981</v>
      </c>
      <c r="G1025" s="48">
        <v>0.025076663662456422</v>
      </c>
      <c r="H1025" s="52">
        <v>4232.001381425546</v>
      </c>
      <c r="I1025" s="7">
        <v>-0.04037571851490221</v>
      </c>
      <c r="J1025" s="7">
        <v>0.8298543976511403</v>
      </c>
      <c r="K1025" s="52">
        <v>867.6900745744533</v>
      </c>
      <c r="L1025" s="7">
        <v>-0.008278260579724004</v>
      </c>
      <c r="M1025" s="7">
        <v>0.1701456023488597</v>
      </c>
      <c r="N1025" s="51">
        <v>-0.03863827974425149</v>
      </c>
      <c r="O1025" s="7">
        <v>-0.04681618202225568</v>
      </c>
      <c r="P1025" s="52">
        <v>78.82337279176059</v>
      </c>
      <c r="Q1025" s="13">
        <v>63.11499326732673</v>
      </c>
      <c r="R1025" s="13">
        <v>66.13545976739678</v>
      </c>
      <c r="S1025" s="7">
        <v>-0.024009528709309513</v>
      </c>
      <c r="T1025" s="52">
        <v>5213.02</v>
      </c>
      <c r="U1025" s="52">
        <v>5099.691456</v>
      </c>
      <c r="V1025" s="52">
        <v>-612.328544</v>
      </c>
    </row>
    <row r="1026">
      <c r="A1026" s="54">
        <v>44630.0</v>
      </c>
      <c r="B1026" s="47">
        <v>5.72505167570124</v>
      </c>
      <c r="C1026" s="7">
        <v>-0.017362312038051275</v>
      </c>
      <c r="D1026" s="48">
        <v>0.03154084246869204</v>
      </c>
      <c r="E1026" s="90">
        <v>83.03</v>
      </c>
      <c r="F1026" s="7">
        <v>-0.07388101401909575</v>
      </c>
      <c r="G1026" s="48">
        <v>0.03971874474669623</v>
      </c>
      <c r="H1026" s="52">
        <v>3616.5151627763416</v>
      </c>
      <c r="I1026" s="7">
        <v>-0.013186531181521464</v>
      </c>
      <c r="J1026" s="7">
        <v>0.8321667161911652</v>
      </c>
      <c r="K1026" s="52">
        <v>729.387037361108</v>
      </c>
      <c r="L1026" s="7">
        <v>-0.0026594897238523285</v>
      </c>
      <c r="M1026" s="7">
        <v>0.16783328380883478</v>
      </c>
      <c r="N1026" s="51">
        <v>0.05651870198104447</v>
      </c>
      <c r="O1026" s="7">
        <v>-0.00817790227800419</v>
      </c>
      <c r="P1026" s="52">
        <v>79.85813511540408</v>
      </c>
      <c r="Q1026" s="13">
        <v>52.34134891168794</v>
      </c>
      <c r="R1026" s="13">
        <v>52.756303336055964</v>
      </c>
      <c r="S1026" s="7">
        <v>0.014279963511975304</v>
      </c>
      <c r="T1026" s="52">
        <v>4213.02</v>
      </c>
      <c r="U1026" s="52">
        <v>4345.90220013745</v>
      </c>
      <c r="V1026" s="52">
        <v>-270.2577998625502</v>
      </c>
    </row>
    <row r="1027">
      <c r="A1027" s="54">
        <v>44629.0</v>
      </c>
      <c r="B1027" s="47">
        <v>5.8214125075124254</v>
      </c>
      <c r="C1027" s="7">
        <v>0.04324655728668225</v>
      </c>
      <c r="D1027" s="48">
        <v>0.04890315450674332</v>
      </c>
      <c r="E1027" s="90">
        <v>88.93</v>
      </c>
      <c r="F1027" s="7">
        <v>0.05559719576628552</v>
      </c>
      <c r="G1027" s="48">
        <v>0.11359975876579198</v>
      </c>
      <c r="H1027" s="52">
        <v>3704.421135490116</v>
      </c>
      <c r="I1027" s="7">
        <v>0.032944581228768394</v>
      </c>
      <c r="J1027" s="7">
        <v>0.8382845096378678</v>
      </c>
      <c r="K1027" s="52">
        <v>714.6288325098844</v>
      </c>
      <c r="L1027" s="7">
        <v>0.00635541877123183</v>
      </c>
      <c r="M1027" s="7">
        <v>0.16171549036213215</v>
      </c>
      <c r="N1027" s="51">
        <v>-0.012350638479603271</v>
      </c>
      <c r="O1027" s="7">
        <v>-0.06469660425904866</v>
      </c>
      <c r="P1027" s="52">
        <v>79.85813511540408</v>
      </c>
      <c r="Q1027" s="13">
        <v>49.691329899921286</v>
      </c>
      <c r="R1027" s="13">
        <v>52.756303336055964</v>
      </c>
      <c r="S1027" s="7">
        <v>-0.03707257597063852</v>
      </c>
      <c r="T1027" s="52">
        <v>4213.02</v>
      </c>
      <c r="U1027" s="52">
        <v>4419.049968</v>
      </c>
      <c r="V1027" s="52">
        <v>-197.1100319999996</v>
      </c>
    </row>
    <row r="1028">
      <c r="A1028" s="54">
        <v>44628.0</v>
      </c>
      <c r="B1028" s="47">
        <v>5.581394114571339</v>
      </c>
      <c r="C1028" s="7">
        <v>0.06734972968158404</v>
      </c>
      <c r="D1028" s="48">
        <v>0.005656597220061066</v>
      </c>
      <c r="E1028" s="90">
        <v>84.21</v>
      </c>
      <c r="F1028" s="7">
        <v>0.04282554355652657</v>
      </c>
      <c r="G1028" s="48">
        <v>0.05800256299950646</v>
      </c>
      <c r="H1028" s="52">
        <v>2692.8462892288503</v>
      </c>
      <c r="I1028" s="7">
        <v>0.05317029953737596</v>
      </c>
      <c r="J1028" s="7">
        <v>0.8333902748805058</v>
      </c>
      <c r="K1028" s="52">
        <v>538.3484707711505</v>
      </c>
      <c r="L1028" s="7">
        <v>0.010629700462623674</v>
      </c>
      <c r="M1028" s="7">
        <v>0.1666097251194943</v>
      </c>
      <c r="N1028" s="51">
        <v>0.024524186125057468</v>
      </c>
      <c r="O1028" s="7">
        <v>-0.05234596577944539</v>
      </c>
      <c r="P1028" s="52">
        <v>79.59337996427828</v>
      </c>
      <c r="Q1028" s="13">
        <v>38.37067759173495</v>
      </c>
      <c r="R1028" s="13">
        <v>40.367930114816225</v>
      </c>
      <c r="S1028" s="7">
        <v>-0.028943738517245243</v>
      </c>
      <c r="T1028" s="52">
        <v>3213.02</v>
      </c>
      <c r="U1028" s="52">
        <v>3231.1947600000003</v>
      </c>
      <c r="V1028" s="52">
        <v>-288.6252400000003</v>
      </c>
    </row>
    <row r="1029">
      <c r="A1029" s="54">
        <v>44627.0</v>
      </c>
      <c r="B1029" s="47">
        <v>5.207603114838547</v>
      </c>
      <c r="C1029" s="7">
        <v>-0.06239268330155168</v>
      </c>
      <c r="D1029" s="48">
        <v>-0.06169313246152297</v>
      </c>
      <c r="E1029" s="90">
        <v>82.02</v>
      </c>
      <c r="F1029" s="7">
        <v>-0.06881716932581039</v>
      </c>
      <c r="G1029" s="48">
        <v>0.015177019442979889</v>
      </c>
      <c r="H1029" s="52">
        <v>1725.8127404420627</v>
      </c>
      <c r="I1029" s="7">
        <v>-0.04720758378907306</v>
      </c>
      <c r="J1029" s="7">
        <v>0.8311194329062213</v>
      </c>
      <c r="K1029" s="52">
        <v>350.6791235579378</v>
      </c>
      <c r="L1029" s="7">
        <v>-0.00959241621092657</v>
      </c>
      <c r="M1029" s="7">
        <v>0.16888056709377877</v>
      </c>
      <c r="N1029" s="51">
        <v>0.006424486024258713</v>
      </c>
      <c r="O1029" s="7">
        <v>-0.07687015190450286</v>
      </c>
      <c r="P1029" s="52">
        <v>80.79379106217728</v>
      </c>
      <c r="Q1029" s="13">
        <v>25.316896659351386</v>
      </c>
      <c r="R1029" s="13">
        <v>27.39096619809441</v>
      </c>
      <c r="S1029" s="7">
        <v>-0.05362232275032455</v>
      </c>
      <c r="T1029" s="52">
        <v>2213.02</v>
      </c>
      <c r="U1029" s="52">
        <v>2076.4918640000005</v>
      </c>
      <c r="V1029" s="52">
        <v>-354.428136</v>
      </c>
    </row>
    <row r="1030">
      <c r="A1030" s="54">
        <v>44626.0</v>
      </c>
      <c r="B1030" s="47">
        <v>5.553882507162159</v>
      </c>
      <c r="C1030" s="7">
        <v>-0.008679282155305224</v>
      </c>
      <c r="D1030" s="48">
        <v>6.995508400287065E-4</v>
      </c>
      <c r="E1030" s="90">
        <v>87.58</v>
      </c>
      <c r="F1030" s="7">
        <v>-0.01368074518639939</v>
      </c>
      <c r="G1030" s="48">
        <v>0.08399418876879028</v>
      </c>
      <c r="H1030" s="52">
        <v>1853.338122576576</v>
      </c>
      <c r="I1030" s="7">
        <v>-0.004435488780384056</v>
      </c>
      <c r="J1030" s="7">
        <v>0.8368846755441308</v>
      </c>
      <c r="K1030" s="52">
        <v>361.22999742342427</v>
      </c>
      <c r="L1030" s="7">
        <v>-8.645112196161382E-4</v>
      </c>
      <c r="M1030" s="7">
        <v>0.16311532445586918</v>
      </c>
      <c r="N1030" s="51">
        <v>0.005001463031094167</v>
      </c>
      <c r="O1030" s="7">
        <v>-0.08329463792876157</v>
      </c>
      <c r="P1030" s="52">
        <v>80.79379106217728</v>
      </c>
      <c r="Q1030" s="13">
        <v>25.286231102991554</v>
      </c>
      <c r="R1030" s="13">
        <v>27.39096619809441</v>
      </c>
      <c r="S1030" s="7">
        <v>-0.054768640104693775</v>
      </c>
      <c r="T1030" s="52">
        <v>2213.02</v>
      </c>
      <c r="U1030" s="52">
        <v>2214.5681200000004</v>
      </c>
      <c r="V1030" s="52">
        <v>-216.35188000000016</v>
      </c>
    </row>
    <row r="1031">
      <c r="A1031" s="54">
        <v>44625.0</v>
      </c>
      <c r="B1031" s="47">
        <v>5.602052523124103</v>
      </c>
      <c r="C1031" s="7">
        <v>0.10809309456701721</v>
      </c>
      <c r="D1031" s="48">
        <v>0.00937883299533393</v>
      </c>
      <c r="E1031" s="90">
        <v>89.7</v>
      </c>
      <c r="F1031" s="7">
        <v>0.042802134823688</v>
      </c>
      <c r="G1031" s="48">
        <v>0.09767493395518967</v>
      </c>
      <c r="H1031" s="52">
        <v>1027.3703849074504</v>
      </c>
      <c r="I1031" s="7">
        <v>0.10194857642369687</v>
      </c>
      <c r="J1031" s="7">
        <v>0.8390829335283697</v>
      </c>
      <c r="K1031" s="52">
        <v>197.02632709254954</v>
      </c>
      <c r="L1031" s="7">
        <v>0.019551423576303066</v>
      </c>
      <c r="M1031" s="7">
        <v>0.16091706647163026</v>
      </c>
      <c r="N1031" s="51">
        <v>0.06529095974332921</v>
      </c>
      <c r="O1031" s="7">
        <v>-0.08829610095985574</v>
      </c>
      <c r="P1031" s="52">
        <v>81.71818197286248</v>
      </c>
      <c r="Q1031" s="13">
        <v>13.649907603121516</v>
      </c>
      <c r="R1031" s="13">
        <v>14.843942568409412</v>
      </c>
      <c r="S1031" s="7">
        <v>-0.05740571708878457</v>
      </c>
      <c r="T1031" s="52">
        <v>1213.02</v>
      </c>
      <c r="U1031" s="52">
        <v>1224.396712</v>
      </c>
      <c r="V1031" s="52">
        <v>-111.84328800000003</v>
      </c>
    </row>
    <row r="1032">
      <c r="A1032" s="54">
        <v>44624.0</v>
      </c>
      <c r="B1032" s="47">
        <v>5.002135848277158</v>
      </c>
      <c r="C1032" s="7">
        <v>-0.0561319124964792</v>
      </c>
      <c r="D1032" s="48">
        <v>-0.09871426157168328</v>
      </c>
      <c r="E1032" s="91">
        <v>88.25</v>
      </c>
      <c r="F1032" s="7">
        <v>-0.09024690802768087</v>
      </c>
      <c r="G1032" s="48">
        <v>0.05487279913150167</v>
      </c>
      <c r="H1032" s="52">
        <v>160.80845189573623</v>
      </c>
      <c r="I1032" s="7">
        <v>-0.04146018069700384</v>
      </c>
      <c r="J1032" s="7">
        <v>0.8375794080202817</v>
      </c>
      <c r="K1032" s="52">
        <v>31.183436104263762</v>
      </c>
      <c r="L1032" s="7">
        <v>-0.008039819302996033</v>
      </c>
      <c r="M1032" s="7">
        <v>0.16242059197971825</v>
      </c>
      <c r="N1032" s="51">
        <v>0.034114995531201675</v>
      </c>
      <c r="O1032" s="7">
        <v>-0.15358706070318495</v>
      </c>
      <c r="P1032" s="52">
        <v>83.65937587229287</v>
      </c>
      <c r="Q1032" s="13">
        <v>2.1755454730878188</v>
      </c>
      <c r="R1032" s="13">
        <v>2.546277661994249</v>
      </c>
      <c r="S1032" s="7">
        <v>-0.11867410087726177</v>
      </c>
      <c r="T1032" s="52">
        <v>213.01999999999998</v>
      </c>
      <c r="U1032" s="52">
        <v>191.99188800000002</v>
      </c>
      <c r="V1032" s="52">
        <v>-49.568111999999985</v>
      </c>
    </row>
    <row r="1033">
      <c r="A1033" s="54">
        <v>44623.0</v>
      </c>
      <c r="B1033" s="47">
        <v>5.313667962632617</v>
      </c>
      <c r="C1033" s="7">
        <v>-0.06350276969298652</v>
      </c>
      <c r="D1033" s="48">
        <v>-0.042582349075204085</v>
      </c>
      <c r="E1033" s="90">
        <v>95.8</v>
      </c>
      <c r="F1033" s="7">
        <v>-0.059646631928228944</v>
      </c>
      <c r="G1033" s="48">
        <v>0.14511970715918254</v>
      </c>
      <c r="H1033" s="52">
        <v>172.4202298904458</v>
      </c>
      <c r="I1033" s="7">
        <v>-0.04734285414901148</v>
      </c>
      <c r="J1033" s="7">
        <v>0.845408109803774</v>
      </c>
      <c r="K1033" s="52">
        <v>31.528878109554228</v>
      </c>
      <c r="L1033" s="7">
        <v>-0.008657145850988677</v>
      </c>
      <c r="M1033" s="7">
        <v>0.15459189019622593</v>
      </c>
      <c r="N1033" s="51">
        <v>-0.0038561377647575723</v>
      </c>
      <c r="O1033" s="7">
        <v>-0.18770205623438663</v>
      </c>
      <c r="P1033" s="52">
        <v>83.65937587229287</v>
      </c>
      <c r="Q1033" s="13">
        <v>2.12890509394572</v>
      </c>
      <c r="R1033" s="13">
        <v>2.546277661994249</v>
      </c>
      <c r="S1033" s="7">
        <v>-0.13756838490456522</v>
      </c>
      <c r="T1033" s="52">
        <v>213.01999999999998</v>
      </c>
      <c r="U1033" s="52">
        <v>203.949108</v>
      </c>
      <c r="V1033" s="52">
        <v>-37.61089200000001</v>
      </c>
    </row>
    <row r="1034">
      <c r="A1034" s="54">
        <v>44622.0</v>
      </c>
      <c r="B1034" s="47">
        <v>5.666108334428692</v>
      </c>
      <c r="C1034" s="7">
        <v>0.01668954622793306</v>
      </c>
      <c r="D1034" s="48">
        <v>0.02092042061778243</v>
      </c>
      <c r="E1034" s="91">
        <v>100.79</v>
      </c>
      <c r="F1034" s="7">
        <v>0.02426506268823725</v>
      </c>
      <c r="G1034" s="48">
        <v>0.2047663390874115</v>
      </c>
      <c r="H1034" s="52">
        <v>184.98163682217327</v>
      </c>
      <c r="I1034" s="7">
        <v>0.012518613613293378</v>
      </c>
      <c r="J1034" s="7">
        <v>0.8505823113798835</v>
      </c>
      <c r="K1034" s="52">
        <v>32.49483117782674</v>
      </c>
      <c r="L1034" s="7">
        <v>0.0021990844222849423</v>
      </c>
      <c r="M1034" s="7">
        <v>0.14941768862011653</v>
      </c>
      <c r="N1034" s="51">
        <v>-0.007575516460304188</v>
      </c>
      <c r="O1034" s="7">
        <v>-0.18384591846962905</v>
      </c>
      <c r="P1034" s="52">
        <v>83.65937587229287</v>
      </c>
      <c r="Q1034" s="13">
        <v>2.1577187022522075</v>
      </c>
      <c r="R1034" s="13">
        <v>2.546277661994249</v>
      </c>
      <c r="S1034" s="7">
        <v>-0.12589582757960033</v>
      </c>
      <c r="T1034" s="52">
        <v>213.01999999999998</v>
      </c>
      <c r="U1034" s="52">
        <v>217.476468</v>
      </c>
      <c r="V1034" s="52">
        <v>-24.08353199999999</v>
      </c>
    </row>
    <row r="1035">
      <c r="A1035" s="54">
        <v>44621.0</v>
      </c>
      <c r="B1035" s="47">
        <v>5.573481352863664</v>
      </c>
      <c r="C1035" s="7">
        <v>0.028102585966227278</v>
      </c>
      <c r="D1035" s="48">
        <v>0.004230874389849371</v>
      </c>
      <c r="E1035" s="91">
        <v>98.76</v>
      </c>
      <c r="F1035" s="7">
        <v>-0.009801650938105588</v>
      </c>
      <c r="G1035" s="48">
        <v>0.18050127639917424</v>
      </c>
      <c r="H1035" s="52">
        <v>181.50735001634533</v>
      </c>
      <c r="I1035" s="7">
        <v>0.021027222533798486</v>
      </c>
      <c r="J1035" s="7">
        <v>0.8484773756685604</v>
      </c>
      <c r="K1035" s="52">
        <v>32.413910846180386</v>
      </c>
      <c r="L1035" s="7">
        <v>0.0037550794306233956</v>
      </c>
      <c r="M1035" s="7">
        <v>0.15152262433143965</v>
      </c>
      <c r="N1035" s="51">
        <v>0.037904236904332866</v>
      </c>
      <c r="O1035" s="7">
        <v>-0.17627040200932487</v>
      </c>
      <c r="P1035" s="52">
        <v>83.65937587229287</v>
      </c>
      <c r="Q1035" s="13">
        <v>2.166071900187583</v>
      </c>
      <c r="R1035" s="13">
        <v>2.546277661994249</v>
      </c>
      <c r="S1035" s="7">
        <v>-0.12251189937767852</v>
      </c>
      <c r="T1035" s="52">
        <v>213.01999999999998</v>
      </c>
      <c r="U1035" s="52">
        <v>213.9212608625257</v>
      </c>
      <c r="V1035" s="52">
        <v>-27.63873913747429</v>
      </c>
    </row>
    <row r="1036">
      <c r="A1036" s="54">
        <v>44620.0</v>
      </c>
      <c r="B1036" s="47">
        <v>5.417512000751103</v>
      </c>
      <c r="C1036" s="7">
        <v>0.10307860294807991</v>
      </c>
      <c r="D1036" s="48">
        <v>-0.023871711576377908</v>
      </c>
      <c r="E1036" s="91">
        <v>99.58</v>
      </c>
      <c r="F1036" s="7">
        <v>0.16746479224739197</v>
      </c>
      <c r="G1036" s="48">
        <v>0.19030292733727983</v>
      </c>
      <c r="H1036" s="52">
        <v>176.60481482063307</v>
      </c>
      <c r="I1036" s="7">
        <v>0.0772038829547009</v>
      </c>
      <c r="J1036" s="7">
        <v>0.8493276452662377</v>
      </c>
      <c r="K1036" s="52">
        <v>31.33003317936695</v>
      </c>
      <c r="L1036" s="7">
        <v>0.013696117045298974</v>
      </c>
      <c r="M1036" s="7">
        <v>0.1506723547337623</v>
      </c>
      <c r="N1036" s="51">
        <v>-0.06438618929931206</v>
      </c>
      <c r="O1036" s="7">
        <v>-0.21417463891365773</v>
      </c>
      <c r="P1036" s="52">
        <v>83.65937587229287</v>
      </c>
      <c r="Q1036" s="13">
        <v>2.0881185780277165</v>
      </c>
      <c r="R1036" s="13">
        <v>2.546277661994249</v>
      </c>
      <c r="S1036" s="7">
        <v>-0.15409123549913303</v>
      </c>
      <c r="T1036" s="52">
        <v>213.01999999999998</v>
      </c>
      <c r="U1036" s="52">
        <v>207.934848</v>
      </c>
      <c r="V1036" s="52">
        <v>-33.625152000000014</v>
      </c>
    </row>
    <row r="1037">
      <c r="A1037" s="46">
        <v>44619.0</v>
      </c>
      <c r="B1037" s="47">
        <v>4.845425754389259</v>
      </c>
      <c r="C1037" s="7">
        <v>-0.18649780834649</v>
      </c>
      <c r="D1037" s="48">
        <v>-0.12695031452445782</v>
      </c>
      <c r="E1037" s="91">
        <v>85.57</v>
      </c>
      <c r="F1037" s="7">
        <v>-0.05426767714512204</v>
      </c>
      <c r="G1037" s="48">
        <v>0.022838135089887857</v>
      </c>
      <c r="H1037" s="52">
        <v>155.25372524974046</v>
      </c>
      <c r="I1037" s="7">
        <v>-0.13729407045331996</v>
      </c>
      <c r="J1037" s="7">
        <v>0.8348004781156778</v>
      </c>
      <c r="K1037" s="52">
        <v>30.72331875025955</v>
      </c>
      <c r="L1037" s="7">
        <v>-0.027169264262565527</v>
      </c>
      <c r="M1037" s="7">
        <v>0.1651995218843222</v>
      </c>
      <c r="N1037" s="51">
        <v>-0.13223013120136795</v>
      </c>
      <c r="O1037" s="7">
        <v>-0.14978844961434568</v>
      </c>
      <c r="P1037" s="52">
        <v>83.65937587229287</v>
      </c>
      <c r="Q1037" s="13">
        <v>2.173390721047096</v>
      </c>
      <c r="R1037" s="13">
        <v>2.546277661994249</v>
      </c>
      <c r="S1037" s="7">
        <v>-0.11954700323814922</v>
      </c>
      <c r="T1037" s="52">
        <v>213.01999999999998</v>
      </c>
      <c r="U1037" s="52">
        <v>185.977044</v>
      </c>
      <c r="V1037" s="52">
        <v>-55.582955999999996</v>
      </c>
    </row>
    <row r="1038">
      <c r="A1038" s="54">
        <v>44618.0</v>
      </c>
      <c r="B1038" s="47">
        <v>5.880488590712279</v>
      </c>
      <c r="C1038" s="7">
        <v>-0.03092453566476472</v>
      </c>
      <c r="D1038" s="48">
        <v>0.05954749382203217</v>
      </c>
      <c r="E1038" s="91">
        <v>90.11</v>
      </c>
      <c r="F1038" s="7">
        <v>-0.031437002399046454</v>
      </c>
      <c r="G1038" s="48">
        <v>0.0771058122350099</v>
      </c>
      <c r="H1038" s="52">
        <v>189.48100664920366</v>
      </c>
      <c r="I1038" s="7">
        <v>-0.022894091867488066</v>
      </c>
      <c r="J1038" s="7">
        <v>0.8395080683272083</v>
      </c>
      <c r="K1038" s="52">
        <v>36.22380048476563</v>
      </c>
      <c r="L1038" s="7">
        <v>-0.004376750106796356</v>
      </c>
      <c r="M1038" s="7">
        <v>0.16049193167279172</v>
      </c>
      <c r="N1038" s="51">
        <v>5.124667342817357E-4</v>
      </c>
      <c r="O1038" s="7">
        <v>-0.017558318412977725</v>
      </c>
      <c r="P1038" s="52">
        <v>83.65937587229287</v>
      </c>
      <c r="Q1038" s="13">
        <v>2.504769805060141</v>
      </c>
      <c r="R1038" s="13">
        <v>2.546277661994249</v>
      </c>
      <c r="S1038" s="7">
        <v>0.014696556724652272</v>
      </c>
      <c r="T1038" s="52">
        <v>213.01999999999998</v>
      </c>
      <c r="U1038" s="52">
        <v>225.7048071339693</v>
      </c>
      <c r="V1038" s="52">
        <v>-15.855192866030706</v>
      </c>
    </row>
    <row r="1039">
      <c r="A1039" s="54">
        <v>44617.0</v>
      </c>
      <c r="B1039" s="47">
        <v>6.0521197636517226</v>
      </c>
      <c r="C1039" s="7">
        <v>0.043388416959308396</v>
      </c>
      <c r="D1039" s="48">
        <v>0.09047202948679689</v>
      </c>
      <c r="E1039" s="91">
        <v>92.74</v>
      </c>
      <c r="F1039" s="7">
        <v>0.04410742922147581</v>
      </c>
      <c r="G1039" s="48">
        <v>0.10854281463405635</v>
      </c>
      <c r="H1039" s="52">
        <v>195.6447842822767</v>
      </c>
      <c r="I1039" s="7">
        <v>0.032225712492906525</v>
      </c>
      <c r="J1039" s="7">
        <v>0.8422351525246368</v>
      </c>
      <c r="K1039" s="52">
        <v>36.64756743900077</v>
      </c>
      <c r="L1039" s="7">
        <v>0.006036419402572474</v>
      </c>
      <c r="M1039" s="7">
        <v>0.1577648474753632</v>
      </c>
      <c r="N1039" s="51">
        <v>-7.190122621674178E-4</v>
      </c>
      <c r="O1039" s="7">
        <v>-0.01807078514725946</v>
      </c>
      <c r="P1039" s="52">
        <v>83.65937587229287</v>
      </c>
      <c r="Q1039" s="13">
        <v>2.5047698050601412</v>
      </c>
      <c r="R1039" s="13">
        <v>2.546277661994249</v>
      </c>
      <c r="S1039" s="7">
        <v>0.01469655672465245</v>
      </c>
      <c r="T1039" s="52">
        <v>213.01999999999998</v>
      </c>
      <c r="U1039" s="52">
        <v>232.29235172127747</v>
      </c>
      <c r="V1039" s="52">
        <v>-9.267648278722532</v>
      </c>
    </row>
    <row r="1040">
      <c r="A1040" s="54">
        <v>44616.0</v>
      </c>
      <c r="B1040" s="47">
        <v>5.811314049527561</v>
      </c>
      <c r="C1040" s="7">
        <v>0.04444667103148703</v>
      </c>
      <c r="D1040" s="48">
        <v>0.047083612527488494</v>
      </c>
      <c r="E1040" s="91">
        <v>89.05</v>
      </c>
      <c r="F1040" s="7">
        <v>0.04518322017809728</v>
      </c>
      <c r="G1040" s="48">
        <v>0.06443538541258054</v>
      </c>
      <c r="H1040" s="52">
        <v>187.00690527275063</v>
      </c>
      <c r="I1040" s="7">
        <v>0.03286173569770465</v>
      </c>
      <c r="J1040" s="7">
        <v>0.8384089393350889</v>
      </c>
      <c r="K1040" s="52">
        <v>36.042845867854936</v>
      </c>
      <c r="L1040" s="7">
        <v>0.006333618926932438</v>
      </c>
      <c r="M1040" s="7">
        <v>0.1615910606649112</v>
      </c>
      <c r="N1040" s="51">
        <v>-7.365491466102547E-4</v>
      </c>
      <c r="O1040" s="7">
        <v>-0.017351772885092043</v>
      </c>
      <c r="P1040" s="52">
        <v>83.65937587229287</v>
      </c>
      <c r="Q1040" s="13">
        <v>2.5047698050601412</v>
      </c>
      <c r="R1040" s="13">
        <v>2.546277661994249</v>
      </c>
      <c r="S1040" s="7">
        <v>0.01469655672465245</v>
      </c>
      <c r="T1040" s="52">
        <v>213.01999999999998</v>
      </c>
      <c r="U1040" s="52">
        <v>223.04975114060557</v>
      </c>
      <c r="V1040" s="52">
        <v>-18.510248859394437</v>
      </c>
    </row>
    <row r="1041">
      <c r="A1041" s="54">
        <v>44615.0</v>
      </c>
      <c r="B1041" s="47">
        <v>5.564635025302808</v>
      </c>
      <c r="C1041" s="7">
        <v>-0.015285892153686031</v>
      </c>
      <c r="D1041" s="48">
        <v>0.002636941496001466</v>
      </c>
      <c r="E1041" s="91">
        <v>85.27</v>
      </c>
      <c r="F1041" s="7">
        <v>-0.015539202706752908</v>
      </c>
      <c r="G1041" s="48">
        <v>0.019252165234483254</v>
      </c>
      <c r="H1041" s="52">
        <v>178.23168326693198</v>
      </c>
      <c r="I1041" s="7">
        <v>-0.011248820251290155</v>
      </c>
      <c r="J1041" s="7">
        <v>0.8344894038726252</v>
      </c>
      <c r="K1041" s="52">
        <v>35.35003801054623</v>
      </c>
      <c r="L1041" s="7">
        <v>-0.0022310636143258937</v>
      </c>
      <c r="M1041" s="7">
        <v>0.1655105961273748</v>
      </c>
      <c r="N1041" s="51">
        <v>2.5331055306687666E-4</v>
      </c>
      <c r="O1041" s="7">
        <v>-0.016615223738481788</v>
      </c>
      <c r="P1041" s="52">
        <v>83.65937587229287</v>
      </c>
      <c r="Q1041" s="13">
        <v>2.504769805060141</v>
      </c>
      <c r="R1041" s="13">
        <v>2.546277661994249</v>
      </c>
      <c r="S1041" s="7">
        <v>0.014696556724652272</v>
      </c>
      <c r="T1041" s="52">
        <v>213.01999999999998</v>
      </c>
      <c r="U1041" s="52">
        <v>213.5817212774782</v>
      </c>
      <c r="V1041" s="52">
        <v>-27.978278722521793</v>
      </c>
    </row>
    <row r="1042">
      <c r="A1042" s="54">
        <v>44614.0</v>
      </c>
      <c r="B1042" s="47">
        <v>5.649471726755765</v>
      </c>
      <c r="C1042" s="7">
        <v>0.039922048187393755</v>
      </c>
      <c r="D1042" s="48">
        <v>0.017922833649687497</v>
      </c>
      <c r="E1042" s="91">
        <v>86.57</v>
      </c>
      <c r="F1042" s="7">
        <v>0.08717198448489372</v>
      </c>
      <c r="G1042" s="48">
        <v>0.03479136794123616</v>
      </c>
      <c r="H1042" s="52">
        <v>181.24124328748817</v>
      </c>
      <c r="I1042" s="7">
        <v>0.02972752235015562</v>
      </c>
      <c r="J1042" s="7">
        <v>0.8358373922591867</v>
      </c>
      <c r="K1042" s="52">
        <v>35.59667873656821</v>
      </c>
      <c r="L1042" s="7">
        <v>0.005838632772200215</v>
      </c>
      <c r="M1042" s="7">
        <v>0.1641626077408132</v>
      </c>
      <c r="N1042" s="51">
        <v>-0.04724993629749996</v>
      </c>
      <c r="O1042" s="7">
        <v>-0.016868534291548665</v>
      </c>
      <c r="P1042" s="52">
        <v>83.65937587229287</v>
      </c>
      <c r="Q1042" s="13">
        <v>2.5047698050601412</v>
      </c>
      <c r="R1042" s="13">
        <v>2.546277661994249</v>
      </c>
      <c r="S1042" s="7">
        <v>0.01469655672465245</v>
      </c>
      <c r="T1042" s="52">
        <v>213.01999999999998</v>
      </c>
      <c r="U1042" s="52">
        <v>216.8379220240564</v>
      </c>
      <c r="V1042" s="52">
        <v>-24.72207797594359</v>
      </c>
    </row>
    <row r="1043">
      <c r="A1043" s="54">
        <v>44613.0</v>
      </c>
      <c r="B1043" s="47">
        <v>5.42790435931573</v>
      </c>
      <c r="C1043" s="7">
        <v>-0.08958875784077869</v>
      </c>
      <c r="D1043" s="48">
        <v>-0.021999214537706258</v>
      </c>
      <c r="E1043" s="91">
        <v>83.14</v>
      </c>
      <c r="F1043" s="7">
        <v>-0.06039251742625318</v>
      </c>
      <c r="G1043" s="48">
        <v>-0.052380616543657554</v>
      </c>
      <c r="H1043" s="52">
        <v>124.10619700341063</v>
      </c>
      <c r="I1043" s="7">
        <v>-0.06610608409250981</v>
      </c>
      <c r="J1043" s="7">
        <v>0.8322807767469511</v>
      </c>
      <c r="K1043" s="52">
        <v>25.009582756025296</v>
      </c>
      <c r="L1043" s="7">
        <v>-0.01332153930027327</v>
      </c>
      <c r="M1043" s="7">
        <v>0.16771922325304883</v>
      </c>
      <c r="N1043" s="51">
        <v>-0.02919624041452551</v>
      </c>
      <c r="O1043" s="7">
        <v>0.030381402005951297</v>
      </c>
      <c r="P1043" s="52">
        <v>87.73564729834415</v>
      </c>
      <c r="Q1043" s="13">
        <v>1.7935503940273745</v>
      </c>
      <c r="R1043" s="13">
        <v>1.7378341038680363</v>
      </c>
      <c r="S1043" s="7">
        <v>0.07073560915799812</v>
      </c>
      <c r="T1043" s="52">
        <v>152.47</v>
      </c>
      <c r="U1043" s="52">
        <v>149.11577975943592</v>
      </c>
      <c r="V1043" s="52">
        <v>-23.854220240564075</v>
      </c>
    </row>
    <row r="1044">
      <c r="A1044" s="54">
        <v>44612.0</v>
      </c>
      <c r="B1044" s="47">
        <v>5.9251219653320515</v>
      </c>
      <c r="C1044" s="7">
        <v>-0.009523651212285156</v>
      </c>
      <c r="D1044" s="48">
        <v>0.06758954330307243</v>
      </c>
      <c r="E1044" s="91">
        <v>90.8</v>
      </c>
      <c r="F1044" s="7">
        <v>-0.008992176648842554</v>
      </c>
      <c r="G1044" s="48">
        <v>0.008011900882595624</v>
      </c>
      <c r="H1044" s="52">
        <v>100.8871493251944</v>
      </c>
      <c r="I1044" s="7">
        <v>-0.007057041338239728</v>
      </c>
      <c r="J1044" s="7">
        <v>0.8402235390862294</v>
      </c>
      <c r="K1044" s="52">
        <v>19.18464661010215</v>
      </c>
      <c r="L1044" s="7">
        <v>-0.001341963224182424</v>
      </c>
      <c r="M1044" s="7">
        <v>0.1597764609137706</v>
      </c>
      <c r="N1044" s="51">
        <v>-5.314745634426021E-4</v>
      </c>
      <c r="O1044" s="7">
        <v>0.059577642420476806</v>
      </c>
      <c r="P1044" s="52">
        <v>90.07830157609973</v>
      </c>
      <c r="Q1044" s="13">
        <v>1.3223766072169225</v>
      </c>
      <c r="R1044" s="13">
        <v>1.2485803798707658</v>
      </c>
      <c r="S1044" s="7">
        <v>0.10873379431583155</v>
      </c>
      <c r="T1044" s="52">
        <v>112.47</v>
      </c>
      <c r="U1044" s="52">
        <v>120.07179593529656</v>
      </c>
      <c r="V1044" s="52">
        <v>-7.4582040647034376</v>
      </c>
    </row>
    <row r="1045">
      <c r="A1045" s="54">
        <v>44611.0</v>
      </c>
      <c r="B1045" s="47">
        <v>5.977978229560234</v>
      </c>
      <c r="C1045" s="7">
        <v>0.017636391133861284</v>
      </c>
      <c r="D1045" s="48">
        <v>0.07711319451535759</v>
      </c>
      <c r="E1045" s="91">
        <v>91.61</v>
      </c>
      <c r="F1045" s="7">
        <v>0.016652178979338128</v>
      </c>
      <c r="G1045" s="48">
        <v>0.017004077531438178</v>
      </c>
      <c r="H1045" s="52">
        <v>101.88888180166775</v>
      </c>
      <c r="I1045" s="7">
        <v>0.013081658640747718</v>
      </c>
      <c r="J1045" s="7">
        <v>0.8410634395424716</v>
      </c>
      <c r="K1045" s="52">
        <v>19.25403918547451</v>
      </c>
      <c r="L1045" s="7">
        <v>0.002472053511886073</v>
      </c>
      <c r="M1045" s="7">
        <v>0.1589365604575283</v>
      </c>
      <c r="N1045" s="51">
        <v>9.842121545231564E-4</v>
      </c>
      <c r="O1045" s="7">
        <v>0.06010911698391941</v>
      </c>
      <c r="P1045" s="52">
        <v>90.07830157609973</v>
      </c>
      <c r="Q1045" s="13">
        <v>1.3223766072169225</v>
      </c>
      <c r="R1045" s="13">
        <v>1.2485803798707658</v>
      </c>
      <c r="S1045" s="7">
        <v>0.10873379431583155</v>
      </c>
      <c r="T1045" s="52">
        <v>112.47</v>
      </c>
      <c r="U1045" s="52">
        <v>121.14292098714226</v>
      </c>
      <c r="V1045" s="52">
        <v>-6.38707901285774</v>
      </c>
    </row>
    <row r="1046">
      <c r="A1046" s="54">
        <v>44610.0</v>
      </c>
      <c r="B1046" s="47">
        <v>5.8800962587673045</v>
      </c>
      <c r="C1046" s="7">
        <v>-0.03868248455360246</v>
      </c>
      <c r="D1046" s="48">
        <v>0.0594768033814963</v>
      </c>
      <c r="E1046" s="91">
        <v>90.11</v>
      </c>
      <c r="F1046" s="7">
        <v>-0.03652377922801486</v>
      </c>
      <c r="G1046" s="48">
        <v>3.518985521000495E-4</v>
      </c>
      <c r="H1046" s="52">
        <v>100.03524084274277</v>
      </c>
      <c r="I1046" s="7">
        <v>-0.028639377279101357</v>
      </c>
      <c r="J1046" s="7">
        <v>0.8395080683272083</v>
      </c>
      <c r="K1046" s="52">
        <v>19.124115233574116</v>
      </c>
      <c r="L1046" s="7">
        <v>-0.005475098042342272</v>
      </c>
      <c r="M1046" s="7">
        <v>0.1604919316727918</v>
      </c>
      <c r="N1046" s="51">
        <v>-0.0021587053255875954</v>
      </c>
      <c r="O1046" s="7">
        <v>0.05912490482939625</v>
      </c>
      <c r="P1046" s="52">
        <v>90.07830157609973</v>
      </c>
      <c r="Q1046" s="13">
        <v>1.3223766072169225</v>
      </c>
      <c r="R1046" s="13">
        <v>1.2485803798707658</v>
      </c>
      <c r="S1046" s="7">
        <v>0.10873379431583155</v>
      </c>
      <c r="T1046" s="52">
        <v>112.47</v>
      </c>
      <c r="U1046" s="52">
        <v>119.15935607631688</v>
      </c>
      <c r="V1046" s="52">
        <v>-8.370643923683119</v>
      </c>
    </row>
    <row r="1047">
      <c r="A1047" s="54">
        <v>44609.0</v>
      </c>
      <c r="B1047" s="47">
        <v>6.094784048039798</v>
      </c>
      <c r="C1047" s="7">
        <v>-0.10064500540390209</v>
      </c>
      <c r="D1047" s="48">
        <v>0.09815928793509876</v>
      </c>
      <c r="E1047" s="91">
        <v>93.4</v>
      </c>
      <c r="F1047" s="7">
        <v>-0.09502843470875555</v>
      </c>
      <c r="G1047" s="48">
        <v>0.03687567778011491</v>
      </c>
      <c r="H1047" s="52">
        <v>104.10896842694463</v>
      </c>
      <c r="I1047" s="7">
        <v>-0.07481741036661177</v>
      </c>
      <c r="J1047" s="7">
        <v>0.8429195158593527</v>
      </c>
      <c r="K1047" s="52">
        <v>19.401006687115938</v>
      </c>
      <c r="L1047" s="7">
        <v>-0.013942440317751324</v>
      </c>
      <c r="M1047" s="7">
        <v>0.15708048414064735</v>
      </c>
      <c r="N1047" s="51">
        <v>-0.005616570695146539</v>
      </c>
      <c r="O1047" s="7">
        <v>0.06128361015498385</v>
      </c>
      <c r="P1047" s="52">
        <v>90.07830157609973</v>
      </c>
      <c r="Q1047" s="13">
        <v>1.3223766072169225</v>
      </c>
      <c r="R1047" s="13">
        <v>1.2485803798707658</v>
      </c>
      <c r="S1047" s="7">
        <v>0.10873379431583155</v>
      </c>
      <c r="T1047" s="52">
        <v>112.47</v>
      </c>
      <c r="U1047" s="52">
        <v>123.50997511406057</v>
      </c>
      <c r="V1047" s="52">
        <v>-4.020024885939435</v>
      </c>
    </row>
    <row r="1048">
      <c r="A1048" s="54">
        <v>44608.0</v>
      </c>
      <c r="B1048" s="47">
        <v>6.653363828031455</v>
      </c>
      <c r="C1048" s="7">
        <v>-0.033979446917906</v>
      </c>
      <c r="D1048" s="48">
        <v>0.19880429333900085</v>
      </c>
      <c r="E1048" s="91">
        <v>101.96</v>
      </c>
      <c r="F1048" s="7">
        <v>-0.032083198166857896</v>
      </c>
      <c r="G1048" s="48">
        <v>0.13190411248887046</v>
      </c>
      <c r="H1048" s="52">
        <v>114.84717756728953</v>
      </c>
      <c r="I1048" s="7">
        <v>-0.025525601386160304</v>
      </c>
      <c r="J1048" s="7">
        <v>0.851795500927789</v>
      </c>
      <c r="K1048" s="52">
        <v>19.982341304547887</v>
      </c>
      <c r="L1048" s="7">
        <v>-0.004441217361247284</v>
      </c>
      <c r="M1048" s="7">
        <v>0.14820449907221103</v>
      </c>
      <c r="N1048" s="51">
        <v>-0.0018962487510481019</v>
      </c>
      <c r="O1048" s="7">
        <v>0.06690018085013039</v>
      </c>
      <c r="P1048" s="52">
        <v>90.07830157609973</v>
      </c>
      <c r="Q1048" s="13">
        <v>1.3223766072169225</v>
      </c>
      <c r="R1048" s="13">
        <v>1.2485803798707658</v>
      </c>
      <c r="S1048" s="7">
        <v>0.10873379431583155</v>
      </c>
      <c r="T1048" s="52">
        <v>112.47</v>
      </c>
      <c r="U1048" s="52">
        <v>134.82951887183742</v>
      </c>
      <c r="V1048" s="52">
        <v>7.299518871837421</v>
      </c>
    </row>
    <row r="1049">
      <c r="A1049" s="54">
        <v>44607.0</v>
      </c>
      <c r="B1049" s="47">
        <v>6.841949758425833</v>
      </c>
      <c r="C1049" s="7">
        <v>0.23278374025690685</v>
      </c>
      <c r="D1049" s="48">
        <v>0.23278374025690685</v>
      </c>
      <c r="E1049" s="91">
        <v>104.85</v>
      </c>
      <c r="F1049" s="7">
        <v>0.16398731065572836</v>
      </c>
      <c r="G1049" s="48">
        <v>0.16398731065572836</v>
      </c>
      <c r="H1049" s="52">
        <v>118.51795101185995</v>
      </c>
      <c r="I1049" s="7">
        <v>0.07454170735555023</v>
      </c>
      <c r="J1049" s="7">
        <v>0.8547921828025298</v>
      </c>
      <c r="K1049" s="52">
        <v>20.133236254834358</v>
      </c>
      <c r="L1049" s="7">
        <v>0.01266277211354959</v>
      </c>
      <c r="M1049" s="7">
        <v>0.14520781719747022</v>
      </c>
      <c r="N1049" s="51">
        <v>0.06879642960117849</v>
      </c>
      <c r="O1049" s="7">
        <v>0.06879642960117849</v>
      </c>
      <c r="P1049" s="52">
        <v>90.07830157609973</v>
      </c>
      <c r="Q1049" s="13">
        <v>1.3223766072169225</v>
      </c>
      <c r="R1049" s="13">
        <v>1.2485803798707658</v>
      </c>
      <c r="S1049" s="7">
        <v>0.10873379431583155</v>
      </c>
      <c r="T1049" s="52">
        <v>112.47</v>
      </c>
      <c r="U1049" s="52">
        <v>138.6511872666943</v>
      </c>
      <c r="V1049" s="52">
        <v>11.121187266694307</v>
      </c>
    </row>
    <row r="1050">
      <c r="A1050" s="92">
        <v>44606.0</v>
      </c>
      <c r="B1050" s="93">
        <v>5.55</v>
      </c>
      <c r="C1050" s="94">
        <v>0.0</v>
      </c>
      <c r="D1050" s="94">
        <v>0.0</v>
      </c>
      <c r="E1050" s="95">
        <v>96.44</v>
      </c>
      <c r="F1050" s="94">
        <v>0.0</v>
      </c>
      <c r="G1050" s="96">
        <v>0.0</v>
      </c>
      <c r="H1050" s="97">
        <v>0.0</v>
      </c>
      <c r="I1050" s="98">
        <v>0.0</v>
      </c>
      <c r="J1050" s="94">
        <v>0.0</v>
      </c>
      <c r="K1050" s="97">
        <v>0.0</v>
      </c>
      <c r="L1050" s="98">
        <v>0.0</v>
      </c>
      <c r="M1050" s="94">
        <v>0.0</v>
      </c>
      <c r="N1050" s="99">
        <v>0.0</v>
      </c>
      <c r="O1050" s="100">
        <v>0.0</v>
      </c>
      <c r="P1050" s="101">
        <v>0.0</v>
      </c>
      <c r="Q1050" s="101">
        <v>0.0</v>
      </c>
      <c r="R1050" s="30">
        <v>0.0</v>
      </c>
      <c r="S1050" s="94">
        <v>0.0</v>
      </c>
      <c r="T1050" s="102">
        <v>0.0</v>
      </c>
      <c r="U1050" s="102">
        <v>0.0</v>
      </c>
      <c r="V1050" s="102">
        <v>0.0</v>
      </c>
    </row>
  </sheetData>
  <conditionalFormatting sqref="U1:U773 V1:V1050 U775:U1050 T1050">
    <cfRule type="expression" dxfId="3" priority="1">
      <formula>U1=MAXIFS(U:U,$R:$R,INDEX($R:$R,2))</formula>
    </cfRule>
  </conditionalFormatting>
  <conditionalFormatting sqref="U1:U773 V1:V1050 U775:U1050 T1050">
    <cfRule type="expression" dxfId="4" priority="2">
      <formula>U1=MINIFS(U:U,$R:$R,INDEX($R:$R,2))</formula>
    </cfRule>
  </conditionalFormatting>
  <conditionalFormatting sqref="Q2:R1050 P1050">
    <cfRule type="expression" dxfId="1" priority="3">
      <formula>$Q2&gt;=$R2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4.63"/>
    <col customWidth="1" min="2" max="2" width="11.25"/>
    <col customWidth="1" min="3" max="3" width="12.13"/>
    <col customWidth="1" min="4" max="6" width="11.25"/>
    <col customWidth="1" min="7" max="7" width="12.13"/>
  </cols>
  <sheetData>
    <row r="1">
      <c r="A1" s="103" t="s">
        <v>11</v>
      </c>
      <c r="B1" s="104" t="s">
        <v>52</v>
      </c>
      <c r="C1" s="104" t="s">
        <v>53</v>
      </c>
      <c r="D1" s="105" t="s">
        <v>54</v>
      </c>
      <c r="E1" s="106" t="s">
        <v>55</v>
      </c>
      <c r="F1" s="106" t="s">
        <v>56</v>
      </c>
      <c r="G1" s="106" t="s">
        <v>57</v>
      </c>
    </row>
    <row r="2">
      <c r="A2" s="107"/>
      <c r="B2" s="108">
        <f>$G$2/$C$2</f>
        <v>1.600948403</v>
      </c>
      <c r="C2" s="104">
        <f>Dashboard!$C$13</f>
        <v>989097.2176</v>
      </c>
      <c r="D2" s="109">
        <f t="shared" ref="D2:G2" si="1">SUM(OFFSET(D:D,ROW(),0,ROWS(D:D)))</f>
        <v>4335.36923</v>
      </c>
      <c r="E2" s="110">
        <f t="shared" si="1"/>
        <v>30347.58461</v>
      </c>
      <c r="F2" s="110">
        <f t="shared" si="1"/>
        <v>131957.8009</v>
      </c>
      <c r="G2" s="110">
        <f t="shared" si="1"/>
        <v>1583493.611</v>
      </c>
    </row>
    <row r="3">
      <c r="A3" s="111" t="str">
        <f>OFFSET(Dashboard!$A:$A,8,0,ROWS(Dashboard!A:A)-12)</f>
        <v>FiMs SOL (FSOL)</v>
      </c>
      <c r="B3" s="56">
        <f>IFERROR(__xludf.DUMMYFUNCTION("MAXIFS(Token!F:F,Token!A:A,INDEX(SPLIT($A3,""()""),2))"),2.040079939483467)</f>
        <v>2.040079939</v>
      </c>
      <c r="C3" s="52">
        <f>MAXIFS(Dashboard!$C:$C,Dashboard!$A:$A,$A3)</f>
        <v>14209.11621</v>
      </c>
      <c r="D3" s="112">
        <f t="shared" ref="D3:D6" si="2">$G3/365.25</f>
        <v>79.36408745</v>
      </c>
      <c r="E3" s="113">
        <f t="shared" ref="E3:E6" si="3">$G3/365.25*7</f>
        <v>555.5486121</v>
      </c>
      <c r="F3" s="113">
        <f t="shared" ref="F3:F6" si="4">$G3/12</f>
        <v>2415.644412</v>
      </c>
      <c r="G3" s="113">
        <f t="shared" ref="G3:G6" si="5">INDEX($B:$B,ROW())*INDEX($C:$C,ROW())</f>
        <v>28987.73294</v>
      </c>
    </row>
    <row r="4">
      <c r="A4" s="111" t="s">
        <v>58</v>
      </c>
      <c r="B4" s="56">
        <f>IFERROR(__xludf.DUMMYFUNCTION("MAXIFS(Token!F:F,Token!A:A,INDEX(SPLIT($A4,""()""),2))"),0.05250000000000004)</f>
        <v>0.0525</v>
      </c>
      <c r="C4" s="52">
        <f>MAXIFS(Dashboard!$C:$C,Dashboard!$A:$A,$A4)</f>
        <v>1298.430138</v>
      </c>
      <c r="D4" s="112">
        <f t="shared" si="2"/>
        <v>0.1866326687</v>
      </c>
      <c r="E4" s="113">
        <f t="shared" si="3"/>
        <v>1.306428681</v>
      </c>
      <c r="F4" s="113">
        <f t="shared" si="4"/>
        <v>5.680631853</v>
      </c>
      <c r="G4" s="113">
        <f t="shared" si="5"/>
        <v>68.16758224</v>
      </c>
    </row>
    <row r="5">
      <c r="A5" s="114" t="s">
        <v>59</v>
      </c>
      <c r="B5" s="56">
        <f>IFERROR(__xludf.DUMMYFUNCTION("MAXIFS(Token!F:F,Token!A:A,INDEX(SPLIT($A5,""()""),2))"),1.7862607235126873)</f>
        <v>1.786260724</v>
      </c>
      <c r="C5" s="52">
        <f>MAXIFS(Dashboard!$C:$C,Dashboard!$A:$A,$A5)</f>
        <v>849214.7001</v>
      </c>
      <c r="D5" s="112">
        <f t="shared" si="2"/>
        <v>4153.097507</v>
      </c>
      <c r="E5" s="113">
        <f t="shared" si="3"/>
        <v>29071.68255</v>
      </c>
      <c r="F5" s="113">
        <f t="shared" si="4"/>
        <v>126409.9054</v>
      </c>
      <c r="G5" s="113">
        <f t="shared" si="5"/>
        <v>1516918.865</v>
      </c>
    </row>
    <row r="6">
      <c r="A6" s="114" t="s">
        <v>60</v>
      </c>
      <c r="B6" s="56">
        <f>IFERROR(__xludf.DUMMYFUNCTION("MAXIFS(Token!F:F,Token!A:A,INDEX(SPLIT($A6,""()""),2))"),0.3016591353909042)</f>
        <v>0.3016591354</v>
      </c>
      <c r="C6" s="52">
        <f>MAXIFS(Dashboard!$C:$C,Dashboard!$A:$A,$A6)</f>
        <v>124374.9712</v>
      </c>
      <c r="D6" s="112">
        <f t="shared" si="2"/>
        <v>102.7210028</v>
      </c>
      <c r="E6" s="113">
        <f t="shared" si="3"/>
        <v>719.0470198</v>
      </c>
      <c r="F6" s="113">
        <f t="shared" si="4"/>
        <v>3126.570523</v>
      </c>
      <c r="G6" s="113">
        <f t="shared" si="5"/>
        <v>37518.84628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9" width="13.13"/>
  </cols>
  <sheetData>
    <row r="1">
      <c r="A1" s="2" t="s">
        <v>35</v>
      </c>
      <c r="B1" s="115" t="s">
        <v>61</v>
      </c>
      <c r="C1" s="116" t="s">
        <v>62</v>
      </c>
      <c r="D1" s="3" t="s">
        <v>63</v>
      </c>
      <c r="E1" s="3" t="s">
        <v>64</v>
      </c>
      <c r="F1" s="117" t="s">
        <v>63</v>
      </c>
      <c r="G1" s="118" t="s">
        <v>65</v>
      </c>
      <c r="H1" s="119" t="s">
        <v>66</v>
      </c>
      <c r="I1" s="118" t="s">
        <v>13</v>
      </c>
    </row>
    <row r="2">
      <c r="A2" s="3" t="s">
        <v>11</v>
      </c>
      <c r="B2" s="120">
        <f>SUM(OFFSET(B:B,2,0))</f>
        <v>364908.249</v>
      </c>
      <c r="C2" s="121">
        <f>$D$2/$F$2</f>
        <v>67.3621343</v>
      </c>
      <c r="D2" s="121">
        <f>SUM(OFFSET(D:D,2,0))</f>
        <v>362960.6362</v>
      </c>
      <c r="E2" s="121"/>
      <c r="F2" s="122">
        <f t="shared" ref="F2:G2" si="1">SUM(OFFSET(F:F,2,0))</f>
        <v>5388.199765</v>
      </c>
      <c r="G2" s="118">
        <f t="shared" si="1"/>
        <v>2003.214605</v>
      </c>
      <c r="H2" s="123">
        <f>G2/B2</f>
        <v>0.005489639138</v>
      </c>
      <c r="I2" s="118">
        <f>SUM(OFFSET(I:I,2,0))</f>
        <v>591059.0402</v>
      </c>
    </row>
    <row r="3">
      <c r="A3" s="54">
        <v>45611.0</v>
      </c>
      <c r="B3" s="124">
        <f>0.33*C3</f>
        <v>66.7693868</v>
      </c>
      <c r="C3" s="125">
        <f t="array" ref="C3">INDEX(Price!$A:$R,MATCH($A3,Price!$A:$A,-1),MATCH("*(SOL)*",Price!$A$1:$R$1,0))</f>
        <v>202.3314752</v>
      </c>
      <c r="D3" s="125">
        <f t="array" ref="D3">$B3-INDEX(Price!$A:$R,MATCH($A3,Price!$A:$A,-1),MATCH("*(NEXO)*",Price!$A$1:$R$1,0))*0.04143397</f>
        <v>66.72215208</v>
      </c>
      <c r="E3" s="125" t="b">
        <v>0</v>
      </c>
      <c r="F3" s="126">
        <f t="shared" ref="F3:F78" si="2">D3/C3</f>
        <v>0.3297665478</v>
      </c>
      <c r="G3" s="127">
        <f t="shared" ref="G3:G78" si="3">ABS(B3-D3)</f>
        <v>0.0472347258</v>
      </c>
      <c r="H3" s="128">
        <f t="shared" ref="H3:H78" si="4">ABS(G3/B3)</f>
        <v>0.0007074308761</v>
      </c>
      <c r="I3" s="129">
        <f>$F3*HLOOKUP("*(SOL)*",Price!$A:$CK,2,0)-$D3</f>
        <v>-8.334603553</v>
      </c>
    </row>
    <row r="4">
      <c r="A4" s="54">
        <v>45611.0</v>
      </c>
      <c r="B4" s="124">
        <f>335.46*C4</f>
        <v>67874.11666</v>
      </c>
      <c r="C4" s="125">
        <f t="array" ref="C4">INDEX(Price!$A:$R,MATCH($A4,Price!$A:$A,-1),MATCH("*(SOL)*",Price!$A$1:$R$1,0))</f>
        <v>202.3314752</v>
      </c>
      <c r="D4" s="125">
        <f t="array" ref="D4">$B4-INDEX(Price!$A:$R,MATCH($A4,Price!$A:$A,-1),MATCH("*(NEXO)*",Price!$A$1:$R$1,0))*1.80235194</f>
        <v>67872.06198</v>
      </c>
      <c r="E4" s="125" t="b">
        <v>0</v>
      </c>
      <c r="F4" s="126">
        <f t="shared" si="2"/>
        <v>335.449845</v>
      </c>
      <c r="G4" s="127">
        <f t="shared" si="3"/>
        <v>2.054681212</v>
      </c>
      <c r="H4" s="128">
        <f t="shared" si="4"/>
        <v>0.00003027194036</v>
      </c>
      <c r="I4" s="129">
        <f>$F4*HLOOKUP("*(SOL)*",Price!$A:$CK,2,0)-$D4</f>
        <v>-8478.24465</v>
      </c>
    </row>
    <row r="5">
      <c r="A5" s="54">
        <v>45610.0</v>
      </c>
      <c r="B5" s="124">
        <f>888*Price!F46</f>
        <v>985.68</v>
      </c>
      <c r="C5" s="125">
        <f t="array" ref="C5">INDEX(Price!$A:$R,MATCH($A5,Price!$A:$A,-1),MATCH("*(SOL)*",Price!$A$1:$R$1,0))</f>
        <v>201.5388706</v>
      </c>
      <c r="D5" s="125">
        <f t="array" ref="D5">$B5-INDEX(Price!$A:$R,MATCH($A5,Price!$A:$A,-1),MATCH("*(NEXO)*",Price!$A$1:$R$1,0))*0.88872758</f>
        <v>984.6935124</v>
      </c>
      <c r="E5" s="125" t="b">
        <v>0</v>
      </c>
      <c r="F5" s="126">
        <f t="shared" si="2"/>
        <v>4.885873922</v>
      </c>
      <c r="G5" s="127">
        <f t="shared" si="3"/>
        <v>0.9864876138</v>
      </c>
      <c r="H5" s="128">
        <f t="shared" si="4"/>
        <v>0.001000819347</v>
      </c>
      <c r="I5" s="129">
        <f>$F5*HLOOKUP("*(SOL)*",Price!$A:$CK,2,0)-$D5</f>
        <v>-119.6142537</v>
      </c>
    </row>
    <row r="6">
      <c r="A6" s="54">
        <v>45548.0</v>
      </c>
      <c r="B6" s="124">
        <v>4925.1440359914</v>
      </c>
      <c r="C6" s="125">
        <v>125.35</v>
      </c>
      <c r="D6" s="125">
        <v>4920.207792792792</v>
      </c>
      <c r="E6" s="125" t="b">
        <v>1</v>
      </c>
      <c r="F6" s="126">
        <f t="shared" si="2"/>
        <v>39.25175742</v>
      </c>
      <c r="G6" s="127">
        <f t="shared" si="3"/>
        <v>4.936243199</v>
      </c>
      <c r="H6" s="128">
        <f t="shared" si="4"/>
        <v>0.001002253571</v>
      </c>
      <c r="I6" s="129">
        <f>$F6*HLOOKUP("*(SOL)*",Price!$A:$CK,2,0)-$D6</f>
        <v>2029.599294</v>
      </c>
    </row>
    <row r="7">
      <c r="A7" s="54">
        <v>45420.0</v>
      </c>
      <c r="B7" s="124">
        <v>2293.59</v>
      </c>
      <c r="C7" s="6">
        <v>138.27317789950433</v>
      </c>
      <c r="D7" s="6">
        <v>2291.293324830428</v>
      </c>
      <c r="E7" s="125" t="b">
        <v>1</v>
      </c>
      <c r="F7" s="126">
        <f t="shared" si="2"/>
        <v>16.57077215</v>
      </c>
      <c r="G7" s="127">
        <f t="shared" si="3"/>
        <v>2.29667517</v>
      </c>
      <c r="H7" s="128">
        <f t="shared" si="4"/>
        <v>0.001001345127</v>
      </c>
      <c r="I7" s="129">
        <f>$F7*HLOOKUP("*(SOL)*",Price!$A:$CK,2,0)-$D7</f>
        <v>642.6815406</v>
      </c>
    </row>
    <row r="8">
      <c r="A8" s="54">
        <v>45389.0</v>
      </c>
      <c r="B8" s="124">
        <v>2918.39394</v>
      </c>
      <c r="C8" s="6">
        <v>166.2819767710034</v>
      </c>
      <c r="D8" s="6">
        <v>2915.48011305</v>
      </c>
      <c r="E8" s="125" t="b">
        <v>1</v>
      </c>
      <c r="F8" s="126">
        <f t="shared" si="2"/>
        <v>17.53335009</v>
      </c>
      <c r="G8" s="127">
        <f t="shared" si="3"/>
        <v>2.91382695</v>
      </c>
      <c r="H8" s="128">
        <f t="shared" si="4"/>
        <v>0.0009984351016</v>
      </c>
      <c r="I8" s="129">
        <f>$F8*HLOOKUP("*(SOL)*",Price!$A:$CK,2,0)-$D8</f>
        <v>188.9261289</v>
      </c>
    </row>
    <row r="9">
      <c r="A9" s="54">
        <v>45365.0</v>
      </c>
      <c r="B9" s="124">
        <v>614.51308</v>
      </c>
      <c r="C9" s="6">
        <v>158.68097342287305</v>
      </c>
      <c r="D9" s="6">
        <v>613.8985669199999</v>
      </c>
      <c r="E9" s="125" t="b">
        <v>1</v>
      </c>
      <c r="F9" s="126">
        <f t="shared" si="2"/>
        <v>3.868759774</v>
      </c>
      <c r="G9" s="127">
        <f t="shared" si="3"/>
        <v>0.61451308</v>
      </c>
      <c r="H9" s="128">
        <f t="shared" si="4"/>
        <v>0.001</v>
      </c>
      <c r="I9" s="129">
        <f>$F9*HLOOKUP("*(SOL)*",Price!$A:$CK,2,0)-$D9</f>
        <v>71.09328731</v>
      </c>
    </row>
    <row r="10">
      <c r="A10" s="54">
        <v>45353.0</v>
      </c>
      <c r="B10" s="130">
        <v>964.0596</v>
      </c>
      <c r="C10" s="6">
        <v>118.45955170187254</v>
      </c>
      <c r="D10" s="6">
        <v>963.0955404</v>
      </c>
      <c r="E10" s="125" t="b">
        <v>1</v>
      </c>
      <c r="F10" s="126">
        <f t="shared" si="2"/>
        <v>8.130163643</v>
      </c>
      <c r="G10" s="127">
        <f t="shared" si="3"/>
        <v>0.9640596</v>
      </c>
      <c r="H10" s="128">
        <f t="shared" si="4"/>
        <v>0.001</v>
      </c>
      <c r="I10" s="129">
        <f>$F10*HLOOKUP("*(SOL)*",Price!$A:$CK,2,0)-$D10</f>
        <v>476.4086402</v>
      </c>
    </row>
    <row r="11">
      <c r="A11" s="54">
        <v>45342.0</v>
      </c>
      <c r="B11" s="130">
        <v>4968.851848574838</v>
      </c>
      <c r="C11" s="6">
        <v>100.66886847436928</v>
      </c>
      <c r="D11" s="6">
        <v>4963.882996726264</v>
      </c>
      <c r="E11" s="125" t="b">
        <v>1</v>
      </c>
      <c r="F11" s="126">
        <f t="shared" si="2"/>
        <v>49.30901749</v>
      </c>
      <c r="G11" s="127">
        <f t="shared" si="3"/>
        <v>4.968851849</v>
      </c>
      <c r="H11" s="128">
        <f t="shared" si="4"/>
        <v>0.001</v>
      </c>
      <c r="I11" s="129">
        <f>$F11*HLOOKUP("*(SOL)*",Price!$A:$CK,2,0)-$D11</f>
        <v>3766.63461</v>
      </c>
    </row>
    <row r="12">
      <c r="A12" s="54">
        <v>45324.0</v>
      </c>
      <c r="B12" s="130">
        <v>1443.00849</v>
      </c>
      <c r="C12" s="6">
        <v>92.87693576638277</v>
      </c>
      <c r="D12" s="6">
        <v>1441.56548151</v>
      </c>
      <c r="E12" s="125" t="b">
        <v>1</v>
      </c>
      <c r="F12" s="126">
        <f t="shared" si="2"/>
        <v>15.52124292</v>
      </c>
      <c r="G12" s="127">
        <f t="shared" si="3"/>
        <v>1.44300849</v>
      </c>
      <c r="H12" s="128">
        <f t="shared" si="4"/>
        <v>0.001</v>
      </c>
      <c r="I12" s="129">
        <f>$F12*HLOOKUP("*(SOL)*",Price!$A:$CK,2,0)-$D12</f>
        <v>1306.582656</v>
      </c>
    </row>
    <row r="13">
      <c r="A13" s="54">
        <v>45288.0</v>
      </c>
      <c r="B13" s="124">
        <v>10000.0</v>
      </c>
      <c r="C13" s="6">
        <v>98.0</v>
      </c>
      <c r="D13" s="6">
        <v>9996.0</v>
      </c>
      <c r="E13" s="125" t="b">
        <v>1</v>
      </c>
      <c r="F13" s="131">
        <f t="shared" si="2"/>
        <v>102</v>
      </c>
      <c r="G13" s="127">
        <f t="shared" si="3"/>
        <v>4</v>
      </c>
      <c r="H13" s="128">
        <f t="shared" si="4"/>
        <v>0.0004</v>
      </c>
      <c r="I13" s="129">
        <f>$F13*HLOOKUP("*(SOL)*",Price!$A:$CK,2,0)-$D13</f>
        <v>8063.836539</v>
      </c>
    </row>
    <row r="14">
      <c r="A14" s="54">
        <v>45252.0</v>
      </c>
      <c r="B14" s="130">
        <v>850.64</v>
      </c>
      <c r="C14" s="6">
        <v>57.8</v>
      </c>
      <c r="D14" s="6">
        <v>849.78936</v>
      </c>
      <c r="E14" s="125" t="b">
        <v>1</v>
      </c>
      <c r="F14" s="126">
        <f t="shared" si="2"/>
        <v>14.70223806</v>
      </c>
      <c r="G14" s="127">
        <f t="shared" si="3"/>
        <v>0.85064</v>
      </c>
      <c r="H14" s="128">
        <f t="shared" si="4"/>
        <v>0.001</v>
      </c>
      <c r="I14" s="129">
        <f>$F14*HLOOKUP("*(SOL)*",Price!$A:$CK,2,0)-$D14</f>
        <v>1753.348053</v>
      </c>
    </row>
    <row r="15">
      <c r="A15" s="54">
        <v>45241.0</v>
      </c>
      <c r="B15" s="130">
        <v>6904.961141713506</v>
      </c>
      <c r="C15" s="6">
        <v>58.39</v>
      </c>
      <c r="D15" s="6">
        <v>6898.0561805717925</v>
      </c>
      <c r="E15" s="125" t="b">
        <v>1</v>
      </c>
      <c r="F15" s="126">
        <f t="shared" si="2"/>
        <v>118.1376294</v>
      </c>
      <c r="G15" s="127">
        <f t="shared" si="3"/>
        <v>6.904961142</v>
      </c>
      <c r="H15" s="128">
        <f t="shared" si="4"/>
        <v>0.001</v>
      </c>
      <c r="I15" s="129">
        <f>$F15*HLOOKUP("*(SOL)*",Price!$A:$CK,2,0)-$D15</f>
        <v>14019.06417</v>
      </c>
    </row>
    <row r="16">
      <c r="A16" s="54">
        <v>45230.0</v>
      </c>
      <c r="B16" s="124">
        <v>-10000.0</v>
      </c>
      <c r="C16" s="6">
        <v>47.61904761904762</v>
      </c>
      <c r="D16" s="6">
        <v>-10000.0</v>
      </c>
      <c r="E16" s="125" t="b">
        <v>1</v>
      </c>
      <c r="F16" s="131">
        <f t="shared" si="2"/>
        <v>-210</v>
      </c>
      <c r="G16" s="127">
        <f t="shared" si="3"/>
        <v>0</v>
      </c>
      <c r="H16" s="128">
        <f t="shared" si="4"/>
        <v>0</v>
      </c>
      <c r="I16" s="129">
        <f>$F16*HLOOKUP("*(SOL)*",Price!$A:$CK,2,0)-$D16</f>
        <v>-27182.0164</v>
      </c>
    </row>
    <row r="17">
      <c r="A17" s="54">
        <v>45230.0</v>
      </c>
      <c r="B17" s="124">
        <v>-4234.470239524098</v>
      </c>
      <c r="C17" s="6">
        <v>34.734620210673626</v>
      </c>
      <c r="D17" s="6">
        <v>-4238.157973553373</v>
      </c>
      <c r="E17" s="125" t="b">
        <v>1</v>
      </c>
      <c r="F17" s="126">
        <f t="shared" si="2"/>
        <v>-122.0153826</v>
      </c>
      <c r="G17" s="127">
        <f t="shared" si="3"/>
        <v>3.687734029</v>
      </c>
      <c r="H17" s="128">
        <f t="shared" si="4"/>
        <v>0.0008708843895</v>
      </c>
      <c r="I17" s="129">
        <f>$F17*HLOOKUP("*(SOL)*",Price!$A:$CK,2,0)-$D17</f>
        <v>-17365.54658</v>
      </c>
    </row>
    <row r="18">
      <c r="A18" s="54">
        <v>45230.0</v>
      </c>
      <c r="B18" s="124">
        <v>-1778.8253498513407</v>
      </c>
      <c r="C18" s="6">
        <v>33.17069480691403</v>
      </c>
      <c r="D18" s="6">
        <v>-1780.6692168659781</v>
      </c>
      <c r="E18" s="125" t="b">
        <v>1</v>
      </c>
      <c r="F18" s="126">
        <f t="shared" si="2"/>
        <v>-53.68199934</v>
      </c>
      <c r="G18" s="127">
        <f t="shared" si="3"/>
        <v>1.843867015</v>
      </c>
      <c r="H18" s="128">
        <f t="shared" si="4"/>
        <v>0.001036564391</v>
      </c>
      <c r="I18" s="129">
        <f>$F18*HLOOKUP("*(SOL)*",Price!$A:$CK,2,0)-$D18</f>
        <v>-7724.116403</v>
      </c>
    </row>
    <row r="19">
      <c r="A19" s="54">
        <v>45229.0</v>
      </c>
      <c r="B19" s="130">
        <v>-7230.974</v>
      </c>
      <c r="C19" s="6">
        <v>34.96</v>
      </c>
      <c r="D19" s="6">
        <v>-7223.743026</v>
      </c>
      <c r="E19" s="125" t="b">
        <v>1</v>
      </c>
      <c r="F19" s="126">
        <f t="shared" si="2"/>
        <v>-206.6288051</v>
      </c>
      <c r="G19" s="127">
        <f t="shared" si="3"/>
        <v>7.230974</v>
      </c>
      <c r="H19" s="128">
        <f t="shared" si="4"/>
        <v>0.001</v>
      </c>
      <c r="I19" s="129">
        <f>$F19*HLOOKUP("*(SOL)*",Price!$A:$CK,2,0)-$D19</f>
        <v>-29361.37898</v>
      </c>
    </row>
    <row r="20">
      <c r="A20" s="54">
        <v>45224.0</v>
      </c>
      <c r="B20" s="124">
        <v>-2040.1134806724644</v>
      </c>
      <c r="C20" s="6">
        <v>31.50783438044054</v>
      </c>
      <c r="D20" s="6">
        <v>-2041.958534037085</v>
      </c>
      <c r="E20" s="125" t="b">
        <v>1</v>
      </c>
      <c r="F20" s="126">
        <f t="shared" si="2"/>
        <v>-64.80796203</v>
      </c>
      <c r="G20" s="127">
        <f t="shared" si="3"/>
        <v>1.845053365</v>
      </c>
      <c r="H20" s="128">
        <f t="shared" si="4"/>
        <v>0.0009043876148</v>
      </c>
      <c r="I20" s="129">
        <f>$F20*HLOOKUP("*(SOL)*",Price!$A:$CK,2,0)-$D20</f>
        <v>-9432.759119</v>
      </c>
    </row>
    <row r="21">
      <c r="A21" s="54">
        <v>45224.0</v>
      </c>
      <c r="B21" s="124">
        <v>-229.32104682346116</v>
      </c>
      <c r="C21" s="6">
        <v>28.905836045719475</v>
      </c>
      <c r="D21" s="6">
        <v>-229.4502005589846</v>
      </c>
      <c r="E21" s="125" t="b">
        <v>1</v>
      </c>
      <c r="F21" s="126">
        <f t="shared" si="2"/>
        <v>-7.937850343</v>
      </c>
      <c r="G21" s="127">
        <f t="shared" si="3"/>
        <v>0.1291537355</v>
      </c>
      <c r="H21" s="128">
        <f t="shared" si="4"/>
        <v>0.0005632005318</v>
      </c>
      <c r="I21" s="129">
        <f>$F21*HLOOKUP("*(SOL)*",Price!$A:$CK,2,0)-$D21</f>
        <v>-1176.003522</v>
      </c>
    </row>
    <row r="22">
      <c r="A22" s="54">
        <v>45042.0</v>
      </c>
      <c r="B22" s="130">
        <v>999.693</v>
      </c>
      <c r="C22" s="6">
        <v>21.3</v>
      </c>
      <c r="D22" s="6">
        <v>998.693307</v>
      </c>
      <c r="E22" s="125" t="b">
        <v>1</v>
      </c>
      <c r="F22" s="126">
        <f t="shared" si="2"/>
        <v>46.88700972</v>
      </c>
      <c r="G22" s="127">
        <f t="shared" si="3"/>
        <v>0.999693</v>
      </c>
      <c r="H22" s="128">
        <f t="shared" si="4"/>
        <v>0.001</v>
      </c>
      <c r="I22" s="129">
        <f>$F22*HLOOKUP("*(SOL)*",Price!$A:$CK,2,0)-$D22</f>
        <v>7302.990333</v>
      </c>
    </row>
    <row r="23">
      <c r="A23" s="54">
        <v>45001.0</v>
      </c>
      <c r="B23" s="130">
        <v>6339.754968339521</v>
      </c>
      <c r="C23" s="6">
        <v>21.99</v>
      </c>
      <c r="D23" s="6">
        <v>6333.415213371181</v>
      </c>
      <c r="E23" s="125" t="b">
        <v>1</v>
      </c>
      <c r="F23" s="126">
        <f t="shared" si="2"/>
        <v>288.0134249</v>
      </c>
      <c r="G23" s="127">
        <f t="shared" si="3"/>
        <v>6.339754968</v>
      </c>
      <c r="H23" s="128">
        <f t="shared" si="4"/>
        <v>0.001</v>
      </c>
      <c r="I23" s="129">
        <f>$F23*HLOOKUP("*(SOL)*",Price!$A:$CK,2,0)-$D23</f>
        <v>44661.4414</v>
      </c>
    </row>
    <row r="24">
      <c r="A24" s="54">
        <v>44971.0</v>
      </c>
      <c r="B24" s="130">
        <v>-998.4199277959884</v>
      </c>
      <c r="C24" s="6">
        <v>21.67</v>
      </c>
      <c r="D24" s="6">
        <v>-997.4215078681924</v>
      </c>
      <c r="E24" s="125" t="b">
        <v>1</v>
      </c>
      <c r="F24" s="126">
        <f t="shared" si="2"/>
        <v>-46.02775763</v>
      </c>
      <c r="G24" s="127">
        <f t="shared" si="3"/>
        <v>0.9984199278</v>
      </c>
      <c r="H24" s="128">
        <f t="shared" si="4"/>
        <v>0.001</v>
      </c>
      <c r="I24" s="129">
        <f>$F24*HLOOKUP("*(SOL)*",Price!$A:$CK,2,0)-$D24</f>
        <v>-7152.125346</v>
      </c>
    </row>
    <row r="25">
      <c r="A25" s="54">
        <v>44943.0</v>
      </c>
      <c r="B25" s="130">
        <v>-1023.7621726129124</v>
      </c>
      <c r="C25" s="6">
        <v>23.22</v>
      </c>
      <c r="D25" s="6">
        <v>-1022.7384104402995</v>
      </c>
      <c r="E25" s="125" t="b">
        <v>1</v>
      </c>
      <c r="F25" s="126">
        <f t="shared" si="2"/>
        <v>-44.04558184</v>
      </c>
      <c r="G25" s="127">
        <f t="shared" si="3"/>
        <v>1.023762173</v>
      </c>
      <c r="H25" s="128">
        <f t="shared" si="4"/>
        <v>0.001</v>
      </c>
      <c r="I25" s="129">
        <f>$F25*HLOOKUP("*(SOL)*",Price!$A:$CK,2,0)-$D25</f>
        <v>-6775.849907</v>
      </c>
    </row>
    <row r="26">
      <c r="A26" s="54">
        <v>44939.0</v>
      </c>
      <c r="B26" s="130">
        <v>-1004.5510668661598</v>
      </c>
      <c r="C26" s="6">
        <v>18.13</v>
      </c>
      <c r="D26" s="6">
        <v>-1003.5465157992936</v>
      </c>
      <c r="E26" s="125" t="b">
        <v>1</v>
      </c>
      <c r="F26" s="126">
        <f t="shared" si="2"/>
        <v>-55.35281389</v>
      </c>
      <c r="G26" s="127">
        <f t="shared" si="3"/>
        <v>1.004551067</v>
      </c>
      <c r="H26" s="128">
        <f t="shared" si="4"/>
        <v>0.001</v>
      </c>
      <c r="I26" s="129">
        <f>$F26*HLOOKUP("*(SOL)*",Price!$A:$CK,2,0)-$D26</f>
        <v>-8797.068884</v>
      </c>
    </row>
    <row r="27">
      <c r="A27" s="54">
        <v>44903.0</v>
      </c>
      <c r="B27" s="130">
        <v>998.991609</v>
      </c>
      <c r="C27" s="6">
        <v>13.67</v>
      </c>
      <c r="D27" s="6">
        <v>997.9926173910001</v>
      </c>
      <c r="E27" s="125" t="b">
        <v>1</v>
      </c>
      <c r="F27" s="126">
        <f t="shared" si="2"/>
        <v>73.0060437</v>
      </c>
      <c r="G27" s="127">
        <f t="shared" si="3"/>
        <v>0.998991609</v>
      </c>
      <c r="H27" s="128">
        <f t="shared" si="4"/>
        <v>0.001</v>
      </c>
      <c r="I27" s="129">
        <f>$F27*HLOOKUP("*(SOL)*",Price!$A:$CK,2,0)-$D27</f>
        <v>11928.25459</v>
      </c>
    </row>
    <row r="28">
      <c r="A28" s="54">
        <v>44895.0</v>
      </c>
      <c r="B28" s="130">
        <v>13.44680194159218</v>
      </c>
      <c r="C28" s="6">
        <v>13.86</v>
      </c>
      <c r="D28" s="6">
        <v>13.433355139650587</v>
      </c>
      <c r="E28" s="125" t="b">
        <v>1</v>
      </c>
      <c r="F28" s="126">
        <f t="shared" si="2"/>
        <v>0.9692175425</v>
      </c>
      <c r="G28" s="127">
        <f t="shared" si="3"/>
        <v>0.01344680194</v>
      </c>
      <c r="H28" s="128">
        <f t="shared" si="4"/>
        <v>0.001</v>
      </c>
      <c r="I28" s="129">
        <f>$F28*HLOOKUP("*(SOL)*",Price!$A:$CK,2,0)-$D28</f>
        <v>158.1736095</v>
      </c>
    </row>
    <row r="29">
      <c r="A29" s="54">
        <v>44884.0</v>
      </c>
      <c r="B29" s="130">
        <v>10.639338081694252</v>
      </c>
      <c r="C29" s="6">
        <v>12.93</v>
      </c>
      <c r="D29" s="6">
        <v>10.628698743612558</v>
      </c>
      <c r="E29" s="125" t="b">
        <v>1</v>
      </c>
      <c r="F29" s="126">
        <f t="shared" si="2"/>
        <v>0.8220184643</v>
      </c>
      <c r="G29" s="127">
        <f t="shared" si="3"/>
        <v>0.01063933808</v>
      </c>
      <c r="H29" s="128">
        <f t="shared" si="4"/>
        <v>0.001</v>
      </c>
      <c r="I29" s="129">
        <f>$F29*HLOOKUP("*(SOL)*",Price!$A:$CK,2,0)-$D29</f>
        <v>134.9156061</v>
      </c>
    </row>
    <row r="30">
      <c r="A30" s="54">
        <v>44884.0</v>
      </c>
      <c r="B30" s="130">
        <v>-11.626359053051186</v>
      </c>
      <c r="C30" s="6">
        <v>12.93</v>
      </c>
      <c r="D30" s="6">
        <v>-11.614732693998134</v>
      </c>
      <c r="E30" s="125" t="b">
        <v>1</v>
      </c>
      <c r="F30" s="126">
        <f t="shared" si="2"/>
        <v>-0.8982778572</v>
      </c>
      <c r="G30" s="127">
        <f t="shared" si="3"/>
        <v>0.01162635905</v>
      </c>
      <c r="H30" s="128">
        <f t="shared" si="4"/>
        <v>0.001</v>
      </c>
      <c r="I30" s="129">
        <f>$F30*HLOOKUP("*(SOL)*",Price!$A:$CK,2,0)-$D30</f>
        <v>-147.4318484</v>
      </c>
    </row>
    <row r="31">
      <c r="A31" s="54">
        <v>44881.0</v>
      </c>
      <c r="B31" s="130">
        <v>14.42735899550335</v>
      </c>
      <c r="C31" s="6">
        <v>14.26</v>
      </c>
      <c r="D31" s="6">
        <v>14.412931636507848</v>
      </c>
      <c r="E31" s="125" t="b">
        <v>1</v>
      </c>
      <c r="F31" s="126">
        <f t="shared" si="2"/>
        <v>1.010724519</v>
      </c>
      <c r="G31" s="127">
        <f t="shared" si="3"/>
        <v>0.014427359</v>
      </c>
      <c r="H31" s="128">
        <f t="shared" si="4"/>
        <v>0.001</v>
      </c>
      <c r="I31" s="129">
        <f>$F31*HLOOKUP("*(SOL)*",Price!$A:$CK,2,0)-$D31</f>
        <v>164.5431428</v>
      </c>
    </row>
    <row r="32">
      <c r="A32" s="54">
        <v>44872.0</v>
      </c>
      <c r="B32" s="28">
        <v>-171.26386690194101</v>
      </c>
      <c r="C32" s="6">
        <v>34.1007310310058</v>
      </c>
      <c r="D32" s="6">
        <v>-171.21250315099573</v>
      </c>
      <c r="E32" s="125" t="b">
        <v>1</v>
      </c>
      <c r="F32" s="126">
        <f t="shared" si="2"/>
        <v>-5.020786886</v>
      </c>
      <c r="G32" s="127">
        <f t="shared" si="3"/>
        <v>0.05136375095</v>
      </c>
      <c r="H32" s="128">
        <f t="shared" si="4"/>
        <v>0.000299910027</v>
      </c>
      <c r="I32" s="129">
        <f>$F32*HLOOKUP("*(SOL)*",Price!$A:$CK,2,0)-$D32</f>
        <v>-717.7540699</v>
      </c>
    </row>
    <row r="33">
      <c r="A33" s="54">
        <v>44869.0</v>
      </c>
      <c r="B33" s="28">
        <v>-24.516298874245198</v>
      </c>
      <c r="C33" s="6">
        <v>34.206964912458155</v>
      </c>
      <c r="D33" s="6">
        <v>-24.50404685081979</v>
      </c>
      <c r="E33" s="125" t="b">
        <v>1</v>
      </c>
      <c r="F33" s="126">
        <f t="shared" si="2"/>
        <v>-0.7163467122</v>
      </c>
      <c r="G33" s="127">
        <f t="shared" si="3"/>
        <v>0.01225202343</v>
      </c>
      <c r="H33" s="128">
        <f t="shared" si="4"/>
        <v>0.0004997501249</v>
      </c>
      <c r="I33" s="129">
        <f>$F33*HLOOKUP("*(SOL)*",Price!$A:$CK,2,0)-$D33</f>
        <v>-102.3303113</v>
      </c>
    </row>
    <row r="34">
      <c r="A34" s="54">
        <v>44869.0</v>
      </c>
      <c r="B34" s="28">
        <v>-157.8208913747398</v>
      </c>
      <c r="C34" s="6">
        <v>34.206964912458155</v>
      </c>
      <c r="D34" s="6">
        <v>-157.7735593069477</v>
      </c>
      <c r="E34" s="125" t="b">
        <v>1</v>
      </c>
      <c r="F34" s="126">
        <f t="shared" si="2"/>
        <v>-4.612322657</v>
      </c>
      <c r="G34" s="127">
        <f t="shared" si="3"/>
        <v>0.04733206779</v>
      </c>
      <c r="H34" s="128">
        <f t="shared" si="4"/>
        <v>0.000299910027</v>
      </c>
      <c r="I34" s="129">
        <f>$F34*HLOOKUP("*(SOL)*",Price!$A:$CK,2,0)-$D34</f>
        <v>-658.8714726</v>
      </c>
    </row>
    <row r="35">
      <c r="A35" s="54">
        <v>44869.0</v>
      </c>
      <c r="B35" s="28">
        <v>-9210.95882372278</v>
      </c>
      <c r="C35" s="6">
        <v>34.206964912458155</v>
      </c>
      <c r="D35" s="6">
        <v>-9208.196364813335</v>
      </c>
      <c r="E35" s="125" t="b">
        <v>1</v>
      </c>
      <c r="F35" s="126">
        <f t="shared" si="2"/>
        <v>-269.1906864</v>
      </c>
      <c r="G35" s="127">
        <f t="shared" si="3"/>
        <v>2.762458909</v>
      </c>
      <c r="H35" s="128">
        <f t="shared" si="4"/>
        <v>0.000299910027</v>
      </c>
      <c r="I35" s="129">
        <f>$F35*HLOOKUP("*(SOL)*",Price!$A:$CK,2,0)-$D35</f>
        <v>-38453.95848</v>
      </c>
    </row>
    <row r="36">
      <c r="A36" s="54">
        <v>44869.0</v>
      </c>
      <c r="B36" s="28">
        <v>-725.2463182872091</v>
      </c>
      <c r="C36" s="6">
        <v>34.206964912458155</v>
      </c>
      <c r="D36" s="6">
        <v>-724.8838763490346</v>
      </c>
      <c r="E36" s="125" t="b">
        <v>1</v>
      </c>
      <c r="F36" s="126">
        <f t="shared" si="2"/>
        <v>-21.19111936</v>
      </c>
      <c r="G36" s="127">
        <f t="shared" si="3"/>
        <v>0.3624419382</v>
      </c>
      <c r="H36" s="128">
        <f t="shared" si="4"/>
        <v>0.0004997501249</v>
      </c>
      <c r="I36" s="129">
        <f>$F36*HLOOKUP("*(SOL)*",Price!$A:$CK,2,0)-$D36</f>
        <v>-3027.156826</v>
      </c>
    </row>
    <row r="37">
      <c r="A37" s="54">
        <v>44856.0</v>
      </c>
      <c r="B37" s="130">
        <v>12.101477802381543</v>
      </c>
      <c r="C37" s="6">
        <v>28.0</v>
      </c>
      <c r="D37" s="6">
        <v>12.089376324579161</v>
      </c>
      <c r="E37" s="125" t="b">
        <v>1</v>
      </c>
      <c r="F37" s="126">
        <f t="shared" si="2"/>
        <v>0.4317634402</v>
      </c>
      <c r="G37" s="127">
        <f t="shared" si="3"/>
        <v>0.0121014778</v>
      </c>
      <c r="H37" s="128">
        <f t="shared" si="4"/>
        <v>0.001</v>
      </c>
      <c r="I37" s="129">
        <f>$F37*HLOOKUP("*(SOL)*",Price!$A:$CK,2,0)-$D37</f>
        <v>64.35745851</v>
      </c>
    </row>
    <row r="38">
      <c r="A38" s="54">
        <v>44856.0</v>
      </c>
      <c r="B38" s="130">
        <v>-12.167829528055833</v>
      </c>
      <c r="C38" s="6">
        <v>28.0</v>
      </c>
      <c r="D38" s="6">
        <v>-12.155661698527778</v>
      </c>
      <c r="E38" s="125" t="b">
        <v>1</v>
      </c>
      <c r="F38" s="126">
        <f t="shared" si="2"/>
        <v>-0.4341307749</v>
      </c>
      <c r="G38" s="127">
        <f t="shared" si="3"/>
        <v>0.01216782953</v>
      </c>
      <c r="H38" s="128">
        <f t="shared" si="4"/>
        <v>0.001</v>
      </c>
      <c r="I38" s="129">
        <f>$F38*HLOOKUP("*(SOL)*",Price!$A:$CK,2,0)-$D38</f>
        <v>-64.71032685</v>
      </c>
    </row>
    <row r="39">
      <c r="A39" s="54">
        <v>44856.0</v>
      </c>
      <c r="B39" s="28">
        <v>-684.4026457222545</v>
      </c>
      <c r="C39" s="6">
        <v>28.394974089586142</v>
      </c>
      <c r="D39" s="6">
        <v>-684.1973865063027</v>
      </c>
      <c r="E39" s="125" t="b">
        <v>1</v>
      </c>
      <c r="F39" s="126">
        <f t="shared" si="2"/>
        <v>-24.09572146</v>
      </c>
      <c r="G39" s="127">
        <f t="shared" si="3"/>
        <v>0.205259216</v>
      </c>
      <c r="H39" s="128">
        <f t="shared" si="4"/>
        <v>0.000299910027</v>
      </c>
      <c r="I39" s="129">
        <f>$F39*HLOOKUP("*(SOL)*",Price!$A:$CK,2,0)-$D39</f>
        <v>-3582.124092</v>
      </c>
    </row>
    <row r="40">
      <c r="A40" s="54">
        <v>44842.0</v>
      </c>
      <c r="B40" s="28">
        <v>-0.9967367826446281</v>
      </c>
      <c r="C40" s="6">
        <v>33.76623376623377</v>
      </c>
      <c r="D40" s="6">
        <v>-0.9962386633129716</v>
      </c>
      <c r="E40" s="125" t="b">
        <v>1</v>
      </c>
      <c r="F40" s="126">
        <f t="shared" si="2"/>
        <v>-0.02950399118</v>
      </c>
      <c r="G40" s="127">
        <f t="shared" si="3"/>
        <v>0.0004981193317</v>
      </c>
      <c r="H40" s="128">
        <f t="shared" si="4"/>
        <v>0.0004997501249</v>
      </c>
      <c r="I40" s="129">
        <f>$F40*HLOOKUP("*(SOL)*",Price!$A:$CK,2,0)-$D40</f>
        <v>-4.227656023</v>
      </c>
    </row>
    <row r="41">
      <c r="A41" s="54">
        <v>44834.0</v>
      </c>
      <c r="B41" s="130">
        <v>-389.99621427895727</v>
      </c>
      <c r="C41" s="6">
        <v>33.33</v>
      </c>
      <c r="D41" s="6">
        <v>-389.60621806467833</v>
      </c>
      <c r="E41" s="125" t="b">
        <v>1</v>
      </c>
      <c r="F41" s="126">
        <f t="shared" si="2"/>
        <v>-11.68935548</v>
      </c>
      <c r="G41" s="127">
        <f t="shared" si="3"/>
        <v>0.3899962143</v>
      </c>
      <c r="H41" s="128">
        <f t="shared" si="4"/>
        <v>0.001</v>
      </c>
      <c r="I41" s="129">
        <f>$F41*HLOOKUP("*(SOL)*",Price!$A:$CK,2,0)-$D41</f>
        <v>-1680.078578</v>
      </c>
    </row>
    <row r="42">
      <c r="A42" s="54">
        <v>44834.0</v>
      </c>
      <c r="B42" s="130">
        <v>30.580020815051583</v>
      </c>
      <c r="C42" s="6">
        <v>33.33</v>
      </c>
      <c r="D42" s="6">
        <v>30.54944079423653</v>
      </c>
      <c r="E42" s="125" t="b">
        <v>1</v>
      </c>
      <c r="F42" s="126">
        <f t="shared" si="2"/>
        <v>0.9165748813</v>
      </c>
      <c r="G42" s="127">
        <f t="shared" si="3"/>
        <v>0.03058002082</v>
      </c>
      <c r="H42" s="128">
        <f t="shared" si="4"/>
        <v>0.001</v>
      </c>
      <c r="I42" s="129">
        <f>$F42*HLOOKUP("*(SOL)*",Price!$A:$CK,2,0)-$D42</f>
        <v>131.7367605</v>
      </c>
    </row>
    <row r="43">
      <c r="A43" s="54">
        <v>44834.0</v>
      </c>
      <c r="B43" s="130">
        <v>-30.643581414615692</v>
      </c>
      <c r="C43" s="6">
        <v>33.33</v>
      </c>
      <c r="D43" s="6">
        <v>-30.612937833201077</v>
      </c>
      <c r="E43" s="125" t="b">
        <v>1</v>
      </c>
      <c r="F43" s="126">
        <f t="shared" si="2"/>
        <v>-0.918479983</v>
      </c>
      <c r="G43" s="127">
        <f t="shared" si="3"/>
        <v>0.03064358141</v>
      </c>
      <c r="H43" s="128">
        <f t="shared" si="4"/>
        <v>0.001</v>
      </c>
      <c r="I43" s="129">
        <f>$F43*HLOOKUP("*(SOL)*",Price!$A:$CK,2,0)-$D43</f>
        <v>-132.0105755</v>
      </c>
    </row>
    <row r="44">
      <c r="A44" s="54">
        <v>44829.0</v>
      </c>
      <c r="B44" s="130">
        <v>38.15711281381995</v>
      </c>
      <c r="C44" s="6">
        <v>32.3</v>
      </c>
      <c r="D44" s="6">
        <v>38.11895570100613</v>
      </c>
      <c r="E44" s="125" t="b">
        <v>1</v>
      </c>
      <c r="F44" s="126">
        <f t="shared" si="2"/>
        <v>1.180153427</v>
      </c>
      <c r="G44" s="127">
        <f t="shared" si="3"/>
        <v>0.03815711281</v>
      </c>
      <c r="H44" s="128">
        <f t="shared" si="4"/>
        <v>0.001</v>
      </c>
      <c r="I44" s="129">
        <f>$F44*HLOOKUP("*(SOL)*",Price!$A:$CK,2,0)-$D44</f>
        <v>170.8357305</v>
      </c>
    </row>
    <row r="45">
      <c r="A45" s="54">
        <v>44829.0</v>
      </c>
      <c r="B45" s="28">
        <v>-24.40841390176794</v>
      </c>
      <c r="C45" s="6">
        <v>33.316485987477954</v>
      </c>
      <c r="D45" s="6">
        <v>-24.396215793871008</v>
      </c>
      <c r="E45" s="125" t="b">
        <v>1</v>
      </c>
      <c r="F45" s="126">
        <f t="shared" si="2"/>
        <v>-0.7322565712</v>
      </c>
      <c r="G45" s="127">
        <f t="shared" si="3"/>
        <v>0.0121981079</v>
      </c>
      <c r="H45" s="128">
        <f t="shared" si="4"/>
        <v>0.0004997501249</v>
      </c>
      <c r="I45" s="129">
        <f>$F45*HLOOKUP("*(SOL)*",Price!$A:$CK,2,0)-$D45</f>
        <v>-105.2550977</v>
      </c>
    </row>
    <row r="46">
      <c r="A46" s="54">
        <v>44829.0</v>
      </c>
      <c r="B46" s="28">
        <v>-374.78562086426575</v>
      </c>
      <c r="C46" s="6">
        <v>33.316485987477954</v>
      </c>
      <c r="D46" s="6">
        <v>-374.6732188985962</v>
      </c>
      <c r="E46" s="125" t="b">
        <v>1</v>
      </c>
      <c r="F46" s="126">
        <f t="shared" si="2"/>
        <v>-11.24588046</v>
      </c>
      <c r="G46" s="127">
        <f t="shared" si="3"/>
        <v>0.1124019657</v>
      </c>
      <c r="H46" s="128">
        <f t="shared" si="4"/>
        <v>0.000299910027</v>
      </c>
      <c r="I46" s="129">
        <f>$F46*HLOOKUP("*(SOL)*",Price!$A:$CK,2,0)-$D46</f>
        <v>-1616.491123</v>
      </c>
    </row>
    <row r="47">
      <c r="A47" s="54">
        <v>44782.0</v>
      </c>
      <c r="B47" s="55">
        <v>-46000.0</v>
      </c>
      <c r="C47" s="6">
        <v>34.89284636281316</v>
      </c>
      <c r="D47" s="6">
        <v>-45986.467451453864</v>
      </c>
      <c r="E47" s="125" t="b">
        <v>1</v>
      </c>
      <c r="F47" s="126">
        <f t="shared" si="2"/>
        <v>-1317.933968</v>
      </c>
      <c r="G47" s="127">
        <f t="shared" si="3"/>
        <v>13.53254855</v>
      </c>
      <c r="H47" s="128">
        <f t="shared" si="4"/>
        <v>0.000294185838</v>
      </c>
      <c r="I47" s="129">
        <f>$F47*HLOOKUP("*(SOL)*",Price!$A:$CK,2,0)-$D47</f>
        <v>-187363.2583</v>
      </c>
    </row>
    <row r="48">
      <c r="A48" s="54">
        <v>44782.0</v>
      </c>
      <c r="B48" s="55">
        <v>43000.0</v>
      </c>
      <c r="C48" s="6">
        <v>40.85841125511971</v>
      </c>
      <c r="D48" s="6">
        <v>42873.46389067096</v>
      </c>
      <c r="E48" s="125" t="b">
        <v>1</v>
      </c>
      <c r="F48" s="131">
        <f t="shared" si="2"/>
        <v>1049.317939</v>
      </c>
      <c r="G48" s="127">
        <f t="shared" si="3"/>
        <v>126.5361093</v>
      </c>
      <c r="H48" s="128">
        <f t="shared" si="4"/>
        <v>0.002942700217</v>
      </c>
      <c r="I48" s="129">
        <f>$F48*HLOOKUP("*(SOL)*",Price!$A:$CK,2,0)-$D48</f>
        <v>142915.8543</v>
      </c>
    </row>
    <row r="49">
      <c r="A49" s="54">
        <v>44781.0</v>
      </c>
      <c r="B49" s="55">
        <v>98000.0</v>
      </c>
      <c r="C49" s="6">
        <v>37.62488804904587</v>
      </c>
      <c r="D49" s="6">
        <v>97711.12952363405</v>
      </c>
      <c r="E49" s="125" t="b">
        <v>1</v>
      </c>
      <c r="F49" s="131">
        <f t="shared" si="2"/>
        <v>2596.981269</v>
      </c>
      <c r="G49" s="127">
        <f t="shared" si="3"/>
        <v>288.8704764</v>
      </c>
      <c r="H49" s="128">
        <f t="shared" si="4"/>
        <v>0.002947657922</v>
      </c>
      <c r="I49" s="129">
        <f>$F49*HLOOKUP("*(SOL)*",Price!$A:$CK,2,0)-$D49</f>
        <v>362103.1569</v>
      </c>
    </row>
    <row r="50">
      <c r="A50" s="54">
        <v>44756.0</v>
      </c>
      <c r="B50" s="55">
        <v>26300.0</v>
      </c>
      <c r="C50" s="6">
        <v>36.94672727455171</v>
      </c>
      <c r="D50" s="6">
        <v>26247.73078960836</v>
      </c>
      <c r="E50" s="125" t="b">
        <v>1</v>
      </c>
      <c r="F50" s="126">
        <f t="shared" si="2"/>
        <v>710.420996</v>
      </c>
      <c r="G50" s="127">
        <f t="shared" si="3"/>
        <v>52.26921039</v>
      </c>
      <c r="H50" s="128">
        <f t="shared" si="4"/>
        <v>0.001987422448</v>
      </c>
      <c r="I50" s="129">
        <f>$F50*HLOOKUP("*(SOL)*",Price!$A:$CK,2,0)-$D50</f>
        <v>99537.43648</v>
      </c>
    </row>
    <row r="51">
      <c r="A51" s="54">
        <v>44735.0</v>
      </c>
      <c r="B51" s="55">
        <v>40000.0</v>
      </c>
      <c r="C51" s="6">
        <v>37.81030344997676</v>
      </c>
      <c r="D51" s="6">
        <v>39882.41431972757</v>
      </c>
      <c r="E51" s="125" t="b">
        <v>1</v>
      </c>
      <c r="F51" s="126">
        <f t="shared" si="2"/>
        <v>1054.80281</v>
      </c>
      <c r="G51" s="127">
        <f t="shared" si="3"/>
        <v>117.5856803</v>
      </c>
      <c r="H51" s="128">
        <f t="shared" si="4"/>
        <v>0.002939642007</v>
      </c>
      <c r="I51" s="129">
        <f>$F51*HLOOKUP("*(SOL)*",Price!$A:$CK,2,0)-$D51</f>
        <v>146878.0399</v>
      </c>
    </row>
    <row r="52">
      <c r="A52" s="54">
        <v>44704.0</v>
      </c>
      <c r="B52" s="55">
        <v>200.0</v>
      </c>
      <c r="C52" s="6">
        <v>50.52425351468997</v>
      </c>
      <c r="D52" s="6">
        <v>200.0</v>
      </c>
      <c r="E52" s="125" t="b">
        <v>1</v>
      </c>
      <c r="F52" s="126">
        <f t="shared" si="2"/>
        <v>3.958494903</v>
      </c>
      <c r="G52" s="127">
        <f t="shared" si="3"/>
        <v>0</v>
      </c>
      <c r="H52" s="128">
        <f t="shared" si="4"/>
        <v>0</v>
      </c>
      <c r="I52" s="129">
        <f>$F52*HLOOKUP("*(SOL)*",Price!$A:$CK,2,0)-$D52</f>
        <v>500.8801067</v>
      </c>
    </row>
    <row r="53">
      <c r="A53" s="54">
        <v>44699.0</v>
      </c>
      <c r="B53" s="55">
        <v>500.0</v>
      </c>
      <c r="C53" s="6">
        <v>49.49038461538461</v>
      </c>
      <c r="D53" s="6">
        <v>498.8173076923077</v>
      </c>
      <c r="E53" s="125" t="b">
        <v>1</v>
      </c>
      <c r="F53" s="126">
        <f t="shared" si="2"/>
        <v>10.07907519</v>
      </c>
      <c r="G53" s="127">
        <f t="shared" si="3"/>
        <v>1.182692308</v>
      </c>
      <c r="H53" s="128">
        <f t="shared" si="4"/>
        <v>0.002365384615</v>
      </c>
      <c r="I53" s="129">
        <f>$F53*HLOOKUP("*(SOL)*",Price!$A:$CK,2,0)-$D53</f>
        <v>1285.755735</v>
      </c>
    </row>
    <row r="54">
      <c r="A54" s="54">
        <v>44690.0</v>
      </c>
      <c r="B54" s="55">
        <v>2000.0</v>
      </c>
      <c r="C54" s="6">
        <v>71.074144486692</v>
      </c>
      <c r="D54" s="6">
        <v>1996.1237709125476</v>
      </c>
      <c r="E54" s="125" t="b">
        <v>1</v>
      </c>
      <c r="F54" s="126">
        <f t="shared" si="2"/>
        <v>28.08509037</v>
      </c>
      <c r="G54" s="127">
        <f t="shared" si="3"/>
        <v>3.876229087</v>
      </c>
      <c r="H54" s="128">
        <f t="shared" si="4"/>
        <v>0.001938114544</v>
      </c>
      <c r="I54" s="129">
        <f>$F54*HLOOKUP("*(SOL)*",Price!$A:$CK,2,0)-$D54</f>
        <v>2976.544281</v>
      </c>
    </row>
    <row r="55">
      <c r="A55" s="54">
        <v>44672.0</v>
      </c>
      <c r="B55" s="55">
        <v>88500.0</v>
      </c>
      <c r="C55" s="6">
        <v>97.94729999450661</v>
      </c>
      <c r="D55" s="6">
        <v>87590.05511710096</v>
      </c>
      <c r="E55" s="125" t="b">
        <v>1</v>
      </c>
      <c r="F55" s="126">
        <f t="shared" si="2"/>
        <v>894.2569639</v>
      </c>
      <c r="G55" s="127">
        <f t="shared" si="3"/>
        <v>909.9448829</v>
      </c>
      <c r="H55" s="128">
        <f t="shared" si="4"/>
        <v>0.01028186308</v>
      </c>
      <c r="I55" s="129">
        <f>$F55*HLOOKUP("*(SOL)*",Price!$A:$CK,2,0)-$D55</f>
        <v>70744.59775</v>
      </c>
    </row>
    <row r="56">
      <c r="A56" s="54">
        <v>44655.0</v>
      </c>
      <c r="B56" s="55">
        <v>21500.0</v>
      </c>
      <c r="C56" s="6">
        <v>123.26858528376654</v>
      </c>
      <c r="D56" s="6">
        <v>21387.395545423908</v>
      </c>
      <c r="E56" s="125" t="b">
        <v>1</v>
      </c>
      <c r="F56" s="131">
        <f t="shared" si="2"/>
        <v>173.5024013</v>
      </c>
      <c r="G56" s="127">
        <f t="shared" si="3"/>
        <v>112.6044546</v>
      </c>
      <c r="H56" s="128">
        <f t="shared" si="4"/>
        <v>0.005237416492</v>
      </c>
      <c r="I56" s="129">
        <f>$F56*HLOOKUP("*(SOL)*",Price!$A:$CK,2,0)-$D56</f>
        <v>9332.457451</v>
      </c>
    </row>
    <row r="57">
      <c r="A57" s="54">
        <v>44654.0</v>
      </c>
      <c r="B57" s="55">
        <v>1000.0</v>
      </c>
      <c r="C57" s="6">
        <v>125.40050323117863</v>
      </c>
      <c r="D57" s="6">
        <v>996.0369644900712</v>
      </c>
      <c r="E57" s="125" t="b">
        <v>1</v>
      </c>
      <c r="F57" s="131">
        <f t="shared" si="2"/>
        <v>7.94284663</v>
      </c>
      <c r="G57" s="127">
        <f t="shared" si="3"/>
        <v>3.96303551</v>
      </c>
      <c r="H57" s="128">
        <f t="shared" si="4"/>
        <v>0.00396303551</v>
      </c>
      <c r="I57" s="129">
        <f>$F57*HLOOKUP("*(SOL)*",Price!$A:$CK,2,0)-$D57</f>
        <v>410.3013864</v>
      </c>
    </row>
    <row r="58">
      <c r="A58" s="54">
        <v>44653.0</v>
      </c>
      <c r="B58" s="55">
        <v>1000.0</v>
      </c>
      <c r="C58" s="6">
        <v>122.84876671673393</v>
      </c>
      <c r="D58" s="6">
        <v>998.9646775410342</v>
      </c>
      <c r="E58" s="125" t="b">
        <v>1</v>
      </c>
      <c r="F58" s="131">
        <f t="shared" si="2"/>
        <v>8.13166224</v>
      </c>
      <c r="G58" s="127">
        <f t="shared" si="3"/>
        <v>1.035322459</v>
      </c>
      <c r="H58" s="128">
        <f t="shared" si="4"/>
        <v>0.001035322459</v>
      </c>
      <c r="I58" s="129">
        <f>$F58*HLOOKUP("*(SOL)*",Price!$A:$CK,2,0)-$D58</f>
        <v>440.8048405</v>
      </c>
    </row>
    <row r="59">
      <c r="A59" s="54">
        <v>44652.0</v>
      </c>
      <c r="B59" s="55">
        <v>1000.0</v>
      </c>
      <c r="C59" s="6">
        <v>112.7825670064858</v>
      </c>
      <c r="D59" s="6">
        <v>993.805366363513</v>
      </c>
      <c r="E59" s="125" t="b">
        <v>1</v>
      </c>
      <c r="F59" s="131">
        <f t="shared" si="2"/>
        <v>8.81169309</v>
      </c>
      <c r="G59" s="127">
        <f t="shared" si="3"/>
        <v>6.194633636</v>
      </c>
      <c r="H59" s="128">
        <f t="shared" si="4"/>
        <v>0.006194633636</v>
      </c>
      <c r="I59" s="129">
        <f>$F59*HLOOKUP("*(SOL)*",Price!$A:$CK,2,0)-$D59</f>
        <v>566.3685242</v>
      </c>
    </row>
    <row r="60">
      <c r="A60" s="54">
        <v>44651.0</v>
      </c>
      <c r="B60" s="55">
        <v>1000.0</v>
      </c>
      <c r="C60" s="6">
        <v>112.60312841690538</v>
      </c>
      <c r="D60" s="6">
        <v>999.0720878900808</v>
      </c>
      <c r="E60" s="125" t="b">
        <v>1</v>
      </c>
      <c r="F60" s="131">
        <f t="shared" si="2"/>
        <v>8.87250738</v>
      </c>
      <c r="G60" s="127">
        <f t="shared" si="3"/>
        <v>0.9279121099</v>
      </c>
      <c r="H60" s="128">
        <f t="shared" si="4"/>
        <v>0.0009279121099</v>
      </c>
      <c r="I60" s="129">
        <f>$F60*HLOOKUP("*(SOL)*",Price!$A:$CK,2,0)-$D60</f>
        <v>571.8694118</v>
      </c>
    </row>
    <row r="61">
      <c r="A61" s="54">
        <v>44644.0</v>
      </c>
      <c r="B61" s="55">
        <v>1000.0</v>
      </c>
      <c r="C61" s="6">
        <v>90.46544839317063</v>
      </c>
      <c r="D61" s="6">
        <v>980.2150576414218</v>
      </c>
      <c r="E61" s="125" t="b">
        <v>1</v>
      </c>
      <c r="F61" s="131">
        <f t="shared" si="2"/>
        <v>10.83524235</v>
      </c>
      <c r="G61" s="127">
        <f t="shared" si="3"/>
        <v>19.78494236</v>
      </c>
      <c r="H61" s="128">
        <f t="shared" si="4"/>
        <v>0.01978494236</v>
      </c>
      <c r="I61" s="129">
        <f>$F61*HLOOKUP("*(SOL)*",Price!$A:$CK,2,0)-$D61</f>
        <v>938.2428414</v>
      </c>
    </row>
    <row r="62">
      <c r="A62" s="54">
        <v>44643.0</v>
      </c>
      <c r="B62" s="55">
        <v>1000.0</v>
      </c>
      <c r="C62" s="6">
        <v>84.4236902050114</v>
      </c>
      <c r="D62" s="6">
        <v>975.9729266823691</v>
      </c>
      <c r="E62" s="125" t="b">
        <v>1</v>
      </c>
      <c r="F62" s="131">
        <f t="shared" si="2"/>
        <v>11.56041538</v>
      </c>
      <c r="G62" s="127">
        <f t="shared" si="3"/>
        <v>24.02707332</v>
      </c>
      <c r="H62" s="128">
        <f t="shared" si="4"/>
        <v>0.02402707332</v>
      </c>
      <c r="I62" s="129">
        <f>$F62*HLOOKUP("*(SOL)*",Price!$A:$CK,2,0)-$D62</f>
        <v>1070.882094</v>
      </c>
    </row>
    <row r="63">
      <c r="A63" s="54">
        <v>44642.0</v>
      </c>
      <c r="B63" s="55">
        <v>1000.0</v>
      </c>
      <c r="C63" s="6">
        <v>83.96476330448351</v>
      </c>
      <c r="D63" s="6">
        <v>982.3877306624572</v>
      </c>
      <c r="E63" s="125" t="b">
        <v>1</v>
      </c>
      <c r="F63" s="131">
        <f t="shared" si="2"/>
        <v>11.7</v>
      </c>
      <c r="G63" s="127">
        <f t="shared" si="3"/>
        <v>17.61226934</v>
      </c>
      <c r="H63" s="128">
        <f t="shared" si="4"/>
        <v>0.01761226934</v>
      </c>
      <c r="I63" s="129">
        <f>$F63*HLOOKUP("*(SOL)*",Price!$A:$CK,2,0)-$D63</f>
        <v>1089.181755</v>
      </c>
    </row>
    <row r="64">
      <c r="A64" s="54">
        <v>44638.0</v>
      </c>
      <c r="B64" s="55">
        <v>1000.0</v>
      </c>
      <c r="C64" s="6">
        <v>78.26484183484246</v>
      </c>
      <c r="D64" s="6">
        <v>984.5717102823181</v>
      </c>
      <c r="E64" s="125" t="b">
        <v>1</v>
      </c>
      <c r="F64" s="131">
        <f t="shared" si="2"/>
        <v>12.58</v>
      </c>
      <c r="G64" s="127">
        <f t="shared" si="3"/>
        <v>15.42828972</v>
      </c>
      <c r="H64" s="128">
        <f t="shared" si="4"/>
        <v>0.01542828972</v>
      </c>
      <c r="I64" s="129">
        <f>$F64*HLOOKUP("*(SOL)*",Price!$A:$CK,2,0)-$D64</f>
        <v>1242.80813</v>
      </c>
    </row>
    <row r="65">
      <c r="A65" s="54">
        <v>44637.0</v>
      </c>
      <c r="B65" s="55">
        <v>786.98</v>
      </c>
      <c r="C65" s="6">
        <v>80.50490384725384</v>
      </c>
      <c r="D65" s="6">
        <v>768.0167827028016</v>
      </c>
      <c r="E65" s="125" t="b">
        <v>1</v>
      </c>
      <c r="F65" s="131">
        <f t="shared" si="2"/>
        <v>9.54</v>
      </c>
      <c r="G65" s="127">
        <f t="shared" si="3"/>
        <v>18.9632173</v>
      </c>
      <c r="H65" s="128">
        <f t="shared" si="4"/>
        <v>0.02409618707</v>
      </c>
      <c r="I65" s="129">
        <f>$F65*HLOOKUP("*(SOL)*",Price!$A:$CK,2,0)-$D65</f>
        <v>921.1091053</v>
      </c>
    </row>
    <row r="66">
      <c r="A66" s="54">
        <v>44636.0</v>
      </c>
      <c r="B66" s="55">
        <v>1000.0</v>
      </c>
      <c r="C66" s="6">
        <v>75.46329537295391</v>
      </c>
      <c r="D66" s="6">
        <v>972.721877357376</v>
      </c>
      <c r="E66" s="125" t="b">
        <v>1</v>
      </c>
      <c r="F66" s="131">
        <f t="shared" si="2"/>
        <v>12.89</v>
      </c>
      <c r="G66" s="127">
        <f t="shared" si="3"/>
        <v>27.27812264</v>
      </c>
      <c r="H66" s="128">
        <f t="shared" si="4"/>
        <v>0.02727812264</v>
      </c>
      <c r="I66" s="129">
        <f>$F66*HLOOKUP("*(SOL)*",Price!$A:$CK,2,0)-$D66</f>
        <v>1309.545701</v>
      </c>
    </row>
    <row r="67">
      <c r="A67" s="54">
        <v>44634.0</v>
      </c>
      <c r="B67" s="55">
        <v>1000.0</v>
      </c>
      <c r="C67" s="6">
        <v>73.17605544136639</v>
      </c>
      <c r="D67" s="6">
        <v>971.0462557069319</v>
      </c>
      <c r="E67" s="125" t="b">
        <v>1</v>
      </c>
      <c r="F67" s="131">
        <f t="shared" si="2"/>
        <v>13.27</v>
      </c>
      <c r="G67" s="127">
        <f t="shared" si="3"/>
        <v>28.95374429</v>
      </c>
      <c r="H67" s="128">
        <f t="shared" si="4"/>
        <v>0.02895374429</v>
      </c>
      <c r="I67" s="129">
        <f>$F67*HLOOKUP("*(SOL)*",Price!$A:$CK,2,0)-$D67</f>
        <v>1378.503067</v>
      </c>
    </row>
    <row r="68">
      <c r="A68" s="54">
        <v>44633.0</v>
      </c>
      <c r="B68" s="55">
        <v>1000.0</v>
      </c>
      <c r="C68" s="6">
        <v>73.65825940318206</v>
      </c>
      <c r="D68" s="6">
        <v>972.2890241220032</v>
      </c>
      <c r="E68" s="125" t="b">
        <v>1</v>
      </c>
      <c r="F68" s="131">
        <f t="shared" si="2"/>
        <v>13.2</v>
      </c>
      <c r="G68" s="127">
        <f t="shared" si="3"/>
        <v>27.71097588</v>
      </c>
      <c r="H68" s="128">
        <f t="shared" si="4"/>
        <v>0.02771097588</v>
      </c>
      <c r="I68" s="129">
        <f>$F68*HLOOKUP("*(SOL)*",Price!$A:$CK,2,0)-$D68</f>
        <v>1364.866293</v>
      </c>
    </row>
    <row r="69">
      <c r="A69" s="54">
        <v>44632.0</v>
      </c>
      <c r="B69" s="55">
        <v>1000.0</v>
      </c>
      <c r="C69" s="6">
        <v>76.04043514521642</v>
      </c>
      <c r="D69" s="6">
        <v>995.3692960508828</v>
      </c>
      <c r="E69" s="125" t="b">
        <v>1</v>
      </c>
      <c r="F69" s="131">
        <f t="shared" si="2"/>
        <v>13.09</v>
      </c>
      <c r="G69" s="127">
        <f t="shared" si="3"/>
        <v>4.630703949</v>
      </c>
      <c r="H69" s="128">
        <f t="shared" si="4"/>
        <v>0.004630703949</v>
      </c>
      <c r="I69" s="129">
        <f>$F69*HLOOKUP("*(SOL)*",Price!$A:$CK,2,0)-$D69</f>
        <v>1322.309726</v>
      </c>
    </row>
    <row r="70">
      <c r="A70" s="54">
        <v>44631.0</v>
      </c>
      <c r="B70" s="55">
        <v>1000.0</v>
      </c>
      <c r="C70" s="6">
        <v>74.73582391911377</v>
      </c>
      <c r="D70" s="6">
        <v>976.0498603836259</v>
      </c>
      <c r="E70" s="125" t="b">
        <v>1</v>
      </c>
      <c r="F70" s="131">
        <f t="shared" si="2"/>
        <v>13.06</v>
      </c>
      <c r="G70" s="127">
        <f t="shared" si="3"/>
        <v>23.95013962</v>
      </c>
      <c r="H70" s="128">
        <f t="shared" si="4"/>
        <v>0.02395013962</v>
      </c>
      <c r="I70" s="129">
        <f>$F70*HLOOKUP("*(SOL)*",Price!$A:$CK,2,0)-$D70</f>
        <v>1336.317445</v>
      </c>
    </row>
    <row r="71">
      <c r="A71" s="54">
        <v>44629.0</v>
      </c>
      <c r="B71" s="55">
        <v>1000.0</v>
      </c>
      <c r="C71" s="6">
        <v>80.72313333454952</v>
      </c>
      <c r="D71" s="6">
        <v>975.9426820147036</v>
      </c>
      <c r="E71" s="125" t="b">
        <v>1</v>
      </c>
      <c r="F71" s="131">
        <f t="shared" si="2"/>
        <v>12.09</v>
      </c>
      <c r="G71" s="127">
        <f t="shared" si="3"/>
        <v>24.05731799</v>
      </c>
      <c r="H71" s="128">
        <f t="shared" si="4"/>
        <v>0.02405731799</v>
      </c>
      <c r="I71" s="129">
        <f>$F71*HLOOKUP("*(SOL)*",Price!$A:$CK,2,0)-$D71</f>
        <v>1164.67912</v>
      </c>
    </row>
    <row r="72">
      <c r="A72" s="54">
        <v>44628.0</v>
      </c>
      <c r="B72" s="55">
        <v>1000.0</v>
      </c>
      <c r="C72" s="6">
        <v>77.07778492056202</v>
      </c>
      <c r="D72" s="6">
        <v>983.5125355863715</v>
      </c>
      <c r="E72" s="125" t="b">
        <v>1</v>
      </c>
      <c r="F72" s="131">
        <f t="shared" si="2"/>
        <v>12.76</v>
      </c>
      <c r="G72" s="127">
        <f t="shared" si="3"/>
        <v>16.48746441</v>
      </c>
      <c r="H72" s="128">
        <f t="shared" si="4"/>
        <v>0.01648746441</v>
      </c>
      <c r="I72" s="129">
        <f>$F72*HLOOKUP("*(SOL)*",Price!$A:$CK,2,0)-$D72</f>
        <v>1275.737604</v>
      </c>
    </row>
    <row r="73">
      <c r="A73" s="54">
        <v>44626.0</v>
      </c>
      <c r="B73" s="55">
        <v>1000.0</v>
      </c>
      <c r="C73" s="6">
        <v>79.70365768991851</v>
      </c>
      <c r="D73" s="6">
        <v>977.9638798553</v>
      </c>
      <c r="E73" s="125" t="b">
        <v>1</v>
      </c>
      <c r="F73" s="131">
        <f t="shared" si="2"/>
        <v>12.27</v>
      </c>
      <c r="G73" s="127">
        <f t="shared" si="3"/>
        <v>22.03612014</v>
      </c>
      <c r="H73" s="128">
        <f t="shared" si="4"/>
        <v>0.02203612014</v>
      </c>
      <c r="I73" s="129">
        <f>$F73*HLOOKUP("*(SOL)*",Price!$A:$CK,2,0)-$D73</f>
        <v>1194.528221</v>
      </c>
    </row>
    <row r="74">
      <c r="A74" s="54">
        <v>44625.0</v>
      </c>
      <c r="B74" s="55">
        <v>1000.0</v>
      </c>
      <c r="C74" s="6">
        <v>81.32056856798333</v>
      </c>
      <c r="D74" s="6">
        <v>976.6600285014796</v>
      </c>
      <c r="E74" s="125" t="b">
        <v>1</v>
      </c>
      <c r="F74" s="131">
        <f t="shared" si="2"/>
        <v>12.01</v>
      </c>
      <c r="G74" s="127">
        <f t="shared" si="3"/>
        <v>23.3399715</v>
      </c>
      <c r="H74" s="128">
        <f t="shared" si="4"/>
        <v>0.0233399715</v>
      </c>
      <c r="I74" s="129">
        <f>$F74*HLOOKUP("*(SOL)*",Price!$A:$CK,2,0)-$D74</f>
        <v>1149.797195</v>
      </c>
    </row>
    <row r="75">
      <c r="A75" s="54">
        <v>44614.0</v>
      </c>
      <c r="B75" s="55">
        <v>55.0</v>
      </c>
      <c r="C75" s="6">
        <v>75.12518054886856</v>
      </c>
      <c r="D75" s="6">
        <v>54.090129995185364</v>
      </c>
      <c r="E75" s="125" t="b">
        <v>1</v>
      </c>
      <c r="F75" s="131">
        <f t="shared" si="2"/>
        <v>0.72</v>
      </c>
      <c r="G75" s="127">
        <f t="shared" si="3"/>
        <v>0.9098700048</v>
      </c>
      <c r="H75" s="128">
        <f t="shared" si="4"/>
        <v>0.016543091</v>
      </c>
      <c r="I75" s="129">
        <f>$F75*HLOOKUP("*(SOL)*",Price!$A:$CK,2,0)-$D75</f>
        <v>73.3910691</v>
      </c>
    </row>
    <row r="76">
      <c r="A76" s="54">
        <v>44614.0</v>
      </c>
      <c r="B76" s="55">
        <v>5.55</v>
      </c>
      <c r="C76" s="6">
        <v>74.19148089171975</v>
      </c>
      <c r="D76" s="6">
        <v>5.193403662420383</v>
      </c>
      <c r="E76" s="125" t="b">
        <v>1</v>
      </c>
      <c r="F76" s="131">
        <f t="shared" si="2"/>
        <v>0.07</v>
      </c>
      <c r="G76" s="127">
        <f t="shared" si="3"/>
        <v>0.3565963376</v>
      </c>
      <c r="H76" s="128">
        <f t="shared" si="4"/>
        <v>0.06425159236</v>
      </c>
      <c r="I76" s="129">
        <f>$F76*HLOOKUP("*(SOL)*",Price!$A:$CK,2,0)-$D76</f>
        <v>7.200601805</v>
      </c>
    </row>
    <row r="77">
      <c r="A77" s="54">
        <v>44613.0</v>
      </c>
      <c r="B77" s="55">
        <v>40.0</v>
      </c>
      <c r="C77" s="6">
        <v>81.92781690140845</v>
      </c>
      <c r="D77" s="6">
        <v>39.32535211267606</v>
      </c>
      <c r="E77" s="125" t="b">
        <v>1</v>
      </c>
      <c r="F77" s="131">
        <f t="shared" si="2"/>
        <v>0.48</v>
      </c>
      <c r="G77" s="127">
        <f t="shared" si="3"/>
        <v>0.6746478873</v>
      </c>
      <c r="H77" s="128">
        <f t="shared" si="4"/>
        <v>0.01686619718</v>
      </c>
      <c r="I77" s="129">
        <f>$F77*HLOOKUP("*(SOL)*",Price!$A:$CK,2,0)-$D77</f>
        <v>45.66211395</v>
      </c>
    </row>
    <row r="78">
      <c r="A78" s="54">
        <v>44607.0</v>
      </c>
      <c r="B78" s="55">
        <v>112.47</v>
      </c>
      <c r="C78" s="6">
        <v>90.07830157609973</v>
      </c>
      <c r="D78" s="6">
        <v>107.19317887555867</v>
      </c>
      <c r="E78" s="125" t="b">
        <v>1</v>
      </c>
      <c r="F78" s="131">
        <f t="shared" si="2"/>
        <v>1.19</v>
      </c>
      <c r="G78" s="127">
        <f t="shared" si="3"/>
        <v>5.276821124</v>
      </c>
      <c r="H78" s="128">
        <f t="shared" si="4"/>
        <v>0.04691758802</v>
      </c>
      <c r="I78" s="129">
        <f>$F78*HLOOKUP("*(SOL)*",Price!$A:$CK,2,0)-$D78</f>
        <v>103.5049141</v>
      </c>
    </row>
  </sheetData>
  <conditionalFormatting sqref="I3:I78">
    <cfRule type="cellIs" dxfId="1" priority="1" operator="greaterThan">
      <formula>0</formula>
    </cfRule>
  </conditionalFormatting>
  <conditionalFormatting sqref="I3:I78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3" max="3" width="20.75"/>
  </cols>
  <sheetData>
    <row r="1">
      <c r="A1" s="132" t="s">
        <v>67</v>
      </c>
      <c r="B1" s="133" t="s">
        <v>68</v>
      </c>
      <c r="C1" s="133" t="s">
        <v>69</v>
      </c>
      <c r="D1" s="132" t="s">
        <v>19</v>
      </c>
      <c r="E1" s="134" t="s">
        <v>70</v>
      </c>
      <c r="F1" s="135" t="s">
        <v>71</v>
      </c>
      <c r="G1" s="135" t="s">
        <v>72</v>
      </c>
      <c r="H1" s="136" t="s">
        <v>73</v>
      </c>
      <c r="I1" s="135" t="s">
        <v>74</v>
      </c>
      <c r="J1" s="135" t="s">
        <v>75</v>
      </c>
      <c r="K1" s="137" t="s">
        <v>76</v>
      </c>
    </row>
    <row r="2">
      <c r="A2" s="26" t="s">
        <v>25</v>
      </c>
      <c r="B2" s="26" t="s">
        <v>77</v>
      </c>
      <c r="C2" s="27" t="s">
        <v>78</v>
      </c>
      <c r="D2" s="125">
        <f>MAXIFS(PriceCache!B:B,PriceCache!A:A,$B2&amp;" ("&amp;$A2&amp;")")</f>
        <v>189.6292196</v>
      </c>
      <c r="E2" s="138">
        <v>74.9310482816636</v>
      </c>
      <c r="F2" s="7">
        <f t="shared" ref="F2:F16" si="1">IF($I2&lt;&gt;"",$G2/$I2*365.25,0)</f>
        <v>2.040079939</v>
      </c>
      <c r="G2" s="56">
        <f t="shared" ref="G2:G16" si="2">IF($H2&lt;&gt;"",$D2/$H2-1,)</f>
        <v>4.557714526</v>
      </c>
      <c r="H2" s="139">
        <f>MAXIFS(Evolution!E:E,Evolution!A:A,"&gt;="&amp;DATE(2022,10,4), Evolution!A:A,"&lt;"&amp;DATE(2022,10,5))</f>
        <v>34.12</v>
      </c>
      <c r="I2" s="140">
        <f t="shared" ref="I2:I3" si="3">TODAY()-DATE(2022,10,4)</f>
        <v>816</v>
      </c>
      <c r="J2" s="141" t="str">
        <f t="shared" ref="J2:J16" si="4">IF($A2="€","Pay",IF($A2="SOL","Main",IF(ISERROR(FIND("FiMs",$B2)),IF($E2&lt;&gt;0,"Invest","Token"),"FiMs")))</f>
        <v>FiMs</v>
      </c>
      <c r="K2" s="138">
        <f>SUMIFS(Wallet!$F:$F,Wallet!$A:$A,$A2)-FiMsData!$B1</f>
        <v>74.97677366</v>
      </c>
    </row>
    <row r="3">
      <c r="A3" s="26" t="s">
        <v>79</v>
      </c>
      <c r="B3" s="26" t="s">
        <v>80</v>
      </c>
      <c r="C3" s="142" t="s">
        <v>81</v>
      </c>
      <c r="D3" s="143">
        <f>MAXIFS(PriceCache!B:B,PriceCache!A:A,$B3&amp;" ("&amp;$A3&amp;")")</f>
        <v>1.117289528</v>
      </c>
      <c r="E3" s="138">
        <v>1162.1250407020416</v>
      </c>
      <c r="F3" s="7">
        <f t="shared" si="1"/>
        <v>0.0525</v>
      </c>
      <c r="G3" s="56">
        <f t="shared" si="2"/>
        <v>0.1172895277</v>
      </c>
      <c r="H3" s="139">
        <v>1.0</v>
      </c>
      <c r="I3" s="140">
        <f t="shared" si="3"/>
        <v>816</v>
      </c>
      <c r="J3" s="141" t="str">
        <f t="shared" si="4"/>
        <v>FiMs</v>
      </c>
      <c r="K3" s="138">
        <f>SUMIFS(Wallet!$F:$F,Wallet!$A:$A,$A3)-FiMsData!$B2</f>
        <v>1154.477281</v>
      </c>
    </row>
    <row r="4">
      <c r="A4" s="26" t="s">
        <v>82</v>
      </c>
      <c r="B4" s="26" t="s">
        <v>83</v>
      </c>
      <c r="C4" s="27" t="s">
        <v>84</v>
      </c>
      <c r="D4" s="143">
        <f>MAXIFS(PriceCache!B:B,PriceCache!A:A,$B4&amp;" ("&amp;$A4&amp;")")</f>
        <v>3.987529378</v>
      </c>
      <c r="E4" s="138">
        <v>212967.63473594538</v>
      </c>
      <c r="F4" s="7">
        <f t="shared" si="1"/>
        <v>1.786260724</v>
      </c>
      <c r="G4" s="56">
        <f t="shared" si="2"/>
        <v>1.975768192</v>
      </c>
      <c r="H4" s="139">
        <v>1.34</v>
      </c>
      <c r="I4" s="140">
        <f>TODAY()-DATE(2023,11,20)</f>
        <v>404</v>
      </c>
      <c r="J4" s="141" t="str">
        <f t="shared" si="4"/>
        <v>FiMs</v>
      </c>
      <c r="K4" s="138">
        <f>SUMIFS(Wallet!$F:$F,Wallet!$A:$A,$A4)-FiMsData!$B3</f>
        <v>212912.5836</v>
      </c>
    </row>
    <row r="5">
      <c r="A5" s="144" t="s">
        <v>34</v>
      </c>
      <c r="B5" s="144" t="s">
        <v>85</v>
      </c>
      <c r="C5" s="145" t="s">
        <v>86</v>
      </c>
      <c r="D5" s="143">
        <f>MAXIFS(PriceCache!B:B,PriceCache!A:A,$B5&amp;" ("&amp;$A5&amp;")")</f>
        <v>1.281488839</v>
      </c>
      <c r="E5" s="138">
        <v>0.0</v>
      </c>
      <c r="F5" s="7">
        <f t="shared" si="1"/>
        <v>0.1944735716</v>
      </c>
      <c r="G5" s="56">
        <f t="shared" si="2"/>
        <v>0.4344707308</v>
      </c>
      <c r="H5" s="139">
        <f>0.877902*1.0176        </f>
        <v>0.8933530752</v>
      </c>
      <c r="I5" s="140">
        <f t="shared" ref="I5:I6" si="5">$I$3</f>
        <v>816</v>
      </c>
      <c r="J5" s="141" t="str">
        <f t="shared" si="4"/>
        <v>Token</v>
      </c>
      <c r="K5" s="138">
        <f>SUMIFS(Wallet!$F:$F,Wallet!$A:$A,$A5)</f>
        <v>0</v>
      </c>
    </row>
    <row r="6">
      <c r="A6" s="144" t="s">
        <v>33</v>
      </c>
      <c r="B6" s="144" t="s">
        <v>87</v>
      </c>
      <c r="C6" s="27" t="s">
        <v>88</v>
      </c>
      <c r="D6" s="125">
        <f>MAXIFS(PriceCache!B:B,PriceCache!A:A,$B6&amp;" ("&amp;$A6&amp;")")</f>
        <v>90459.00907</v>
      </c>
      <c r="E6" s="146">
        <v>0.0</v>
      </c>
      <c r="F6" s="7">
        <f t="shared" si="1"/>
        <v>1.580367398</v>
      </c>
      <c r="G6" s="56">
        <f t="shared" si="2"/>
        <v>3.530677063</v>
      </c>
      <c r="H6" s="139">
        <f>19620.57*1.0176     </f>
        <v>19965.89203</v>
      </c>
      <c r="I6" s="140">
        <f t="shared" si="5"/>
        <v>816</v>
      </c>
      <c r="J6" s="141" t="str">
        <f t="shared" si="4"/>
        <v>Token</v>
      </c>
      <c r="K6" s="146">
        <f>SUMIFS(Wallet!$F:$F,Wallet!$A:$A,$A6)</f>
        <v>0</v>
      </c>
    </row>
    <row r="7">
      <c r="A7" s="144" t="s">
        <v>1</v>
      </c>
      <c r="B7" s="144" t="s">
        <v>89</v>
      </c>
      <c r="C7" s="27" t="s">
        <v>90</v>
      </c>
      <c r="D7" s="125">
        <f>MAXIFS(PriceCache!B:B,PriceCache!A:A,$B7&amp;" ("&amp;$A7&amp;")")</f>
        <v>177.057221</v>
      </c>
      <c r="E7" s="138">
        <v>0.0</v>
      </c>
      <c r="F7" s="7">
        <f t="shared" si="1"/>
        <v>1.875151569</v>
      </c>
      <c r="G7" s="56">
        <f t="shared" si="2"/>
        <v>4.189250322</v>
      </c>
      <c r="H7" s="139">
        <f>MAXIFS(Evolution!E:E,Evolution!A:A,"&gt;="&amp;DATE(2022,10,4), Evolution!A:A,"&lt;"&amp;DATE(2022,10,5))</f>
        <v>34.12</v>
      </c>
      <c r="I7" s="140">
        <f>TODAY()-DATE(2022,10,4)</f>
        <v>816</v>
      </c>
      <c r="J7" s="141" t="str">
        <f t="shared" si="4"/>
        <v>Main</v>
      </c>
      <c r="K7" s="138">
        <f>SUMIFS(Wallet!$F:$F,Wallet!$A:$A,$A7)</f>
        <v>0</v>
      </c>
    </row>
    <row r="8">
      <c r="A8" s="144" t="s">
        <v>31</v>
      </c>
      <c r="B8" s="144" t="s">
        <v>91</v>
      </c>
      <c r="C8" s="27" t="s">
        <v>92</v>
      </c>
      <c r="D8" s="143">
        <f>MAXIFS(PriceCache!B:B,PriceCache!A:A,$B8&amp;" ("&amp;$A8&amp;")")</f>
        <v>0.7780037412</v>
      </c>
      <c r="E8" s="138">
        <v>159864.232818</v>
      </c>
      <c r="F8" s="7">
        <f t="shared" si="1"/>
        <v>0.3016591354</v>
      </c>
      <c r="G8" s="56">
        <f t="shared" si="2"/>
        <v>0.2741980368</v>
      </c>
      <c r="H8" s="139">
        <v>0.610583063780376</v>
      </c>
      <c r="I8" s="140">
        <f>TODAY()-DATE(2024,1,31)</f>
        <v>332</v>
      </c>
      <c r="J8" s="141" t="str">
        <f t="shared" si="4"/>
        <v>Invest</v>
      </c>
      <c r="K8" s="138">
        <f>SUMIFS(Wallet!$F:$F,Wallet!$A:$A,$A8)</f>
        <v>159864.2328</v>
      </c>
    </row>
    <row r="9">
      <c r="A9" s="144" t="s">
        <v>93</v>
      </c>
      <c r="B9" s="144" t="s">
        <v>94</v>
      </c>
      <c r="C9" s="145" t="s">
        <v>95</v>
      </c>
      <c r="D9" s="125">
        <f>MAXIFS(PriceCache!B:B,PriceCache!A:A,$B9&amp;" ("&amp;$A9&amp;")")</f>
        <v>188.9793755</v>
      </c>
      <c r="E9" s="138">
        <v>0.0</v>
      </c>
      <c r="F9" s="7">
        <f t="shared" si="1"/>
        <v>2.031554825</v>
      </c>
      <c r="G9" s="56">
        <f t="shared" si="2"/>
        <v>4.538668684</v>
      </c>
      <c r="H9" s="139">
        <v>34.12</v>
      </c>
      <c r="I9" s="140">
        <f>TODAY()-DATE(2022,10,4)</f>
        <v>816</v>
      </c>
      <c r="J9" s="141" t="str">
        <f t="shared" si="4"/>
        <v>Token</v>
      </c>
      <c r="K9" s="138">
        <f>SUMIFS(Wallet!$F:$F,Wallet!$A:$A,$A9)</f>
        <v>0</v>
      </c>
    </row>
    <row r="10">
      <c r="A10" s="144" t="s">
        <v>30</v>
      </c>
      <c r="B10" s="144" t="s">
        <v>96</v>
      </c>
      <c r="C10" s="145" t="s">
        <v>97</v>
      </c>
      <c r="D10" s="143">
        <f>MAXIFS(PriceCache!B:B,PriceCache!A:A,$B10&amp;" ("&amp;$A10&amp;")")</f>
        <v>3.987529378</v>
      </c>
      <c r="E10" s="138">
        <v>0.0</v>
      </c>
      <c r="F10" s="7">
        <f t="shared" si="1"/>
        <v>1.786260724</v>
      </c>
      <c r="G10" s="56">
        <f t="shared" si="2"/>
        <v>1.975768192</v>
      </c>
      <c r="H10" s="139">
        <v>1.34</v>
      </c>
      <c r="I10" s="140">
        <f>TODAY()-DATE(2023,11,20)</f>
        <v>404</v>
      </c>
      <c r="J10" s="141" t="str">
        <f t="shared" si="4"/>
        <v>Token</v>
      </c>
      <c r="K10" s="138">
        <f>SUMIFS(Wallet!$F:$F,Wallet!$A:$A,$A10)</f>
        <v>0</v>
      </c>
    </row>
    <row r="11">
      <c r="A11" s="144" t="s">
        <v>26</v>
      </c>
      <c r="B11" s="144" t="s">
        <v>98</v>
      </c>
      <c r="C11" s="145" t="s">
        <v>99</v>
      </c>
      <c r="D11" s="125">
        <f>MAXIFS(PriceCache!B:B,PriceCache!A:A,$B11&amp;" ("&amp;$A11&amp;")")</f>
        <v>189.6292196</v>
      </c>
      <c r="E11" s="138">
        <v>0.0</v>
      </c>
      <c r="F11" s="7">
        <f t="shared" si="1"/>
        <v>2.040079939</v>
      </c>
      <c r="G11" s="56">
        <f t="shared" si="2"/>
        <v>4.557714526</v>
      </c>
      <c r="H11" s="139">
        <v>34.12</v>
      </c>
      <c r="I11" s="140">
        <f t="shared" ref="I11:I16" si="6">TODAY()-DATE(2022,10,4)</f>
        <v>816</v>
      </c>
      <c r="J11" s="141" t="str">
        <f t="shared" si="4"/>
        <v>Token</v>
      </c>
      <c r="K11" s="138">
        <f>SUMIFS(Wallet!$F:$F,Wallet!$A:$A,$A11)</f>
        <v>0</v>
      </c>
    </row>
    <row r="12">
      <c r="A12" s="144" t="s">
        <v>100</v>
      </c>
      <c r="B12" s="144" t="s">
        <v>101</v>
      </c>
      <c r="C12" s="145" t="s">
        <v>102</v>
      </c>
      <c r="D12" s="143">
        <f>MAXIFS(PriceCache!B:B,PriceCache!A:A,$B12&amp;" ("&amp;$A12&amp;")")</f>
        <v>0.9592786225</v>
      </c>
      <c r="E12" s="138">
        <v>0.0</v>
      </c>
      <c r="F12" s="7">
        <f t="shared" si="1"/>
        <v>-0.02540480115</v>
      </c>
      <c r="G12" s="56">
        <f t="shared" si="2"/>
        <v>-0.05675651674</v>
      </c>
      <c r="H12" s="147">
        <v>1.017</v>
      </c>
      <c r="I12" s="140">
        <f t="shared" si="6"/>
        <v>816</v>
      </c>
      <c r="J12" s="141" t="str">
        <f t="shared" si="4"/>
        <v>Token</v>
      </c>
      <c r="K12" s="138">
        <f>SUMIFS(Wallet!$F:$F,Wallet!$A:$A,$A12)</f>
        <v>0</v>
      </c>
    </row>
    <row r="13">
      <c r="A13" s="144" t="s">
        <v>32</v>
      </c>
      <c r="B13" s="144" t="s">
        <v>32</v>
      </c>
      <c r="C13" s="145" t="s">
        <v>103</v>
      </c>
      <c r="D13" s="143">
        <f>MAXIFS(PriceCache!B:B,PriceCache!A:A,$B13&amp;" ("&amp;$A13&amp;")")</f>
        <v>0.9592786225</v>
      </c>
      <c r="E13" s="138">
        <v>0.0</v>
      </c>
      <c r="F13" s="7">
        <f t="shared" si="1"/>
        <v>-0.02540480115</v>
      </c>
      <c r="G13" s="56">
        <f t="shared" si="2"/>
        <v>-0.05675651674</v>
      </c>
      <c r="H13" s="147">
        <v>1.017</v>
      </c>
      <c r="I13" s="140">
        <f t="shared" si="6"/>
        <v>816</v>
      </c>
      <c r="J13" s="141" t="str">
        <f t="shared" si="4"/>
        <v>Token</v>
      </c>
      <c r="K13" s="138">
        <f>SUMIFS(Wallet!$F:$F,Wallet!$A:$A,$A13)</f>
        <v>0</v>
      </c>
    </row>
    <row r="14">
      <c r="A14" s="144" t="s">
        <v>104</v>
      </c>
      <c r="B14" s="144" t="s">
        <v>105</v>
      </c>
      <c r="C14" s="145" t="s">
        <v>106</v>
      </c>
      <c r="D14" s="143">
        <f>MAXIFS(PriceCache!B:B,PriceCache!A:A,$B14&amp;" ("&amp;$A14&amp;")")</f>
        <v>0.9592786225</v>
      </c>
      <c r="E14" s="138">
        <v>0.0</v>
      </c>
      <c r="F14" s="7">
        <f t="shared" si="1"/>
        <v>-0.02540480115</v>
      </c>
      <c r="G14" s="56">
        <f t="shared" si="2"/>
        <v>-0.05675651674</v>
      </c>
      <c r="H14" s="147">
        <v>1.017</v>
      </c>
      <c r="I14" s="140">
        <f t="shared" si="6"/>
        <v>816</v>
      </c>
      <c r="J14" s="141" t="str">
        <f t="shared" si="4"/>
        <v>Token</v>
      </c>
      <c r="K14" s="138">
        <f>SUMIFS(Wallet!$F:$F,Wallet!$A:$A,$A14)</f>
        <v>0</v>
      </c>
    </row>
    <row r="15">
      <c r="A15" s="144" t="s">
        <v>28</v>
      </c>
      <c r="B15" s="144" t="s">
        <v>107</v>
      </c>
      <c r="C15" s="145" t="s">
        <v>108</v>
      </c>
      <c r="D15" s="143">
        <f>MAXIFS(PriceCache!B:B,PriceCache!A:A,$B15&amp;" ("&amp;$A15&amp;")")</f>
        <v>0.9592786225</v>
      </c>
      <c r="E15" s="138">
        <v>0.0</v>
      </c>
      <c r="F15" s="7">
        <f t="shared" si="1"/>
        <v>-0.02540480115</v>
      </c>
      <c r="G15" s="56">
        <f t="shared" si="2"/>
        <v>-0.05675651674</v>
      </c>
      <c r="H15" s="147">
        <v>1.017</v>
      </c>
      <c r="I15" s="140">
        <f t="shared" si="6"/>
        <v>816</v>
      </c>
      <c r="J15" s="141" t="str">
        <f t="shared" si="4"/>
        <v>Token</v>
      </c>
      <c r="K15" s="138">
        <f>SUMIFS(Wallet!$F:$F,Wallet!$A:$A,$A15)</f>
        <v>0</v>
      </c>
    </row>
    <row r="16">
      <c r="A16" s="144" t="s">
        <v>109</v>
      </c>
      <c r="B16" s="144" t="s">
        <v>110</v>
      </c>
      <c r="C16" s="145" t="s">
        <v>111</v>
      </c>
      <c r="D16" s="141">
        <f>MAXIFS(PriceCache!B:B,PriceCache!A:A,$B16&amp;" ("&amp;$A16&amp;")")</f>
        <v>1</v>
      </c>
      <c r="E16" s="138">
        <v>0.0</v>
      </c>
      <c r="F16" s="7">
        <f t="shared" si="1"/>
        <v>0</v>
      </c>
      <c r="G16" s="56">
        <f t="shared" si="2"/>
        <v>0</v>
      </c>
      <c r="H16" s="147">
        <v>1.0</v>
      </c>
      <c r="I16" s="140">
        <f t="shared" si="6"/>
        <v>816</v>
      </c>
      <c r="J16" s="141" t="str">
        <f t="shared" si="4"/>
        <v>Token</v>
      </c>
      <c r="K16" s="138">
        <f>SUMIFS(Wallet!$F:$F,Wallet!$A:$A,$A16)</f>
        <v>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2.63"/>
  </cols>
  <sheetData>
    <row r="1">
      <c r="A1" s="148" t="s">
        <v>35</v>
      </c>
      <c r="B1" s="149" t="s">
        <v>112</v>
      </c>
      <c r="C1" s="150" t="str">
        <f t="array" ref="C1:Q1">TRANSPOSE(Token!$B2:$B396&amp;" ("&amp;Token!$A2:$A396&amp;")")</f>
        <v>FiMs SOL (FSOL)</v>
      </c>
      <c r="D1" s="151" t="s">
        <v>58</v>
      </c>
      <c r="E1" s="151" t="s">
        <v>59</v>
      </c>
      <c r="F1" s="151" t="s">
        <v>113</v>
      </c>
      <c r="G1" s="150" t="s">
        <v>114</v>
      </c>
      <c r="H1" s="150" t="s">
        <v>115</v>
      </c>
      <c r="I1" s="151" t="s">
        <v>60</v>
      </c>
      <c r="J1" s="152" t="s">
        <v>116</v>
      </c>
      <c r="K1" s="151" t="s">
        <v>117</v>
      </c>
      <c r="L1" s="152" t="s">
        <v>118</v>
      </c>
      <c r="M1" s="151" t="s">
        <v>119</v>
      </c>
      <c r="N1" s="151" t="s">
        <v>120</v>
      </c>
      <c r="O1" s="151" t="s">
        <v>121</v>
      </c>
      <c r="P1" s="151" t="s">
        <v>122</v>
      </c>
      <c r="Q1" s="150" t="s">
        <v>123</v>
      </c>
    </row>
    <row r="2">
      <c r="A2" s="46">
        <f>NOW()-TIME(1,0,0)</f>
        <v>45653.96373</v>
      </c>
      <c r="B2" s="153">
        <f t="array" ref="B2:Q2">TRANSPOSE(OFFSET(PriceCache!$B:$B,1,0))</f>
        <v>1.04245</v>
      </c>
      <c r="C2" s="154">
        <v>189.62921962684058</v>
      </c>
      <c r="D2" s="155">
        <v>1.1172895277207393</v>
      </c>
      <c r="E2" s="155">
        <v>3.9875293779078125</v>
      </c>
      <c r="F2" s="155">
        <v>1.2814888386065422</v>
      </c>
      <c r="G2" s="154">
        <v>90459.00906518298</v>
      </c>
      <c r="H2" s="154">
        <v>177.05722096983067</v>
      </c>
      <c r="I2" s="155">
        <v>0.7780037411866276</v>
      </c>
      <c r="J2" s="156">
        <v>188.97937550961677</v>
      </c>
      <c r="K2" s="155">
        <v>3.9875293779078125</v>
      </c>
      <c r="L2" s="156">
        <v>189.62921962684058</v>
      </c>
      <c r="M2" s="155">
        <v>0.959278622475898</v>
      </c>
      <c r="N2" s="155">
        <v>0.959278622475898</v>
      </c>
      <c r="O2" s="155">
        <v>0.959278622475898</v>
      </c>
      <c r="P2" s="155">
        <v>0.959278622475898</v>
      </c>
      <c r="Q2" s="157">
        <v>1.0</v>
      </c>
    </row>
    <row r="3">
      <c r="A3" s="54">
        <v>45653.95995805555</v>
      </c>
      <c r="B3" s="158">
        <v>1.04245</v>
      </c>
      <c r="C3" s="159">
        <v>189.62921962684058</v>
      </c>
      <c r="D3" s="160">
        <v>1.1172895277207393</v>
      </c>
      <c r="E3" s="160">
        <v>3.9875293779078125</v>
      </c>
      <c r="F3" s="160">
        <v>1.2814888386065422</v>
      </c>
      <c r="G3" s="159">
        <v>90459.00906518298</v>
      </c>
      <c r="H3" s="159">
        <v>177.05722096983067</v>
      </c>
      <c r="I3" s="160">
        <v>0.7780037411866276</v>
      </c>
      <c r="J3" s="161">
        <v>188.97937550961677</v>
      </c>
      <c r="K3" s="160">
        <v>3.9875293779078125</v>
      </c>
      <c r="L3" s="161">
        <v>189.62921962684058</v>
      </c>
      <c r="M3" s="160">
        <v>0.959278622475898</v>
      </c>
      <c r="N3" s="160">
        <v>0.959278622475898</v>
      </c>
      <c r="O3" s="160">
        <v>0.959278622475898</v>
      </c>
      <c r="P3" s="160">
        <v>0.959278622475898</v>
      </c>
      <c r="Q3" s="162">
        <v>1.0</v>
      </c>
    </row>
    <row r="4">
      <c r="A4" s="54">
        <v>45652.95995415509</v>
      </c>
      <c r="B4" s="158">
        <v>1.04196</v>
      </c>
      <c r="C4" s="159">
        <v>194.0583995546854</v>
      </c>
      <c r="D4" s="160">
        <v>1.1171457905544147</v>
      </c>
      <c r="E4" s="160">
        <v>4.018561173173634</v>
      </c>
      <c r="F4" s="160">
        <v>1.2754983585981419</v>
      </c>
      <c r="G4" s="159">
        <v>91842.75975085417</v>
      </c>
      <c r="H4" s="159">
        <v>181.25535529194977</v>
      </c>
      <c r="I4" s="160">
        <v>0.8044838573457714</v>
      </c>
      <c r="J4" s="161">
        <v>193.40451648815693</v>
      </c>
      <c r="K4" s="160">
        <v>4.018561173173634</v>
      </c>
      <c r="L4" s="161">
        <v>194.0583995546854</v>
      </c>
      <c r="M4" s="160">
        <v>0.9597297401051864</v>
      </c>
      <c r="N4" s="160">
        <v>0.9597297401051864</v>
      </c>
      <c r="O4" s="160">
        <v>0.9597297401051864</v>
      </c>
      <c r="P4" s="160">
        <v>0.9597297401051864</v>
      </c>
      <c r="Q4" s="162">
        <v>1.0</v>
      </c>
    </row>
    <row r="5">
      <c r="A5" s="54">
        <v>45651.95995021991</v>
      </c>
      <c r="B5" s="158">
        <v>1.0435999999999999</v>
      </c>
      <c r="C5" s="159">
        <v>201.70318129551555</v>
      </c>
      <c r="D5" s="160">
        <v>1.1170020533880902</v>
      </c>
      <c r="E5" s="160">
        <v>4.075680337293983</v>
      </c>
      <c r="F5" s="160">
        <v>1.3215958654101574</v>
      </c>
      <c r="G5" s="159">
        <v>94636.17728056728</v>
      </c>
      <c r="H5" s="159">
        <v>188.40117861249522</v>
      </c>
      <c r="I5" s="160">
        <v>0.8574357991567652</v>
      </c>
      <c r="J5" s="161">
        <v>201.04400153315447</v>
      </c>
      <c r="K5" s="160">
        <v>4.075680337293983</v>
      </c>
      <c r="L5" s="161">
        <v>201.70318129551555</v>
      </c>
      <c r="M5" s="160">
        <v>0.9582215408202378</v>
      </c>
      <c r="N5" s="160">
        <v>0.9582215408202378</v>
      </c>
      <c r="O5" s="160">
        <v>0.9582215408202378</v>
      </c>
      <c r="P5" s="160">
        <v>0.9582215408202378</v>
      </c>
      <c r="Q5" s="162">
        <v>1.0</v>
      </c>
    </row>
    <row r="6">
      <c r="A6" s="54">
        <v>45650.95995469908</v>
      </c>
      <c r="B6" s="158">
        <v>1.03932</v>
      </c>
      <c r="C6" s="159">
        <v>202.65217642304583</v>
      </c>
      <c r="D6" s="160">
        <v>1.1168583162217658</v>
      </c>
      <c r="E6" s="160">
        <v>4.087961359350345</v>
      </c>
      <c r="F6" s="160">
        <v>1.3457543040664857</v>
      </c>
      <c r="G6" s="159">
        <v>94964.52490089674</v>
      </c>
      <c r="H6" s="159">
        <v>189.40531308932765</v>
      </c>
      <c r="I6" s="160">
        <v>0.8614863564638418</v>
      </c>
      <c r="J6" s="161">
        <v>201.93761305468962</v>
      </c>
      <c r="K6" s="160">
        <v>4.087961359350345</v>
      </c>
      <c r="L6" s="161">
        <v>202.65217642304583</v>
      </c>
      <c r="M6" s="160">
        <v>0.9621675711041835</v>
      </c>
      <c r="N6" s="160">
        <v>0.9621675711041835</v>
      </c>
      <c r="O6" s="160">
        <v>0.9621675711041835</v>
      </c>
      <c r="P6" s="160">
        <v>0.9621675711041835</v>
      </c>
      <c r="Q6" s="162">
        <v>1.0</v>
      </c>
    </row>
    <row r="7">
      <c r="A7" s="54">
        <v>45649.95994940972</v>
      </c>
      <c r="B7" s="158">
        <v>1.0404200000000001</v>
      </c>
      <c r="C7" s="159">
        <v>197.52233713308084</v>
      </c>
      <c r="D7" s="160">
        <v>1.1167145790554414</v>
      </c>
      <c r="E7" s="160">
        <v>4.036869725687703</v>
      </c>
      <c r="F7" s="160">
        <v>1.3079541492222562</v>
      </c>
      <c r="G7" s="159">
        <v>91296.43687164798</v>
      </c>
      <c r="H7" s="159">
        <v>184.7355971626843</v>
      </c>
      <c r="I7" s="160">
        <v>0.8406893369985197</v>
      </c>
      <c r="J7" s="161">
        <v>196.82849233963205</v>
      </c>
      <c r="K7" s="160">
        <v>4.036869725687703</v>
      </c>
      <c r="L7" s="161">
        <v>197.52233713308084</v>
      </c>
      <c r="M7" s="160">
        <v>0.9611503046846465</v>
      </c>
      <c r="N7" s="160">
        <v>0.9611503046846465</v>
      </c>
      <c r="O7" s="160">
        <v>0.9611503046846465</v>
      </c>
      <c r="P7" s="160">
        <v>0.9611503046846465</v>
      </c>
      <c r="Q7" s="162">
        <v>1.0</v>
      </c>
    </row>
    <row r="8">
      <c r="A8" s="54">
        <v>45648.959744444444</v>
      </c>
      <c r="B8" s="158">
        <v>1.04307</v>
      </c>
      <c r="C8" s="159">
        <v>185.71017285512957</v>
      </c>
      <c r="D8" s="160">
        <v>1.116570841889117</v>
      </c>
      <c r="E8" s="160">
        <v>3.9492076274842534</v>
      </c>
      <c r="F8" s="160">
        <v>1.2677098812312213</v>
      </c>
      <c r="G8" s="159">
        <v>91515.60898118056</v>
      </c>
      <c r="H8" s="159">
        <v>173.70532179048388</v>
      </c>
      <c r="I8" s="160">
        <v>0.7826416252025272</v>
      </c>
      <c r="J8" s="161">
        <v>185.06786696961854</v>
      </c>
      <c r="K8" s="160">
        <v>3.9492076274842534</v>
      </c>
      <c r="L8" s="161">
        <v>185.71017285512957</v>
      </c>
      <c r="M8" s="160">
        <v>0.9587084280057907</v>
      </c>
      <c r="N8" s="160">
        <v>0.9587084280057907</v>
      </c>
      <c r="O8" s="160">
        <v>0.9587084280057907</v>
      </c>
      <c r="P8" s="160">
        <v>0.9587084280057907</v>
      </c>
      <c r="Q8" s="162">
        <v>1.0</v>
      </c>
    </row>
    <row r="9">
      <c r="A9" s="54">
        <v>45647.95994516204</v>
      </c>
      <c r="B9" s="158">
        <v>1.04286</v>
      </c>
      <c r="C9" s="159">
        <v>185.49538768386938</v>
      </c>
      <c r="D9" s="160">
        <v>1.1164271047227925</v>
      </c>
      <c r="E9" s="160">
        <v>3.958882304432043</v>
      </c>
      <c r="F9" s="160">
        <v>1.2838230186205533</v>
      </c>
      <c r="G9" s="159">
        <v>93101.7221199394</v>
      </c>
      <c r="H9" s="159">
        <v>173.61327503212323</v>
      </c>
      <c r="I9" s="160">
        <v>0.7840170300903286</v>
      </c>
      <c r="J9" s="161">
        <v>184.86655926970064</v>
      </c>
      <c r="K9" s="160">
        <v>3.958882304432043</v>
      </c>
      <c r="L9" s="161">
        <v>185.49538768386938</v>
      </c>
      <c r="M9" s="160">
        <v>0.9589014824616919</v>
      </c>
      <c r="N9" s="160">
        <v>0.9589014824616919</v>
      </c>
      <c r="O9" s="160">
        <v>0.9589014824616919</v>
      </c>
      <c r="P9" s="160">
        <v>0.9589014824616919</v>
      </c>
      <c r="Q9" s="162">
        <v>1.0</v>
      </c>
    </row>
    <row r="10">
      <c r="A10" s="54">
        <v>45646.9599599537</v>
      </c>
      <c r="B10" s="158">
        <v>1.04372</v>
      </c>
      <c r="C10" s="159">
        <v>196.92969378760586</v>
      </c>
      <c r="D10" s="160">
        <v>1.116283367556468</v>
      </c>
      <c r="E10" s="160">
        <v>4.028743341125972</v>
      </c>
      <c r="F10" s="160">
        <v>1.3259850090395413</v>
      </c>
      <c r="G10" s="159">
        <v>93320.14807611237</v>
      </c>
      <c r="H10" s="159">
        <v>184.46546966619402</v>
      </c>
      <c r="I10" s="160">
        <v>0.8405702678879393</v>
      </c>
      <c r="J10" s="161">
        <v>196.2662878933047</v>
      </c>
      <c r="K10" s="160">
        <v>4.028743341125972</v>
      </c>
      <c r="L10" s="161">
        <v>196.92969378760586</v>
      </c>
      <c r="M10" s="160">
        <v>0.9581113708657495</v>
      </c>
      <c r="N10" s="160">
        <v>0.9581113708657495</v>
      </c>
      <c r="O10" s="160">
        <v>0.9581113708657495</v>
      </c>
      <c r="P10" s="160">
        <v>0.9581113708657495</v>
      </c>
      <c r="Q10" s="162">
        <v>1.0</v>
      </c>
    </row>
    <row r="11">
      <c r="A11" s="54">
        <v>45645.95994693287</v>
      </c>
      <c r="B11" s="158">
        <v>1.03683</v>
      </c>
      <c r="C11" s="159">
        <v>202.0937279978396</v>
      </c>
      <c r="D11" s="160">
        <v>1.1161396303901436</v>
      </c>
      <c r="E11" s="160">
        <v>4.03733495365682</v>
      </c>
      <c r="F11" s="160">
        <v>1.3080550259575243</v>
      </c>
      <c r="G11" s="159">
        <v>94652.13253860325</v>
      </c>
      <c r="H11" s="159">
        <v>189.36132249259765</v>
      </c>
      <c r="I11" s="160">
        <v>0.8348427418188131</v>
      </c>
      <c r="J11" s="161">
        <v>201.42884561596404</v>
      </c>
      <c r="K11" s="160">
        <v>4.03733495365682</v>
      </c>
      <c r="L11" s="161">
        <v>202.0937279978396</v>
      </c>
      <c r="M11" s="160">
        <v>0.9644782654822874</v>
      </c>
      <c r="N11" s="160">
        <v>0.9644782654822874</v>
      </c>
      <c r="O11" s="160">
        <v>0.9644782654822874</v>
      </c>
      <c r="P11" s="160">
        <v>0.9644782654822874</v>
      </c>
      <c r="Q11" s="162">
        <v>1.0</v>
      </c>
    </row>
    <row r="12">
      <c r="A12" s="54">
        <v>45644.95995113426</v>
      </c>
      <c r="B12" s="158">
        <v>1.0480699999999998</v>
      </c>
      <c r="C12" s="159">
        <v>209.70414189891898</v>
      </c>
      <c r="D12" s="160">
        <v>1.1159958932238192</v>
      </c>
      <c r="E12" s="160">
        <v>4.012174759319512</v>
      </c>
      <c r="F12" s="160">
        <v>1.3296328064431482</v>
      </c>
      <c r="G12" s="159">
        <v>96438.44614386445</v>
      </c>
      <c r="H12" s="159">
        <v>196.90557882584181</v>
      </c>
      <c r="I12" s="160">
        <v>0.8936616829028597</v>
      </c>
      <c r="J12" s="161">
        <v>208.9980249410822</v>
      </c>
      <c r="K12" s="160">
        <v>4.012174759319512</v>
      </c>
      <c r="L12" s="161">
        <v>209.70414189891898</v>
      </c>
      <c r="M12" s="160">
        <v>0.9541347429083936</v>
      </c>
      <c r="N12" s="160">
        <v>0.9541347429083936</v>
      </c>
      <c r="O12" s="160">
        <v>0.9541347429083936</v>
      </c>
      <c r="P12" s="160">
        <v>0.9541347429083936</v>
      </c>
      <c r="Q12" s="162">
        <v>1.0</v>
      </c>
    </row>
    <row r="13">
      <c r="A13" s="54">
        <v>45643.959748877314</v>
      </c>
      <c r="B13" s="158">
        <v>1.049</v>
      </c>
      <c r="C13" s="159">
        <v>226.91492850333654</v>
      </c>
      <c r="D13" s="160">
        <v>1.0967514169918646</v>
      </c>
      <c r="E13" s="160">
        <v>4.075910390848427</v>
      </c>
      <c r="F13" s="160">
        <v>1.4019978876822403</v>
      </c>
      <c r="G13" s="159">
        <v>101055.76183984749</v>
      </c>
      <c r="H13" s="159">
        <v>213.33122020972354</v>
      </c>
      <c r="I13" s="160">
        <v>0.9840991420400381</v>
      </c>
      <c r="J13" s="161">
        <v>226.91492850333654</v>
      </c>
      <c r="K13" s="160">
        <v>4.075910390848427</v>
      </c>
      <c r="L13" s="161">
        <v>227.69461391801718</v>
      </c>
      <c r="M13" s="160">
        <v>0.9532888465204957</v>
      </c>
      <c r="N13" s="160">
        <v>0.9532888465204957</v>
      </c>
      <c r="O13" s="160">
        <v>0.9532888465204957</v>
      </c>
      <c r="P13" s="160">
        <v>0.9532888465204957</v>
      </c>
      <c r="Q13" s="162">
        <v>1.0</v>
      </c>
    </row>
    <row r="14">
      <c r="A14" s="54">
        <v>45642.95994767361</v>
      </c>
      <c r="B14" s="158">
        <v>1.05107</v>
      </c>
      <c r="C14" s="159">
        <v>220.30679212611912</v>
      </c>
      <c r="D14" s="160">
        <v>1.0941678578781902</v>
      </c>
      <c r="E14" s="160">
        <v>4.064943343450008</v>
      </c>
      <c r="F14" s="160">
        <v>1.4030316763817539</v>
      </c>
      <c r="G14" s="159">
        <v>100731.79557022844</v>
      </c>
      <c r="H14" s="159">
        <v>207.3746943590817</v>
      </c>
      <c r="I14" s="160">
        <v>1.02483183803172</v>
      </c>
      <c r="J14" s="161">
        <v>220.30679212611912</v>
      </c>
      <c r="K14" s="160">
        <v>4.064943343450008</v>
      </c>
      <c r="L14" s="161">
        <v>221.342641308381</v>
      </c>
      <c r="M14" s="160">
        <v>0.9514114188398489</v>
      </c>
      <c r="N14" s="160">
        <v>0.9514114188398489</v>
      </c>
      <c r="O14" s="160">
        <v>0.9514114188398489</v>
      </c>
      <c r="P14" s="160">
        <v>0.9514114188398489</v>
      </c>
      <c r="Q14" s="162">
        <v>1.0</v>
      </c>
    </row>
    <row r="15">
      <c r="A15" s="54">
        <v>45641.959958391206</v>
      </c>
      <c r="B15" s="158">
        <v>1.0502</v>
      </c>
      <c r="C15" s="159">
        <v>222.51045183193153</v>
      </c>
      <c r="D15" s="160">
        <v>1.0945621178264846</v>
      </c>
      <c r="E15" s="160">
        <v>4.049846464877649</v>
      </c>
      <c r="F15" s="160">
        <v>1.399806179982701</v>
      </c>
      <c r="G15" s="159">
        <v>98534.37303312926</v>
      </c>
      <c r="H15" s="159">
        <v>209.40127977723105</v>
      </c>
      <c r="I15" s="160">
        <v>1.0324807842688488</v>
      </c>
      <c r="J15" s="161">
        <v>222.51045183193153</v>
      </c>
      <c r="K15" s="160">
        <v>4.049846464877649</v>
      </c>
      <c r="L15" s="161">
        <v>222.92461520855983</v>
      </c>
      <c r="M15" s="160">
        <v>0.9536343003185139</v>
      </c>
      <c r="N15" s="160">
        <v>0.9536343003185139</v>
      </c>
      <c r="O15" s="160">
        <v>0.9536343003185139</v>
      </c>
      <c r="P15" s="160">
        <v>0.9536343003185139</v>
      </c>
      <c r="Q15" s="162">
        <v>1.0</v>
      </c>
    </row>
    <row r="16">
      <c r="A16" s="54">
        <v>45640.95994569444</v>
      </c>
      <c r="B16" s="158">
        <v>1.05026</v>
      </c>
      <c r="C16" s="159">
        <v>220.5984898977396</v>
      </c>
      <c r="D16" s="160">
        <v>1.0939836952525361</v>
      </c>
      <c r="E16" s="160">
        <v>4.027726467731799</v>
      </c>
      <c r="F16" s="160">
        <v>1.3990667020298975</v>
      </c>
      <c r="G16" s="159">
        <v>96296.69936967989</v>
      </c>
      <c r="H16" s="159">
        <v>207.5627082817588</v>
      </c>
      <c r="I16" s="160">
        <v>1.0240607087768745</v>
      </c>
      <c r="J16" s="161">
        <v>220.5984898977396</v>
      </c>
      <c r="K16" s="160">
        <v>4.027726467731799</v>
      </c>
      <c r="L16" s="161">
        <v>221.4235236988936</v>
      </c>
      <c r="M16" s="160">
        <v>0.9521451830975187</v>
      </c>
      <c r="N16" s="160">
        <v>0.9521451830975187</v>
      </c>
      <c r="O16" s="160">
        <v>0.9521451830975187</v>
      </c>
      <c r="P16" s="160">
        <v>0.9521451830975187</v>
      </c>
      <c r="Q16" s="162">
        <v>1.0</v>
      </c>
    </row>
    <row r="17">
      <c r="A17" s="54">
        <v>45639.9597603125</v>
      </c>
      <c r="B17" s="158">
        <v>1.04959</v>
      </c>
      <c r="C17" s="159">
        <v>226.40458655284445</v>
      </c>
      <c r="D17" s="160">
        <v>1.0940613589249055</v>
      </c>
      <c r="E17" s="160">
        <v>4.050772206290075</v>
      </c>
      <c r="F17" s="160">
        <v>1.4210349259532864</v>
      </c>
      <c r="G17" s="159">
        <v>96491.09813355691</v>
      </c>
      <c r="H17" s="159">
        <v>213.17633552148934</v>
      </c>
      <c r="I17" s="160">
        <v>1.0568317152411895</v>
      </c>
      <c r="J17" s="161">
        <v>226.5510818510085</v>
      </c>
      <c r="K17" s="160">
        <v>4.050772206290075</v>
      </c>
      <c r="L17" s="161">
        <v>227.41933516897072</v>
      </c>
      <c r="M17" s="160">
        <v>0.9527529797349441</v>
      </c>
      <c r="N17" s="160">
        <v>0.9527529797349441</v>
      </c>
      <c r="O17" s="160">
        <v>0.9527529797349441</v>
      </c>
      <c r="P17" s="160">
        <v>0.9527529797349441</v>
      </c>
      <c r="Q17" s="162">
        <v>1.0</v>
      </c>
    </row>
    <row r="18">
      <c r="A18" s="54">
        <v>45638.959962430556</v>
      </c>
      <c r="B18" s="158">
        <v>1.04721</v>
      </c>
      <c r="C18" s="159">
        <v>231.52418330611818</v>
      </c>
      <c r="D18" s="160">
        <v>1.0959552433451365</v>
      </c>
      <c r="E18" s="160">
        <v>4.06102882898368</v>
      </c>
      <c r="F18" s="160">
        <v>1.4292504892662217</v>
      </c>
      <c r="G18" s="159">
        <v>95661.6036611568</v>
      </c>
      <c r="H18" s="159">
        <v>217.97309995129916</v>
      </c>
      <c r="I18" s="160">
        <v>1.0855511311007344</v>
      </c>
      <c r="J18" s="161">
        <v>231.52418330611818</v>
      </c>
      <c r="K18" s="160">
        <v>4.06102882898368</v>
      </c>
      <c r="L18" s="161">
        <v>230.94</v>
      </c>
      <c r="M18" s="160">
        <v>0.9549183067388585</v>
      </c>
      <c r="N18" s="160">
        <v>0.9549183067388585</v>
      </c>
      <c r="O18" s="160">
        <v>0.9549183067388585</v>
      </c>
      <c r="P18" s="160">
        <v>0.9549183067388585</v>
      </c>
      <c r="Q18" s="162">
        <v>1.0</v>
      </c>
    </row>
    <row r="19">
      <c r="A19" s="54">
        <v>45637.959747824076</v>
      </c>
      <c r="B19" s="158">
        <v>1.04908</v>
      </c>
      <c r="C19" s="159">
        <v>231.40730926144812</v>
      </c>
      <c r="D19" s="160">
        <v>1.0935004252258247</v>
      </c>
      <c r="E19" s="160">
        <v>4.054209402524116</v>
      </c>
      <c r="F19" s="160">
        <v>1.4182804606383497</v>
      </c>
      <c r="G19" s="159">
        <v>96365.4599744538</v>
      </c>
      <c r="H19" s="159">
        <v>217.77918747855264</v>
      </c>
      <c r="I19" s="160">
        <v>1.0805277004613565</v>
      </c>
      <c r="J19" s="161">
        <v>231.40730926144812</v>
      </c>
      <c r="K19" s="160">
        <v>4.054209402524116</v>
      </c>
      <c r="L19" s="161">
        <v>231.12</v>
      </c>
      <c r="M19" s="160">
        <v>0.9532161512944676</v>
      </c>
      <c r="N19" s="160">
        <v>0.9532161512944676</v>
      </c>
      <c r="O19" s="160">
        <v>0.9532161512944676</v>
      </c>
      <c r="P19" s="160">
        <v>0.9532161512944676</v>
      </c>
      <c r="Q19" s="162">
        <v>1.0</v>
      </c>
    </row>
    <row r="20">
      <c r="A20" s="54">
        <v>45636.95972678241</v>
      </c>
      <c r="B20" s="158">
        <v>1.05074</v>
      </c>
      <c r="C20" s="159">
        <v>217.03995279517292</v>
      </c>
      <c r="D20" s="160">
        <v>1.0911585674342112</v>
      </c>
      <c r="E20" s="160">
        <v>3.988617545729676</v>
      </c>
      <c r="F20" s="160">
        <v>1.3743632798158536</v>
      </c>
      <c r="G20" s="159">
        <v>92084.426642176</v>
      </c>
      <c r="H20" s="159">
        <v>204.32610350800388</v>
      </c>
      <c r="I20" s="160">
        <v>1.0045682090717019</v>
      </c>
      <c r="J20" s="161">
        <v>217.03995279517292</v>
      </c>
      <c r="K20" s="160">
        <v>3.988617545729676</v>
      </c>
      <c r="L20" s="161">
        <v>216.84</v>
      </c>
      <c r="M20" s="160">
        <v>0.9517102232712183</v>
      </c>
      <c r="N20" s="160">
        <v>0.9517102232712183</v>
      </c>
      <c r="O20" s="160">
        <v>0.9517102232712183</v>
      </c>
      <c r="P20" s="160">
        <v>0.9517102232712183</v>
      </c>
      <c r="Q20" s="162">
        <v>1.0</v>
      </c>
    </row>
    <row r="21">
      <c r="A21" s="54">
        <v>45635.95996015046</v>
      </c>
      <c r="B21" s="158">
        <v>1.05921</v>
      </c>
      <c r="C21" s="159">
        <v>218.49154558586116</v>
      </c>
      <c r="D21" s="160">
        <v>1.0873921971252567</v>
      </c>
      <c r="E21" s="160">
        <v>3.950387552987604</v>
      </c>
      <c r="F21" s="160">
        <v>1.2903198324530265</v>
      </c>
      <c r="G21" s="159">
        <v>91408.1689749908</v>
      </c>
      <c r="H21" s="159">
        <v>205.82574749105464</v>
      </c>
      <c r="I21" s="160">
        <v>1.0292482132910377</v>
      </c>
      <c r="J21" s="161">
        <v>218.49154558586116</v>
      </c>
      <c r="K21" s="160">
        <v>3.950387552987604</v>
      </c>
      <c r="L21" s="161">
        <v>221.03</v>
      </c>
      <c r="M21" s="160">
        <v>0.9440998479999245</v>
      </c>
      <c r="N21" s="160">
        <v>0.9440998479999245</v>
      </c>
      <c r="O21" s="160">
        <v>0.9440998479999245</v>
      </c>
      <c r="P21" s="160">
        <v>0.9440998479999245</v>
      </c>
      <c r="Q21" s="162">
        <v>1.0</v>
      </c>
    </row>
    <row r="22">
      <c r="A22" s="54">
        <v>45634.0</v>
      </c>
      <c r="B22" s="158">
        <v>1.06</v>
      </c>
      <c r="C22" s="159">
        <v>237.42</v>
      </c>
      <c r="D22" s="160">
        <v>1.09</v>
      </c>
      <c r="E22" s="160">
        <v>3.98</v>
      </c>
      <c r="F22" s="160">
        <v>1.44</v>
      </c>
      <c r="G22" s="159">
        <v>94537.6</v>
      </c>
      <c r="H22" s="159">
        <v>223.66</v>
      </c>
      <c r="I22" s="160">
        <v>1.26</v>
      </c>
      <c r="J22" s="161">
        <v>237.42</v>
      </c>
      <c r="K22" s="160">
        <v>3.98</v>
      </c>
      <c r="L22" s="161">
        <v>238.9</v>
      </c>
      <c r="M22" s="160">
        <v>0.95</v>
      </c>
      <c r="N22" s="160">
        <v>0.95</v>
      </c>
      <c r="O22" s="160">
        <v>0.95</v>
      </c>
      <c r="P22" s="160">
        <v>0.95</v>
      </c>
      <c r="Q22" s="162">
        <v>1.0</v>
      </c>
    </row>
    <row r="23">
      <c r="A23" s="54">
        <v>45633.95969458333</v>
      </c>
      <c r="B23" s="158">
        <v>1.0568499999999998</v>
      </c>
      <c r="C23" s="159">
        <v>240.03851066849603</v>
      </c>
      <c r="D23" s="160">
        <v>1.0871731690622861</v>
      </c>
      <c r="E23" s="160">
        <v>3.9698727350144307</v>
      </c>
      <c r="F23" s="160">
        <v>1.4413846602651845</v>
      </c>
      <c r="G23" s="159">
        <v>94156.53772058478</v>
      </c>
      <c r="H23" s="159">
        <v>226.14322751573076</v>
      </c>
      <c r="I23" s="160">
        <v>1.3024270237025124</v>
      </c>
      <c r="J23" s="161">
        <v>240.03851066849603</v>
      </c>
      <c r="K23" s="160">
        <v>3.9698727350144307</v>
      </c>
      <c r="L23" s="161">
        <v>241.69</v>
      </c>
      <c r="M23" s="160">
        <v>0.9462080711548471</v>
      </c>
      <c r="N23" s="160">
        <v>0.9462080711548471</v>
      </c>
      <c r="O23" s="160">
        <v>0.9462080711548471</v>
      </c>
      <c r="P23" s="160">
        <v>0.9462080711548471</v>
      </c>
      <c r="Q23" s="162">
        <v>1.0</v>
      </c>
    </row>
    <row r="24">
      <c r="A24" s="54">
        <v>45632.95971648148</v>
      </c>
      <c r="B24" s="158">
        <v>1.0558299999999998</v>
      </c>
      <c r="C24" s="159">
        <v>238.96029663866344</v>
      </c>
      <c r="D24" s="160">
        <v>1.0870636550308008</v>
      </c>
      <c r="E24" s="160">
        <v>3.9831601678300492</v>
      </c>
      <c r="F24" s="160">
        <v>1.4616976976507112</v>
      </c>
      <c r="G24" s="159">
        <v>95188.21243950259</v>
      </c>
      <c r="H24" s="159">
        <v>225.25718155384868</v>
      </c>
      <c r="I24" s="160">
        <v>1.273424699051931</v>
      </c>
      <c r="J24" s="161">
        <v>238.96029663866344</v>
      </c>
      <c r="K24" s="160">
        <v>3.9831601678300492</v>
      </c>
      <c r="L24" s="161">
        <v>238.69</v>
      </c>
      <c r="M24" s="160">
        <v>0.9471221692886167</v>
      </c>
      <c r="N24" s="160">
        <v>0.9471221692886167</v>
      </c>
      <c r="O24" s="160">
        <v>0.9471221692886167</v>
      </c>
      <c r="P24" s="160">
        <v>0.9471221692886167</v>
      </c>
      <c r="Q24" s="162">
        <v>1.0</v>
      </c>
    </row>
    <row r="25">
      <c r="A25" s="54">
        <v>45631.95976150463</v>
      </c>
      <c r="B25" s="158">
        <v>1.0585799999999999</v>
      </c>
      <c r="C25" s="159">
        <v>235.8430822422491</v>
      </c>
      <c r="D25" s="160">
        <v>1.0869541409993155</v>
      </c>
      <c r="E25" s="160">
        <v>3.9458047573164055</v>
      </c>
      <c r="F25" s="160">
        <v>1.3783097424402597</v>
      </c>
      <c r="G25" s="159">
        <v>91817.18914961553</v>
      </c>
      <c r="H25" s="159">
        <v>222.31099208373485</v>
      </c>
      <c r="I25" s="160">
        <v>1.2752555309943512</v>
      </c>
      <c r="J25" s="161">
        <v>235.8430822422491</v>
      </c>
      <c r="K25" s="160">
        <v>3.9458047573164055</v>
      </c>
      <c r="L25" s="161">
        <v>238.91</v>
      </c>
      <c r="M25" s="160">
        <v>0.9446617166392716</v>
      </c>
      <c r="N25" s="160">
        <v>0.9446617166392716</v>
      </c>
      <c r="O25" s="160">
        <v>0.9446617166392716</v>
      </c>
      <c r="P25" s="160">
        <v>0.9446617166392716</v>
      </c>
      <c r="Q25" s="162">
        <v>1.0</v>
      </c>
    </row>
    <row r="26">
      <c r="A26" s="54">
        <v>45630.9597537963</v>
      </c>
      <c r="B26" s="158">
        <v>1.05154</v>
      </c>
      <c r="C26" s="159">
        <v>231.60359092378798</v>
      </c>
      <c r="D26" s="160">
        <v>1.0878606779816486</v>
      </c>
      <c r="E26" s="160">
        <v>3.9575955265610445</v>
      </c>
      <c r="F26" s="160">
        <v>1.4419066314862488</v>
      </c>
      <c r="G26" s="159">
        <v>93261.79675523519</v>
      </c>
      <c r="H26" s="159">
        <v>218.35291096867454</v>
      </c>
      <c r="I26" s="160">
        <v>1.2565475397987713</v>
      </c>
      <c r="J26" s="161">
        <v>231.60359092378798</v>
      </c>
      <c r="K26" s="160">
        <v>3.9575955265610445</v>
      </c>
      <c r="L26" s="161">
        <v>230.22</v>
      </c>
      <c r="M26" s="160">
        <v>0.9509861726610496</v>
      </c>
      <c r="N26" s="160">
        <v>0.9509861726610496</v>
      </c>
      <c r="O26" s="160">
        <v>0.9509861726610496</v>
      </c>
      <c r="P26" s="160">
        <v>0.9509861726610496</v>
      </c>
      <c r="Q26" s="162">
        <v>1.0</v>
      </c>
    </row>
    <row r="27">
      <c r="A27" s="54">
        <v>45629.95970944445</v>
      </c>
      <c r="B27" s="158">
        <v>1.05196</v>
      </c>
      <c r="C27" s="159">
        <v>238.50692041522493</v>
      </c>
      <c r="D27" s="160">
        <v>1.0873029112844739</v>
      </c>
      <c r="E27" s="160">
        <v>3.942108064945435</v>
      </c>
      <c r="F27" s="160">
        <v>1.405173819097361</v>
      </c>
      <c r="G27" s="159">
        <v>91292.47113958705</v>
      </c>
      <c r="H27" s="159">
        <v>225.01218677516255</v>
      </c>
      <c r="I27" s="160">
        <v>1.196452336590745</v>
      </c>
      <c r="J27" s="161">
        <v>238.50692041522493</v>
      </c>
      <c r="K27" s="160">
        <v>3.942108064945435</v>
      </c>
      <c r="L27" s="161">
        <v>237.35</v>
      </c>
      <c r="M27" s="160">
        <v>0.9506064869386669</v>
      </c>
      <c r="N27" s="160">
        <v>0.9506064869386669</v>
      </c>
      <c r="O27" s="160">
        <v>0.9506064869386669</v>
      </c>
      <c r="P27" s="160">
        <v>0.9506064869386669</v>
      </c>
      <c r="Q27" s="162">
        <v>1.0</v>
      </c>
    </row>
    <row r="28">
      <c r="A28" s="54">
        <v>45628.95971834491</v>
      </c>
      <c r="B28" s="158">
        <v>1.04934</v>
      </c>
      <c r="C28" s="159">
        <v>226.85100158194678</v>
      </c>
      <c r="D28" s="160">
        <v>1.0866255989048597</v>
      </c>
      <c r="E28" s="160">
        <v>3.9288314559627957</v>
      </c>
      <c r="F28" s="160">
        <v>1.369339988343168</v>
      </c>
      <c r="G28" s="159">
        <v>90873.82712943373</v>
      </c>
      <c r="H28" s="159">
        <v>213.93876150723312</v>
      </c>
      <c r="I28" s="160">
        <v>1.1163397945375189</v>
      </c>
      <c r="J28" s="161">
        <v>226.85100158194678</v>
      </c>
      <c r="K28" s="160">
        <v>3.9288314559627957</v>
      </c>
      <c r="L28" s="161">
        <v>228.05</v>
      </c>
      <c r="M28" s="160">
        <v>0.9529799683610651</v>
      </c>
      <c r="N28" s="160">
        <v>0.9529799683610651</v>
      </c>
      <c r="O28" s="160">
        <v>0.9529799683610651</v>
      </c>
      <c r="P28" s="160">
        <v>0.9529799683610651</v>
      </c>
      <c r="Q28" s="162">
        <v>1.0</v>
      </c>
    </row>
    <row r="29">
      <c r="A29" s="54">
        <v>45627.959708483795</v>
      </c>
      <c r="B29" s="158">
        <v>1.05758</v>
      </c>
      <c r="C29" s="159">
        <v>238.6616804402504</v>
      </c>
      <c r="D29" s="160">
        <v>1.0865160848733744</v>
      </c>
      <c r="E29" s="160">
        <v>3.910777435276764</v>
      </c>
      <c r="F29" s="160">
        <v>1.3770371137138657</v>
      </c>
      <c r="G29" s="159">
        <v>92291.03186520169</v>
      </c>
      <c r="H29" s="159">
        <v>225.45266551939335</v>
      </c>
      <c r="I29" s="160">
        <v>1.1822178936818017</v>
      </c>
      <c r="J29" s="161">
        <v>238.6616804402504</v>
      </c>
      <c r="K29" s="160">
        <v>3.910777435276764</v>
      </c>
      <c r="L29" s="161">
        <v>240.8</v>
      </c>
      <c r="M29" s="160">
        <v>0.9455549461979236</v>
      </c>
      <c r="N29" s="160">
        <v>0.9455549461979236</v>
      </c>
      <c r="O29" s="160">
        <v>0.9455549461979236</v>
      </c>
      <c r="P29" s="160">
        <v>0.9455549461979236</v>
      </c>
      <c r="Q29" s="162">
        <v>1.0</v>
      </c>
    </row>
    <row r="30">
      <c r="A30" s="54">
        <v>45626.95969166666</v>
      </c>
      <c r="B30" s="158">
        <v>1.0578800000000002</v>
      </c>
      <c r="C30" s="159">
        <v>238.690068816879</v>
      </c>
      <c r="D30" s="160">
        <v>1.086406570841889</v>
      </c>
      <c r="E30" s="160">
        <v>3.9019170416304303</v>
      </c>
      <c r="F30" s="160">
        <v>1.35</v>
      </c>
      <c r="G30" s="159">
        <v>91153.32845880439</v>
      </c>
      <c r="H30" s="159">
        <v>225.38708549173816</v>
      </c>
      <c r="I30" s="160">
        <v>1.09938745415359</v>
      </c>
      <c r="J30" s="161">
        <v>238.690068816879</v>
      </c>
      <c r="K30" s="160">
        <v>3.9019170416304303</v>
      </c>
      <c r="L30" s="161">
        <v>239.16</v>
      </c>
      <c r="M30" s="160">
        <v>0.9452868000151244</v>
      </c>
      <c r="N30" s="160">
        <v>0.9452868000151244</v>
      </c>
      <c r="O30" s="160">
        <v>0.9452868000151244</v>
      </c>
      <c r="P30" s="160">
        <v>0.9452868000151244</v>
      </c>
      <c r="Q30" s="162">
        <v>1.0</v>
      </c>
    </row>
    <row r="31">
      <c r="A31" s="54">
        <v>45625.959709375005</v>
      </c>
      <c r="B31" s="158">
        <v>1.05457</v>
      </c>
      <c r="C31" s="159">
        <v>245.616156348085</v>
      </c>
      <c r="D31" s="160">
        <v>1.0862970568104038</v>
      </c>
      <c r="E31" s="160">
        <v>3.9122296291379426</v>
      </c>
      <c r="F31" s="160">
        <v>1.35</v>
      </c>
      <c r="G31" s="159">
        <v>92360.22906018567</v>
      </c>
      <c r="H31" s="159">
        <v>231.95024512360487</v>
      </c>
      <c r="I31" s="160">
        <v>1.105350996140607</v>
      </c>
      <c r="J31" s="161">
        <v>245.616156348085</v>
      </c>
      <c r="K31" s="160">
        <v>3.9122296291379426</v>
      </c>
      <c r="L31" s="161">
        <v>244.64</v>
      </c>
      <c r="M31" s="160">
        <v>0.9482537906445281</v>
      </c>
      <c r="N31" s="160">
        <v>0.9482537906445281</v>
      </c>
      <c r="O31" s="160">
        <v>0.9482537906445281</v>
      </c>
      <c r="P31" s="160">
        <v>0.9482537906445281</v>
      </c>
      <c r="Q31" s="162">
        <v>1.0</v>
      </c>
    </row>
    <row r="32">
      <c r="A32" s="54">
        <v>45624.95972920139</v>
      </c>
      <c r="B32" s="158">
        <v>1.05526</v>
      </c>
      <c r="C32" s="159">
        <v>238.65510869359207</v>
      </c>
      <c r="D32" s="160">
        <v>1.0861875427789185</v>
      </c>
      <c r="E32" s="160">
        <v>3.894803176468358</v>
      </c>
      <c r="F32" s="160">
        <v>1.35</v>
      </c>
      <c r="G32" s="159">
        <v>90540.39379868469</v>
      </c>
      <c r="H32" s="159">
        <v>225.4206830544131</v>
      </c>
      <c r="I32" s="160">
        <v>1.0756401266038702</v>
      </c>
      <c r="J32" s="161">
        <v>238.65510869359207</v>
      </c>
      <c r="K32" s="160">
        <v>3.894803176468358</v>
      </c>
      <c r="L32" s="161">
        <v>239.44</v>
      </c>
      <c r="M32" s="160">
        <v>0.9476337585050129</v>
      </c>
      <c r="N32" s="160">
        <v>0.9476337585050129</v>
      </c>
      <c r="O32" s="160">
        <v>0.9476337585050129</v>
      </c>
      <c r="P32" s="160">
        <v>0.9476337585050129</v>
      </c>
      <c r="Q32" s="162">
        <v>1.0</v>
      </c>
    </row>
    <row r="33">
      <c r="A33" s="54">
        <v>45623.959693576384</v>
      </c>
      <c r="B33" s="158">
        <v>1.05672</v>
      </c>
      <c r="C33" s="159">
        <v>241.5556628056628</v>
      </c>
      <c r="D33" s="160">
        <v>1.0860780287474332</v>
      </c>
      <c r="E33" s="160">
        <v>3.897371110606404</v>
      </c>
      <c r="F33" s="160">
        <v>1.35</v>
      </c>
      <c r="G33" s="159">
        <v>91122.86565977742</v>
      </c>
      <c r="H33" s="159">
        <v>228.12882315088194</v>
      </c>
      <c r="I33" s="160">
        <v>1.0578866681807857</v>
      </c>
      <c r="J33" s="161">
        <v>241.5556628056628</v>
      </c>
      <c r="K33" s="160">
        <v>3.897371110606404</v>
      </c>
      <c r="L33" s="161">
        <v>244.02</v>
      </c>
      <c r="M33" s="160">
        <v>0.9463244757362403</v>
      </c>
      <c r="N33" s="160">
        <v>0.9463244757362403</v>
      </c>
      <c r="O33" s="160">
        <v>0.9463244757362403</v>
      </c>
      <c r="P33" s="160">
        <v>0.9463244757362403</v>
      </c>
      <c r="Q33" s="162">
        <v>1.0</v>
      </c>
    </row>
    <row r="34">
      <c r="A34" s="54">
        <v>45622.95969376157</v>
      </c>
      <c r="B34" s="158">
        <v>1.04883</v>
      </c>
      <c r="C34" s="159">
        <v>232.34480325696254</v>
      </c>
      <c r="D34" s="160">
        <v>1.085968514715948</v>
      </c>
      <c r="E34" s="160">
        <v>3.8805144780374325</v>
      </c>
      <c r="F34" s="160">
        <v>1.3</v>
      </c>
      <c r="G34" s="159">
        <v>87445.01157480241</v>
      </c>
      <c r="H34" s="159">
        <v>219.55211998131253</v>
      </c>
      <c r="I34" s="160">
        <v>0.9785665932515281</v>
      </c>
      <c r="J34" s="161">
        <v>232.34480325696254</v>
      </c>
      <c r="K34" s="160">
        <v>3.8805144780374325</v>
      </c>
      <c r="L34" s="161">
        <v>232.95</v>
      </c>
      <c r="M34" s="160">
        <v>0.9534433606971578</v>
      </c>
      <c r="N34" s="160">
        <v>0.9534433606971578</v>
      </c>
      <c r="O34" s="160">
        <v>0.9534433606971578</v>
      </c>
      <c r="P34" s="160">
        <v>0.9534433606971578</v>
      </c>
      <c r="Q34" s="162">
        <v>1.0</v>
      </c>
    </row>
    <row r="35">
      <c r="A35" s="54">
        <v>45621.95852775463</v>
      </c>
      <c r="B35" s="158">
        <v>1.04935</v>
      </c>
      <c r="C35" s="159">
        <v>238.1069423929099</v>
      </c>
      <c r="D35" s="160">
        <v>1.0857494866529773</v>
      </c>
      <c r="E35" s="160">
        <v>3.882784580931052</v>
      </c>
      <c r="F35" s="160">
        <v>1.3</v>
      </c>
      <c r="G35" s="159">
        <v>89575.70175823128</v>
      </c>
      <c r="H35" s="159">
        <v>225.2546528803545</v>
      </c>
      <c r="I35" s="160">
        <v>1.0206318196979083</v>
      </c>
      <c r="J35" s="161">
        <v>238.1069423929099</v>
      </c>
      <c r="K35" s="160">
        <v>3.882784580931052</v>
      </c>
      <c r="L35" s="161">
        <v>237.73</v>
      </c>
      <c r="M35" s="160">
        <v>0.9529708867394101</v>
      </c>
      <c r="N35" s="160">
        <v>0.9529708867394101</v>
      </c>
      <c r="O35" s="160">
        <v>0.9529708867394101</v>
      </c>
      <c r="P35" s="160">
        <v>0.9529708867394101</v>
      </c>
      <c r="Q35" s="162">
        <v>1.0</v>
      </c>
    </row>
    <row r="36">
      <c r="A36" s="54">
        <v>45620.95970215277</v>
      </c>
      <c r="B36" s="158">
        <v>1.04735</v>
      </c>
      <c r="C36" s="159">
        <v>256.1144125650451</v>
      </c>
      <c r="D36" s="160">
        <v>1.0857494866529773</v>
      </c>
      <c r="E36" s="160">
        <v>3.8912302477681764</v>
      </c>
      <c r="F36" s="160">
        <v>1.3</v>
      </c>
      <c r="G36" s="159">
        <v>93435.49369360767</v>
      </c>
      <c r="H36" s="159">
        <v>242.11705733517925</v>
      </c>
      <c r="I36" s="160">
        <v>1.0738148660906097</v>
      </c>
      <c r="J36" s="161">
        <v>256.1144125650451</v>
      </c>
      <c r="K36" s="160">
        <v>3.8912302477681764</v>
      </c>
      <c r="L36" s="161">
        <v>255.9</v>
      </c>
      <c r="M36" s="160">
        <v>0.9547906621473242</v>
      </c>
      <c r="N36" s="160">
        <v>0.9547906621473242</v>
      </c>
      <c r="O36" s="160">
        <v>0.9547906621473242</v>
      </c>
      <c r="P36" s="160">
        <v>0.9547906621473242</v>
      </c>
      <c r="Q36" s="162">
        <v>1.0</v>
      </c>
    </row>
    <row r="37">
      <c r="A37" s="54">
        <v>45619.959722326385</v>
      </c>
      <c r="B37" s="158">
        <v>1.04218</v>
      </c>
      <c r="C37" s="159">
        <v>258.81955132510694</v>
      </c>
      <c r="D37" s="160">
        <v>1.085639972621492</v>
      </c>
      <c r="E37" s="160">
        <v>3.950488399316816</v>
      </c>
      <c r="F37" s="160">
        <v>1.25</v>
      </c>
      <c r="G37" s="159">
        <v>93537.6152104243</v>
      </c>
      <c r="H37" s="159">
        <v>244.92915811088292</v>
      </c>
      <c r="I37" s="160">
        <v>1.094868448828417</v>
      </c>
      <c r="J37" s="161">
        <v>258.81955132510694</v>
      </c>
      <c r="K37" s="160">
        <v>3.950488399316816</v>
      </c>
      <c r="L37" s="161">
        <v>258.21</v>
      </c>
      <c r="M37" s="160">
        <v>0.9595271450229326</v>
      </c>
      <c r="N37" s="160">
        <v>0.9595271450229326</v>
      </c>
      <c r="O37" s="160">
        <v>0.9595271450229326</v>
      </c>
      <c r="P37" s="160">
        <v>0.9595271450229326</v>
      </c>
      <c r="Q37" s="162">
        <v>1.0</v>
      </c>
    </row>
    <row r="38">
      <c r="A38" s="54">
        <v>45618.95969873843</v>
      </c>
      <c r="B38" s="158">
        <v>1.04154</v>
      </c>
      <c r="C38" s="159">
        <v>258.71376999443135</v>
      </c>
      <c r="D38" s="155">
        <v>1.0855304585900067</v>
      </c>
      <c r="E38" s="160">
        <v>3.9165754555753987</v>
      </c>
      <c r="F38" s="160">
        <v>1.25</v>
      </c>
      <c r="G38" s="159">
        <v>94615.37637536725</v>
      </c>
      <c r="H38" s="159">
        <v>244.95825412370144</v>
      </c>
      <c r="I38" s="160">
        <v>1.0522783570482173</v>
      </c>
      <c r="J38" s="161">
        <v>258.71376999443135</v>
      </c>
      <c r="K38" s="160">
        <v>3.9165754555753987</v>
      </c>
      <c r="L38" s="161">
        <v>260.5</v>
      </c>
      <c r="M38" s="160">
        <v>0.960116750196824</v>
      </c>
      <c r="N38" s="160">
        <v>0.960116750196824</v>
      </c>
      <c r="O38" s="160">
        <v>0.960116750196824</v>
      </c>
      <c r="P38" s="160">
        <v>0.960116750196824</v>
      </c>
      <c r="Q38" s="162">
        <v>1.0</v>
      </c>
    </row>
    <row r="39">
      <c r="A39" s="54">
        <v>45617.95969671296</v>
      </c>
      <c r="B39" s="158">
        <v>1.04745</v>
      </c>
      <c r="C39" s="159">
        <v>260.76</v>
      </c>
      <c r="D39" s="160">
        <v>1.101185325690981</v>
      </c>
      <c r="E39" s="160">
        <v>3.878743615447038</v>
      </c>
      <c r="F39" s="160">
        <v>1.15</v>
      </c>
      <c r="G39" s="159">
        <v>93845.43943863669</v>
      </c>
      <c r="H39" s="159">
        <v>243.65980237720177</v>
      </c>
      <c r="I39" s="160">
        <v>1.0730154183970597</v>
      </c>
      <c r="J39" s="159">
        <v>260.76</v>
      </c>
      <c r="K39" s="160">
        <v>3.878743615447038</v>
      </c>
      <c r="L39" s="161">
        <v>261.98</v>
      </c>
      <c r="M39" s="160">
        <v>0.9546995083297533</v>
      </c>
      <c r="N39" s="160">
        <v>0.9546995083297533</v>
      </c>
      <c r="O39" s="160">
        <v>0.9546995083297533</v>
      </c>
      <c r="P39" s="160">
        <v>0.9546995083297533</v>
      </c>
      <c r="Q39" s="162">
        <v>1.0</v>
      </c>
    </row>
    <row r="40">
      <c r="A40" s="54">
        <v>45616.95970306713</v>
      </c>
      <c r="B40" s="158">
        <v>1.05406</v>
      </c>
      <c r="C40" s="159">
        <v>238.34</v>
      </c>
      <c r="D40" s="160">
        <v>1.0941440484242715</v>
      </c>
      <c r="E40" s="160">
        <v>3.7850976225262323</v>
      </c>
      <c r="F40" s="160">
        <v>1.15</v>
      </c>
      <c r="G40" s="159">
        <v>89312.70334705805</v>
      </c>
      <c r="H40" s="159">
        <v>224.49462079957496</v>
      </c>
      <c r="I40" s="160">
        <v>1.0227691023281407</v>
      </c>
      <c r="J40" s="159">
        <v>238.34</v>
      </c>
      <c r="K40" s="160">
        <v>3.7850976225262323</v>
      </c>
      <c r="L40" s="161">
        <v>238.93</v>
      </c>
      <c r="M40" s="160">
        <v>0.9487125970058631</v>
      </c>
      <c r="N40" s="160">
        <v>0.9487125970058631</v>
      </c>
      <c r="O40" s="160">
        <v>0.9487125970058631</v>
      </c>
      <c r="P40" s="160">
        <v>0.9487125970058631</v>
      </c>
      <c r="Q40" s="162">
        <v>1.0</v>
      </c>
    </row>
    <row r="41">
      <c r="A41" s="54">
        <v>45615.95971545139</v>
      </c>
      <c r="B41" s="158">
        <v>1.0595899999999998</v>
      </c>
      <c r="C41" s="159">
        <v>237.91</v>
      </c>
      <c r="D41" s="160">
        <v>1.083076024930142</v>
      </c>
      <c r="E41" s="160">
        <v>3.742022857897867</v>
      </c>
      <c r="F41" s="160">
        <v>1.15</v>
      </c>
      <c r="G41" s="159">
        <v>86935.29666191642</v>
      </c>
      <c r="H41" s="159">
        <v>222.76022801272194</v>
      </c>
      <c r="I41" s="160">
        <v>1.061844675770817</v>
      </c>
      <c r="J41" s="159">
        <v>237.91</v>
      </c>
      <c r="K41" s="160">
        <v>3.742022857897867</v>
      </c>
      <c r="L41" s="161">
        <v>238.95</v>
      </c>
      <c r="M41" s="160">
        <v>0.9437612661501148</v>
      </c>
      <c r="N41" s="160">
        <v>0.9437612661501148</v>
      </c>
      <c r="O41" s="160">
        <v>0.9437612661501148</v>
      </c>
      <c r="P41" s="160">
        <v>0.9437612661501148</v>
      </c>
      <c r="Q41" s="162">
        <v>1.0</v>
      </c>
    </row>
    <row r="42">
      <c r="A42" s="54">
        <v>45614.959698182865</v>
      </c>
      <c r="B42" s="158">
        <v>1.05899</v>
      </c>
      <c r="C42" s="159">
        <v>238.9</v>
      </c>
      <c r="D42" s="160">
        <v>1.0834036346877027</v>
      </c>
      <c r="E42" s="160">
        <v>3.7774860952416924</v>
      </c>
      <c r="F42" s="160">
        <v>1.15</v>
      </c>
      <c r="G42" s="159">
        <v>86194.74713642243</v>
      </c>
      <c r="H42" s="159">
        <v>226.20518607352284</v>
      </c>
      <c r="I42" s="160">
        <v>1.1081502186045191</v>
      </c>
      <c r="J42" s="159">
        <v>238.9</v>
      </c>
      <c r="K42" s="160">
        <v>3.7774860952416924</v>
      </c>
      <c r="L42" s="161">
        <v>239.5</v>
      </c>
      <c r="M42" s="160">
        <v>0.9442959801320124</v>
      </c>
      <c r="N42" s="160">
        <v>0.9442959801320124</v>
      </c>
      <c r="O42" s="160">
        <v>0.9442959801320124</v>
      </c>
      <c r="P42" s="160">
        <v>0.9442959801320124</v>
      </c>
      <c r="Q42" s="162">
        <v>1.0</v>
      </c>
    </row>
    <row r="43">
      <c r="A43" s="54">
        <v>45613.95968732639</v>
      </c>
      <c r="B43" s="158">
        <v>1.05402</v>
      </c>
      <c r="C43" s="159">
        <v>235.9</v>
      </c>
      <c r="D43" s="160">
        <v>1.0885242238613904</v>
      </c>
      <c r="E43" s="160">
        <v>3.7793874879034557</v>
      </c>
      <c r="F43" s="160">
        <v>1.15</v>
      </c>
      <c r="G43" s="159">
        <v>85077.38966053775</v>
      </c>
      <c r="H43" s="159">
        <v>222.79822963511128</v>
      </c>
      <c r="I43" s="160">
        <v>1.1077588660556725</v>
      </c>
      <c r="J43" s="159">
        <v>235.9</v>
      </c>
      <c r="K43" s="160">
        <v>3.7793874879034557</v>
      </c>
      <c r="L43" s="161">
        <v>236.31</v>
      </c>
      <c r="M43" s="160">
        <v>0.9487486005958141</v>
      </c>
      <c r="N43" s="160">
        <v>0.9487486005958141</v>
      </c>
      <c r="O43" s="160">
        <v>0.9487486005958141</v>
      </c>
      <c r="P43" s="160">
        <v>0.9487486005958141</v>
      </c>
      <c r="Q43" s="162">
        <v>1.0</v>
      </c>
    </row>
    <row r="44">
      <c r="A44" s="54">
        <v>45612.95968644676</v>
      </c>
      <c r="B44" s="158">
        <v>1.05419</v>
      </c>
      <c r="C44" s="159">
        <v>216.33</v>
      </c>
      <c r="D44" s="160">
        <v>1.0879737921094808</v>
      </c>
      <c r="E44" s="160">
        <v>3.745349510050371</v>
      </c>
      <c r="F44" s="160">
        <v>1.15</v>
      </c>
      <c r="G44" s="159">
        <v>85511.81491951166</v>
      </c>
      <c r="H44" s="159">
        <v>203.42191635283962</v>
      </c>
      <c r="I44" s="160">
        <v>1.0572762025820774</v>
      </c>
      <c r="J44" s="159">
        <v>216.33</v>
      </c>
      <c r="K44" s="160">
        <v>3.745349510050371</v>
      </c>
      <c r="L44" s="161">
        <v>216.63</v>
      </c>
      <c r="M44" s="160">
        <v>0.9485956042079702</v>
      </c>
      <c r="N44" s="160">
        <v>0.9485956042079702</v>
      </c>
      <c r="O44" s="160">
        <v>0.9485956042079702</v>
      </c>
      <c r="P44" s="160">
        <v>0.9485956042079702</v>
      </c>
      <c r="Q44" s="162">
        <v>1.0</v>
      </c>
    </row>
    <row r="45">
      <c r="A45" s="54">
        <v>45611.959703437504</v>
      </c>
      <c r="B45" s="158">
        <v>1.0548</v>
      </c>
      <c r="C45" s="159">
        <v>219.43</v>
      </c>
      <c r="D45" s="160">
        <v>1.08476386036961</v>
      </c>
      <c r="E45" s="160">
        <v>3.8061338642396665</v>
      </c>
      <c r="F45" s="160">
        <v>1.14</v>
      </c>
      <c r="G45" s="159">
        <v>85654.76575654153</v>
      </c>
      <c r="H45" s="159">
        <v>202.33147516116802</v>
      </c>
      <c r="I45" s="160">
        <v>1.0524080394387563</v>
      </c>
      <c r="J45" s="159">
        <v>219.43</v>
      </c>
      <c r="K45" s="160">
        <v>3.8061338642396665</v>
      </c>
      <c r="L45" s="161">
        <v>219.87</v>
      </c>
      <c r="M45" s="160">
        <v>0.9480470231323475</v>
      </c>
      <c r="N45" s="160">
        <v>0.9480470231323475</v>
      </c>
      <c r="O45" s="160">
        <v>0.9480470231323475</v>
      </c>
      <c r="P45" s="160">
        <v>0.9480470231323475</v>
      </c>
      <c r="Q45" s="162">
        <v>1.0</v>
      </c>
    </row>
    <row r="46">
      <c r="A46" s="54">
        <v>45610.959712951386</v>
      </c>
      <c r="B46" s="158">
        <v>1.05298</v>
      </c>
      <c r="C46" s="159">
        <v>208.28</v>
      </c>
      <c r="D46" s="160">
        <v>1.103428833558005</v>
      </c>
      <c r="E46" s="160">
        <v>3.78</v>
      </c>
      <c r="F46" s="160">
        <v>1.11</v>
      </c>
      <c r="G46" s="159">
        <v>83279.32171551215</v>
      </c>
      <c r="H46" s="159">
        <v>201.53887063382018</v>
      </c>
      <c r="I46" s="160">
        <v>1.0303994377860928</v>
      </c>
      <c r="J46" s="159">
        <v>208.28</v>
      </c>
      <c r="K46" s="160">
        <v>3.78</v>
      </c>
      <c r="L46" s="161">
        <v>209.23</v>
      </c>
      <c r="M46" s="160">
        <v>0.9496856540485099</v>
      </c>
      <c r="N46" s="160">
        <v>0.9496856540485099</v>
      </c>
      <c r="O46" s="160">
        <v>0.9496856540485099</v>
      </c>
      <c r="P46" s="160">
        <v>0.9496856540485099</v>
      </c>
      <c r="Q46" s="162">
        <v>1.0</v>
      </c>
    </row>
    <row r="47">
      <c r="A47" s="54">
        <v>45609.95971285879</v>
      </c>
      <c r="B47" s="158">
        <v>1.05635</v>
      </c>
      <c r="C47" s="159">
        <v>214.86</v>
      </c>
      <c r="D47" s="160">
        <v>1.1071559987312662</v>
      </c>
      <c r="E47" s="160">
        <v>3.73</v>
      </c>
      <c r="F47" s="160">
        <v>1.15</v>
      </c>
      <c r="G47" s="159">
        <v>84706.56367681167</v>
      </c>
      <c r="H47" s="159">
        <v>202.35269560278317</v>
      </c>
      <c r="I47" s="160">
        <v>1.099417806598192</v>
      </c>
      <c r="J47" s="159">
        <v>214.86</v>
      </c>
      <c r="K47" s="160">
        <v>3.73</v>
      </c>
      <c r="L47" s="161">
        <v>215.34</v>
      </c>
      <c r="M47" s="160">
        <v>0.9466559378993705</v>
      </c>
      <c r="N47" s="160">
        <v>0.9466559378993705</v>
      </c>
      <c r="O47" s="160">
        <v>0.9466559378993705</v>
      </c>
      <c r="P47" s="160">
        <v>0.9466559378993705</v>
      </c>
      <c r="Q47" s="162">
        <v>1.0</v>
      </c>
    </row>
    <row r="48">
      <c r="A48" s="54">
        <v>45608.95971019676</v>
      </c>
      <c r="B48" s="158">
        <v>1.0615999999999999</v>
      </c>
      <c r="C48" s="159">
        <v>211.59</v>
      </c>
      <c r="D48" s="160">
        <v>1.106979636824994</v>
      </c>
      <c r="E48" s="160">
        <v>3.71</v>
      </c>
      <c r="F48" s="160">
        <v>1.12</v>
      </c>
      <c r="G48" s="159">
        <v>83526.65787490581</v>
      </c>
      <c r="H48" s="159">
        <v>202.7776657874906</v>
      </c>
      <c r="I48" s="160">
        <v>1.1313771665410703</v>
      </c>
      <c r="J48" s="159">
        <v>211.59</v>
      </c>
      <c r="K48" s="160">
        <v>3.71</v>
      </c>
      <c r="L48" s="161">
        <v>212.27</v>
      </c>
      <c r="M48" s="160">
        <v>0.9419743782969104</v>
      </c>
      <c r="N48" s="160">
        <v>0.9419743782969104</v>
      </c>
      <c r="O48" s="160">
        <v>0.9419743782969104</v>
      </c>
      <c r="P48" s="160">
        <v>0.9419743782969104</v>
      </c>
      <c r="Q48" s="162">
        <v>1.0</v>
      </c>
    </row>
    <row r="49">
      <c r="A49" s="54">
        <v>45607.959716909725</v>
      </c>
      <c r="B49" s="158">
        <v>1.06549</v>
      </c>
      <c r="C49" s="159">
        <v>220.32</v>
      </c>
      <c r="D49" s="160">
        <v>1.1018573309015938</v>
      </c>
      <c r="E49" s="160">
        <v>3.65</v>
      </c>
      <c r="F49" s="160">
        <v>1.1</v>
      </c>
      <c r="G49" s="159">
        <v>82320.49650395592</v>
      </c>
      <c r="H49" s="159">
        <v>207.0578513172343</v>
      </c>
      <c r="I49" s="160">
        <v>1.1525776872612599</v>
      </c>
      <c r="J49" s="159">
        <v>220.32</v>
      </c>
      <c r="K49" s="160">
        <v>3.65</v>
      </c>
      <c r="L49" s="161">
        <v>221.68</v>
      </c>
      <c r="M49" s="160">
        <v>0.9385353217768351</v>
      </c>
      <c r="N49" s="160">
        <v>0.9385353217768351</v>
      </c>
      <c r="O49" s="160">
        <v>0.9385353217768351</v>
      </c>
      <c r="P49" s="160">
        <v>0.9385353217768351</v>
      </c>
      <c r="Q49" s="162">
        <v>1.0</v>
      </c>
    </row>
    <row r="50">
      <c r="A50" s="54">
        <v>45606.95971957176</v>
      </c>
      <c r="B50" s="158">
        <v>1.0711300000000001</v>
      </c>
      <c r="C50" s="159">
        <v>207.34</v>
      </c>
      <c r="D50" s="160">
        <v>1.1009313551661248</v>
      </c>
      <c r="E50" s="160">
        <v>3.56</v>
      </c>
      <c r="F50" s="160">
        <v>1.09</v>
      </c>
      <c r="G50" s="159">
        <v>74951.30817921259</v>
      </c>
      <c r="H50" s="159">
        <v>195.44858233827824</v>
      </c>
      <c r="I50" s="160">
        <v>1.1653114001101639</v>
      </c>
      <c r="J50" s="159">
        <v>207.34</v>
      </c>
      <c r="K50" s="160">
        <v>3.56</v>
      </c>
      <c r="L50" s="161">
        <v>208.14</v>
      </c>
      <c r="M50" s="160">
        <v>0.9335934947205287</v>
      </c>
      <c r="N50" s="160">
        <v>0.9335934947205287</v>
      </c>
      <c r="O50" s="160">
        <v>0.9335934947205287</v>
      </c>
      <c r="P50" s="160">
        <v>0.9335934947205287</v>
      </c>
      <c r="Q50" s="162">
        <v>1.0</v>
      </c>
    </row>
    <row r="51">
      <c r="A51" s="54">
        <v>45605.95971972222</v>
      </c>
      <c r="B51" s="158">
        <v>1.07205</v>
      </c>
      <c r="C51" s="159">
        <v>197.52</v>
      </c>
      <c r="D51" s="160">
        <v>1.0965625514410047</v>
      </c>
      <c r="E51" s="160">
        <v>3.55</v>
      </c>
      <c r="F51" s="160">
        <v>1.047640721680379</v>
      </c>
      <c r="G51" s="159">
        <v>71292.59506552867</v>
      </c>
      <c r="H51" s="159">
        <v>186.35886385896183</v>
      </c>
      <c r="I51" s="160">
        <v>1.1267198358285528</v>
      </c>
      <c r="J51" s="159">
        <v>197.52</v>
      </c>
      <c r="K51" s="160">
        <v>3.55</v>
      </c>
      <c r="L51" s="161">
        <v>196.95</v>
      </c>
      <c r="M51" s="160">
        <v>0.9327923137913344</v>
      </c>
      <c r="N51" s="160">
        <v>0.9327923137913344</v>
      </c>
      <c r="O51" s="160">
        <v>0.9327923137913344</v>
      </c>
      <c r="P51" s="160">
        <v>0.9327923137913344</v>
      </c>
      <c r="Q51" s="162">
        <v>1.0</v>
      </c>
    </row>
    <row r="52">
      <c r="A52" s="54">
        <v>45604.959753020834</v>
      </c>
      <c r="B52" s="158">
        <v>1.0713</v>
      </c>
      <c r="C52" s="159">
        <v>196.11</v>
      </c>
      <c r="D52" s="160">
        <v>1.0948276812107927</v>
      </c>
      <c r="E52" s="160">
        <v>3.53</v>
      </c>
      <c r="F52" s="160">
        <v>1.0288185108659573</v>
      </c>
      <c r="G52" s="159">
        <v>71380.6948660506</v>
      </c>
      <c r="H52" s="159">
        <v>185.31049192569776</v>
      </c>
      <c r="I52" s="160">
        <v>1.0218519555680017</v>
      </c>
      <c r="J52" s="159">
        <v>196.11</v>
      </c>
      <c r="K52" s="160">
        <v>3.53</v>
      </c>
      <c r="L52" s="161">
        <v>196.72</v>
      </c>
      <c r="M52" s="160">
        <v>0.9334453467749464</v>
      </c>
      <c r="N52" s="160">
        <v>0.9334453467749464</v>
      </c>
      <c r="O52" s="160">
        <v>0.9334453467749464</v>
      </c>
      <c r="P52" s="160">
        <v>0.9334453467749464</v>
      </c>
      <c r="Q52" s="162">
        <v>1.0</v>
      </c>
    </row>
    <row r="53">
      <c r="A53" s="54">
        <v>45603.959729305556</v>
      </c>
      <c r="B53" s="158">
        <v>1.07862</v>
      </c>
      <c r="C53" s="159">
        <v>192.4</v>
      </c>
      <c r="D53" s="160">
        <v>1.0903892068874634</v>
      </c>
      <c r="E53" s="160">
        <v>3.45</v>
      </c>
      <c r="F53" s="160">
        <v>0.979616868849697</v>
      </c>
      <c r="G53" s="159">
        <v>70315.55306780887</v>
      </c>
      <c r="H53" s="159">
        <v>181.09575197938108</v>
      </c>
      <c r="I53" s="160">
        <v>0.9599859079193785</v>
      </c>
      <c r="J53" s="159">
        <v>192.4</v>
      </c>
      <c r="K53" s="160">
        <v>3.45</v>
      </c>
      <c r="L53" s="161">
        <v>192.89</v>
      </c>
      <c r="M53" s="160">
        <v>0.9271105672062451</v>
      </c>
      <c r="N53" s="160">
        <v>0.9271105672062451</v>
      </c>
      <c r="O53" s="160">
        <v>0.9271105672062451</v>
      </c>
      <c r="P53" s="160">
        <v>0.9271105672062451</v>
      </c>
      <c r="Q53" s="162">
        <v>1.0</v>
      </c>
    </row>
    <row r="54">
      <c r="A54" s="54">
        <v>45602.95972903935</v>
      </c>
      <c r="B54" s="158">
        <v>1.07331</v>
      </c>
      <c r="C54" s="159">
        <v>182.34</v>
      </c>
      <c r="D54" s="160">
        <v>1.0895138144709438</v>
      </c>
      <c r="E54" s="160">
        <v>3.3</v>
      </c>
      <c r="F54" s="160">
        <v>0.9749672504710756</v>
      </c>
      <c r="G54" s="159">
        <v>70577.77993310413</v>
      </c>
      <c r="H54" s="159">
        <v>176.5616177991447</v>
      </c>
      <c r="I54" s="160">
        <v>0.9729248772488842</v>
      </c>
      <c r="J54" s="159">
        <v>182.34</v>
      </c>
      <c r="K54" s="160">
        <v>3.3</v>
      </c>
      <c r="L54" s="161">
        <v>183.02</v>
      </c>
      <c r="M54" s="160">
        <v>0.9316972729220822</v>
      </c>
      <c r="N54" s="160">
        <v>0.9316972729220822</v>
      </c>
      <c r="O54" s="160">
        <v>0.9316972729220822</v>
      </c>
      <c r="P54" s="160">
        <v>0.9316972729220822</v>
      </c>
      <c r="Q54" s="162">
        <v>1.0</v>
      </c>
    </row>
    <row r="55">
      <c r="A55" s="54">
        <v>45601.95970872685</v>
      </c>
      <c r="B55" s="158">
        <v>1.09326</v>
      </c>
      <c r="C55" s="159">
        <v>163.04</v>
      </c>
      <c r="D55" s="160">
        <v>1.0808766514399126</v>
      </c>
      <c r="E55" s="160">
        <v>3.2</v>
      </c>
      <c r="F55" s="160">
        <v>0.8811202650791066</v>
      </c>
      <c r="G55" s="159">
        <v>63078.09791815305</v>
      </c>
      <c r="H55" s="159">
        <v>152.55170773649454</v>
      </c>
      <c r="I55" s="160">
        <v>0.8387574776356952</v>
      </c>
      <c r="J55" s="159">
        <v>163.04</v>
      </c>
      <c r="K55" s="160">
        <v>3.2</v>
      </c>
      <c r="L55" s="161">
        <v>163.39</v>
      </c>
      <c r="M55" s="160">
        <v>0.9146954978687596</v>
      </c>
      <c r="N55" s="160">
        <v>0.9146954978687596</v>
      </c>
      <c r="O55" s="160">
        <v>0.9146954978687596</v>
      </c>
      <c r="P55" s="160">
        <v>0.9146954978687596</v>
      </c>
      <c r="Q55" s="162">
        <v>1.0</v>
      </c>
    </row>
    <row r="56">
      <c r="A56" s="54">
        <v>45600.95973141203</v>
      </c>
      <c r="B56" s="158">
        <v>1.08805</v>
      </c>
      <c r="C56" s="159">
        <v>151.08</v>
      </c>
      <c r="D56" s="160">
        <v>1.0787900464671116</v>
      </c>
      <c r="E56" s="160">
        <v>3.23</v>
      </c>
      <c r="F56" s="160">
        <v>0.8741335176693084</v>
      </c>
      <c r="G56" s="159">
        <v>62272.20069849731</v>
      </c>
      <c r="H56" s="159">
        <v>143.71668581407104</v>
      </c>
      <c r="I56" s="160">
        <v>0.7785855429437986</v>
      </c>
      <c r="J56" s="159">
        <v>151.08</v>
      </c>
      <c r="K56" s="160">
        <v>3.23</v>
      </c>
      <c r="L56" s="161">
        <v>151.65</v>
      </c>
      <c r="M56" s="160">
        <v>0.9190754101374018</v>
      </c>
      <c r="N56" s="160">
        <v>0.9190754101374018</v>
      </c>
      <c r="O56" s="160">
        <v>0.9190754101374018</v>
      </c>
      <c r="P56" s="160">
        <v>0.9190754101374018</v>
      </c>
      <c r="Q56" s="162">
        <v>1.0</v>
      </c>
    </row>
    <row r="57">
      <c r="A57" s="54">
        <v>45599.95846434028</v>
      </c>
      <c r="B57" s="158">
        <v>1.08806</v>
      </c>
      <c r="C57" s="159">
        <v>157.08</v>
      </c>
      <c r="D57" s="160">
        <v>1.0812663851603572</v>
      </c>
      <c r="E57" s="160">
        <v>3.25</v>
      </c>
      <c r="F57" s="160">
        <v>0.9002724782605298</v>
      </c>
      <c r="G57" s="159">
        <v>63585.64848445858</v>
      </c>
      <c r="H57" s="159">
        <v>150.14032314394427</v>
      </c>
      <c r="I57" s="160">
        <v>0.8158925059279819</v>
      </c>
      <c r="J57" s="159">
        <v>157.08</v>
      </c>
      <c r="K57" s="160">
        <v>3.25</v>
      </c>
      <c r="L57" s="161">
        <v>157.7</v>
      </c>
      <c r="M57" s="160">
        <v>0.9190669632189401</v>
      </c>
      <c r="N57" s="160">
        <v>0.9190669632189401</v>
      </c>
      <c r="O57" s="160">
        <v>0.9190669632189401</v>
      </c>
      <c r="P57" s="160">
        <v>0.9190669632189401</v>
      </c>
      <c r="Q57" s="162">
        <v>1.0</v>
      </c>
    </row>
    <row r="58">
      <c r="A58" s="54">
        <v>45598.95971284722</v>
      </c>
      <c r="B58" s="158">
        <v>1.0847200000000001</v>
      </c>
      <c r="C58" s="159">
        <v>160.04</v>
      </c>
      <c r="D58" s="160">
        <v>1.082482848758557</v>
      </c>
      <c r="E58" s="160">
        <v>3.25</v>
      </c>
      <c r="F58" s="160">
        <v>0.9130845329492255</v>
      </c>
      <c r="G58" s="159">
        <v>64029.510703222935</v>
      </c>
      <c r="H58" s="159">
        <v>152.91448484401505</v>
      </c>
      <c r="I58" s="160">
        <v>0.8601574599896746</v>
      </c>
      <c r="J58" s="159">
        <v>160.04</v>
      </c>
      <c r="K58" s="160">
        <v>3.25</v>
      </c>
      <c r="L58" s="161">
        <v>160.33</v>
      </c>
      <c r="M58" s="160">
        <v>0.9218968950512574</v>
      </c>
      <c r="N58" s="160">
        <v>0.9218968950512574</v>
      </c>
      <c r="O58" s="160">
        <v>0.9218968950512574</v>
      </c>
      <c r="P58" s="160">
        <v>0.9218968950512574</v>
      </c>
      <c r="Q58" s="162">
        <v>1.0</v>
      </c>
    </row>
    <row r="59">
      <c r="A59" s="54">
        <v>45597.95971527778</v>
      </c>
      <c r="B59" s="158">
        <v>1.08375</v>
      </c>
      <c r="C59" s="159">
        <v>160.97</v>
      </c>
      <c r="D59" s="160">
        <v>1.0826426145760237</v>
      </c>
      <c r="E59" s="160">
        <v>3.27</v>
      </c>
      <c r="F59" s="160">
        <v>0.916045247676204</v>
      </c>
      <c r="G59" s="159">
        <v>64100.175750865055</v>
      </c>
      <c r="H59" s="159">
        <v>152.90044752018454</v>
      </c>
      <c r="I59" s="160">
        <v>0.8868096885813149</v>
      </c>
      <c r="J59" s="159">
        <v>160.97</v>
      </c>
      <c r="K59" s="160">
        <v>3.27</v>
      </c>
      <c r="L59" s="161">
        <v>161.29</v>
      </c>
      <c r="M59" s="160">
        <v>0.922722029988466</v>
      </c>
      <c r="N59" s="160">
        <v>0.922722029988466</v>
      </c>
      <c r="O59" s="160">
        <v>0.922722029988466</v>
      </c>
      <c r="P59" s="160">
        <v>0.922722029988466</v>
      </c>
      <c r="Q59" s="162">
        <v>1.0</v>
      </c>
    </row>
    <row r="60">
      <c r="A60" s="54">
        <v>45596.95973184028</v>
      </c>
      <c r="B60" s="158">
        <v>1.08704</v>
      </c>
      <c r="C60" s="159">
        <v>163.16</v>
      </c>
      <c r="D60" s="160">
        <v>1.0811575792235604</v>
      </c>
      <c r="E60" s="160">
        <v>3.29</v>
      </c>
      <c r="F60" s="160">
        <v>0.8998868313661365</v>
      </c>
      <c r="G60" s="159">
        <v>64642.6357539741</v>
      </c>
      <c r="H60" s="159">
        <v>154.1342636885487</v>
      </c>
      <c r="I60" s="160">
        <v>0.8909607742125405</v>
      </c>
      <c r="J60" s="159">
        <v>163.16</v>
      </c>
      <c r="K60" s="160">
        <v>3.29</v>
      </c>
      <c r="L60" s="161">
        <v>163.61</v>
      </c>
      <c r="M60" s="160">
        <v>0.919929349425964</v>
      </c>
      <c r="N60" s="160">
        <v>0.919929349425964</v>
      </c>
      <c r="O60" s="160">
        <v>0.919929349425964</v>
      </c>
      <c r="P60" s="160">
        <v>0.919929349425964</v>
      </c>
      <c r="Q60" s="162">
        <v>1.0</v>
      </c>
    </row>
    <row r="61">
      <c r="A61" s="54">
        <v>45595.95979158564</v>
      </c>
      <c r="B61" s="158">
        <v>1.08574</v>
      </c>
      <c r="C61" s="159">
        <v>169.21</v>
      </c>
      <c r="D61" s="160">
        <v>1.0850448629833085</v>
      </c>
      <c r="E61" s="160">
        <v>3.3</v>
      </c>
      <c r="F61" s="160">
        <v>0.9427093785522777</v>
      </c>
      <c r="G61" s="159">
        <v>66746.20027815131</v>
      </c>
      <c r="H61" s="159">
        <v>161.33064085324295</v>
      </c>
      <c r="I61" s="160">
        <v>0.9321752905852231</v>
      </c>
      <c r="J61" s="159">
        <v>169.21</v>
      </c>
      <c r="K61" s="160">
        <v>3.3</v>
      </c>
      <c r="L61" s="161">
        <v>169.65</v>
      </c>
      <c r="M61" s="160">
        <v>0.92103081769116</v>
      </c>
      <c r="N61" s="160">
        <v>0.92103081769116</v>
      </c>
      <c r="O61" s="160">
        <v>0.92103081769116</v>
      </c>
      <c r="P61" s="160">
        <v>0.92103081769116</v>
      </c>
      <c r="Q61" s="162">
        <v>1.0</v>
      </c>
    </row>
    <row r="62">
      <c r="A62" s="54">
        <v>45594.95979533565</v>
      </c>
      <c r="B62" s="158">
        <v>1.08148</v>
      </c>
      <c r="C62" s="159">
        <v>172.92</v>
      </c>
      <c r="D62" s="160">
        <v>1.084999317341794</v>
      </c>
      <c r="E62" s="160">
        <v>3.28</v>
      </c>
      <c r="F62" s="160">
        <v>0.941491678351056</v>
      </c>
      <c r="G62" s="159">
        <v>67218.5810463439</v>
      </c>
      <c r="H62" s="159">
        <v>166.0403798498354</v>
      </c>
      <c r="I62" s="160">
        <v>0.9703092059030217</v>
      </c>
      <c r="J62" s="159">
        <v>172.92</v>
      </c>
      <c r="K62" s="160">
        <v>3.28</v>
      </c>
      <c r="L62" s="161">
        <v>173.58</v>
      </c>
      <c r="M62" s="160">
        <v>0.924658800902467</v>
      </c>
      <c r="N62" s="160">
        <v>0.924658800902467</v>
      </c>
      <c r="O62" s="160">
        <v>0.924658800902467</v>
      </c>
      <c r="P62" s="160">
        <v>0.924658800902467</v>
      </c>
      <c r="Q62" s="162">
        <v>1.0</v>
      </c>
    </row>
    <row r="63">
      <c r="A63" s="54">
        <v>45593.95974795139</v>
      </c>
      <c r="B63" s="158">
        <v>1.08125</v>
      </c>
      <c r="C63" s="159">
        <v>172.7</v>
      </c>
      <c r="D63" s="160">
        <v>1.0828011833235247</v>
      </c>
      <c r="E63" s="160">
        <v>3.26</v>
      </c>
      <c r="F63" s="160">
        <v>0.916299204251865</v>
      </c>
      <c r="G63" s="159">
        <v>64517.29970867052</v>
      </c>
      <c r="H63" s="159">
        <v>165.0294936416185</v>
      </c>
      <c r="I63" s="160">
        <v>0.9616462427745663</v>
      </c>
      <c r="J63" s="159">
        <v>172.7</v>
      </c>
      <c r="K63" s="160">
        <v>3.26</v>
      </c>
      <c r="L63" s="161">
        <v>173.09</v>
      </c>
      <c r="M63" s="160">
        <v>0.9248554913294798</v>
      </c>
      <c r="N63" s="160">
        <v>0.9248554913294798</v>
      </c>
      <c r="O63" s="160">
        <v>0.9248554913294798</v>
      </c>
      <c r="P63" s="160">
        <v>0.9248554913294798</v>
      </c>
      <c r="Q63" s="162">
        <v>1.0</v>
      </c>
    </row>
    <row r="64">
      <c r="A64" s="54">
        <v>45592.959701307875</v>
      </c>
      <c r="B64" s="158">
        <v>1.0798800000000002</v>
      </c>
      <c r="C64" s="159">
        <v>171.33</v>
      </c>
      <c r="D64" s="160">
        <v>1.0819496140782459</v>
      </c>
      <c r="E64" s="160">
        <v>3.23</v>
      </c>
      <c r="F64" s="160">
        <v>0.9103348925553532</v>
      </c>
      <c r="G64" s="159">
        <v>63038.040708226836</v>
      </c>
      <c r="H64" s="159">
        <v>164.404554209727</v>
      </c>
      <c r="I64" s="160">
        <v>0.9513094047486758</v>
      </c>
      <c r="J64" s="159">
        <v>171.33</v>
      </c>
      <c r="K64" s="160">
        <v>3.23</v>
      </c>
      <c r="L64" s="161">
        <v>171.47</v>
      </c>
      <c r="M64" s="160">
        <v>0.9260288180168166</v>
      </c>
      <c r="N64" s="160">
        <v>0.9260288180168166</v>
      </c>
      <c r="O64" s="160">
        <v>0.9260288180168166</v>
      </c>
      <c r="P64" s="160">
        <v>0.9260288180168166</v>
      </c>
      <c r="Q64" s="162">
        <v>1.0</v>
      </c>
    </row>
    <row r="65">
      <c r="A65" s="54">
        <v>45591.95969746528</v>
      </c>
      <c r="B65" s="158">
        <v>1.07985</v>
      </c>
      <c r="C65" s="159">
        <v>165.46</v>
      </c>
      <c r="D65" s="160">
        <v>1.081321337971315</v>
      </c>
      <c r="E65" s="160">
        <v>3.2</v>
      </c>
      <c r="F65" s="160">
        <v>0.9101283855619503</v>
      </c>
      <c r="G65" s="159">
        <v>62176.34917812659</v>
      </c>
      <c r="H65" s="159">
        <v>158.4296893087003</v>
      </c>
      <c r="I65" s="160">
        <v>0.9083854239014678</v>
      </c>
      <c r="J65" s="159">
        <v>165.46</v>
      </c>
      <c r="K65" s="160">
        <v>3.2</v>
      </c>
      <c r="L65" s="161">
        <v>165.66</v>
      </c>
      <c r="M65" s="160">
        <v>0.9260545446126777</v>
      </c>
      <c r="N65" s="160">
        <v>0.9260545446126777</v>
      </c>
      <c r="O65" s="160">
        <v>0.9260545446126777</v>
      </c>
      <c r="P65" s="160">
        <v>0.9260545446126777</v>
      </c>
      <c r="Q65" s="162">
        <v>1.0</v>
      </c>
    </row>
    <row r="66">
      <c r="A66" s="54">
        <v>45590.95972875</v>
      </c>
      <c r="B66" s="158">
        <v>1.07954</v>
      </c>
      <c r="C66" s="159">
        <v>159.13</v>
      </c>
      <c r="D66" s="160">
        <v>1.080687018494659</v>
      </c>
      <c r="E66" s="160">
        <v>3.29</v>
      </c>
      <c r="F66" s="160">
        <v>0.9035605830183486</v>
      </c>
      <c r="G66" s="159">
        <v>62052.550234359085</v>
      </c>
      <c r="H66" s="159">
        <v>155.46962595179428</v>
      </c>
      <c r="I66" s="160">
        <v>0.9017359245604609</v>
      </c>
      <c r="J66" s="159">
        <v>159.13</v>
      </c>
      <c r="K66" s="160">
        <v>3.29</v>
      </c>
      <c r="L66" s="161">
        <v>159.56</v>
      </c>
      <c r="M66" s="160">
        <v>0.9263204698297424</v>
      </c>
      <c r="N66" s="160">
        <v>0.9263204698297424</v>
      </c>
      <c r="O66" s="160">
        <v>0.9263204698297424</v>
      </c>
      <c r="P66" s="160">
        <v>0.9263204698297424</v>
      </c>
      <c r="Q66" s="162">
        <v>1.0</v>
      </c>
    </row>
    <row r="67">
      <c r="A67" s="54">
        <v>45589.95970097222</v>
      </c>
      <c r="B67" s="158">
        <v>1.08268</v>
      </c>
      <c r="C67" s="159">
        <v>171.96</v>
      </c>
      <c r="D67" s="160">
        <v>1.082533618119214</v>
      </c>
      <c r="E67" s="160">
        <v>3.22</v>
      </c>
      <c r="F67" s="160">
        <v>0.9227525841786279</v>
      </c>
      <c r="G67" s="159">
        <v>62956.44096131821</v>
      </c>
      <c r="H67" s="159">
        <v>164.26073262644547</v>
      </c>
      <c r="I67" s="160">
        <v>0.9556932796394132</v>
      </c>
      <c r="J67" s="159">
        <v>171.96</v>
      </c>
      <c r="K67" s="160">
        <v>3.22</v>
      </c>
      <c r="L67" s="161">
        <v>172.16</v>
      </c>
      <c r="M67" s="160">
        <v>0.9236339453947611</v>
      </c>
      <c r="N67" s="160">
        <v>0.9236339453947611</v>
      </c>
      <c r="O67" s="160">
        <v>0.9236339453947611</v>
      </c>
      <c r="P67" s="160">
        <v>0.9236339453947611</v>
      </c>
      <c r="Q67" s="162">
        <v>1.0</v>
      </c>
    </row>
    <row r="68">
      <c r="A68" s="54">
        <v>45588.95977119213</v>
      </c>
      <c r="B68" s="158">
        <v>1.0768199999999999</v>
      </c>
      <c r="C68" s="159">
        <v>165.49</v>
      </c>
      <c r="D68" s="160">
        <v>1.0813380771459884</v>
      </c>
      <c r="E68" s="160">
        <v>3.22</v>
      </c>
      <c r="F68" s="160">
        <v>0.9106108975206294</v>
      </c>
      <c r="G68" s="159">
        <v>61500.68308538103</v>
      </c>
      <c r="H68" s="159">
        <v>158.94512546200852</v>
      </c>
      <c r="I68" s="160">
        <v>0.9776285730205606</v>
      </c>
      <c r="J68" s="159">
        <v>165.49</v>
      </c>
      <c r="K68" s="160">
        <v>3.22</v>
      </c>
      <c r="L68" s="161">
        <v>165.94</v>
      </c>
      <c r="M68" s="160">
        <v>0.9286603146301147</v>
      </c>
      <c r="N68" s="160">
        <v>0.9286603146301147</v>
      </c>
      <c r="O68" s="160">
        <v>0.9286603146301147</v>
      </c>
      <c r="P68" s="160">
        <v>0.9286603146301147</v>
      </c>
      <c r="Q68" s="162">
        <v>1.0</v>
      </c>
    </row>
    <row r="69">
      <c r="A69" s="54">
        <v>45587.95969942129</v>
      </c>
      <c r="B69" s="158">
        <v>1.0803099999999999</v>
      </c>
      <c r="C69" s="159">
        <v>162.81</v>
      </c>
      <c r="D69" s="160">
        <v>1.0831552227949122</v>
      </c>
      <c r="E69" s="160">
        <v>3.22</v>
      </c>
      <c r="F69" s="160">
        <v>0.9358628343299238</v>
      </c>
      <c r="G69" s="159">
        <v>62376.026085105215</v>
      </c>
      <c r="H69" s="159">
        <v>155.04324684581277</v>
      </c>
      <c r="I69" s="160">
        <v>0.9130527348631413</v>
      </c>
      <c r="J69" s="159">
        <v>162.81</v>
      </c>
      <c r="K69" s="160">
        <v>3.22</v>
      </c>
      <c r="L69" s="161">
        <v>162.69</v>
      </c>
      <c r="M69" s="160">
        <v>0.9256602271570199</v>
      </c>
      <c r="N69" s="160">
        <v>0.9256602271570199</v>
      </c>
      <c r="O69" s="160">
        <v>0.9256602271570199</v>
      </c>
      <c r="P69" s="160">
        <v>0.9256602271570199</v>
      </c>
      <c r="Q69" s="162">
        <v>1.0</v>
      </c>
    </row>
    <row r="70">
      <c r="A70" s="54">
        <v>45586.95972115741</v>
      </c>
      <c r="B70" s="158">
        <v>1.0816400000000002</v>
      </c>
      <c r="C70" s="159">
        <v>161.22</v>
      </c>
      <c r="D70" s="160">
        <v>1.0837722703566375</v>
      </c>
      <c r="E70" s="160">
        <v>3.22</v>
      </c>
      <c r="F70" s="160">
        <v>0.9432052559238192</v>
      </c>
      <c r="G70" s="159">
        <v>62493.039208978946</v>
      </c>
      <c r="H70" s="159">
        <v>154.78540919344695</v>
      </c>
      <c r="I70" s="160">
        <v>0.9032210347250471</v>
      </c>
      <c r="J70" s="159">
        <v>161.22</v>
      </c>
      <c r="K70" s="160">
        <v>3.22</v>
      </c>
      <c r="L70" s="161">
        <v>161.7</v>
      </c>
      <c r="M70" s="160">
        <v>0.9245220221145667</v>
      </c>
      <c r="N70" s="160">
        <v>0.9245220221145667</v>
      </c>
      <c r="O70" s="160">
        <v>0.9245220221145667</v>
      </c>
      <c r="P70" s="160">
        <v>0.9245220221145667</v>
      </c>
      <c r="Q70" s="162">
        <v>1.0</v>
      </c>
    </row>
    <row r="71">
      <c r="A71" s="54">
        <v>45585.95975033565</v>
      </c>
      <c r="B71" s="158">
        <v>1.08656</v>
      </c>
      <c r="C71" s="159">
        <v>162.22</v>
      </c>
      <c r="D71" s="160">
        <v>1.0838718498852913</v>
      </c>
      <c r="E71" s="160">
        <v>3.16</v>
      </c>
      <c r="F71" s="160">
        <v>0.9446925083426594</v>
      </c>
      <c r="G71" s="159">
        <v>63140.486995656014</v>
      </c>
      <c r="H71" s="159">
        <v>150.66993079075246</v>
      </c>
      <c r="I71" s="160">
        <v>0.8663028272713886</v>
      </c>
      <c r="J71" s="159">
        <v>162.22</v>
      </c>
      <c r="K71" s="160">
        <v>3.16</v>
      </c>
      <c r="L71" s="161">
        <v>161.08</v>
      </c>
      <c r="M71" s="160">
        <v>0.9203357384773966</v>
      </c>
      <c r="N71" s="160">
        <v>0.9203357384773966</v>
      </c>
      <c r="O71" s="160">
        <v>0.9203357384773966</v>
      </c>
      <c r="P71" s="160">
        <v>0.9203357384773966</v>
      </c>
      <c r="Q71" s="162">
        <v>1.0</v>
      </c>
    </row>
    <row r="72">
      <c r="A72" s="54">
        <v>45584.959719363425</v>
      </c>
      <c r="B72" s="158">
        <v>1.08684</v>
      </c>
      <c r="C72" s="159">
        <v>153.53</v>
      </c>
      <c r="D72" s="160">
        <v>1.0795025045759035</v>
      </c>
      <c r="E72" s="160">
        <v>3.13</v>
      </c>
      <c r="F72" s="160">
        <v>0.9287321493098433</v>
      </c>
      <c r="G72" s="159">
        <v>62891.2258750138</v>
      </c>
      <c r="H72" s="159">
        <v>144.9061959442052</v>
      </c>
      <c r="I72" s="160">
        <v>0.8151429833278128</v>
      </c>
      <c r="J72" s="159">
        <v>153.53</v>
      </c>
      <c r="K72" s="160">
        <v>3.13</v>
      </c>
      <c r="L72" s="161">
        <v>153.38</v>
      </c>
      <c r="M72" s="160">
        <v>0.9200986345736263</v>
      </c>
      <c r="N72" s="160">
        <v>0.9200986345736263</v>
      </c>
      <c r="O72" s="160">
        <v>0.9200986345736263</v>
      </c>
      <c r="P72" s="160">
        <v>0.9200986345736263</v>
      </c>
      <c r="Q72" s="162">
        <v>1.0</v>
      </c>
    </row>
    <row r="73">
      <c r="A73" s="54">
        <v>45583.95974493056</v>
      </c>
      <c r="B73" s="158">
        <v>1.08696</v>
      </c>
      <c r="C73" s="159">
        <v>149.14</v>
      </c>
      <c r="D73" s="160">
        <v>1.078720102101699</v>
      </c>
      <c r="E73" s="160">
        <v>3.11</v>
      </c>
      <c r="F73" s="160">
        <v>0.922881628388984</v>
      </c>
      <c r="G73" s="159">
        <v>62875.68726540075</v>
      </c>
      <c r="H73" s="159">
        <v>141.7680779421506</v>
      </c>
      <c r="I73" s="160">
        <v>0.7908754691984986</v>
      </c>
      <c r="J73" s="159">
        <v>149.14</v>
      </c>
      <c r="K73" s="160">
        <v>3.11</v>
      </c>
      <c r="L73" s="161">
        <v>149.07</v>
      </c>
      <c r="M73" s="160">
        <v>0.9199970560094208</v>
      </c>
      <c r="N73" s="160">
        <v>0.9199970560094208</v>
      </c>
      <c r="O73" s="160">
        <v>0.9199970560094208</v>
      </c>
      <c r="P73" s="160">
        <v>0.9199970560094208</v>
      </c>
      <c r="Q73" s="162">
        <v>1.0</v>
      </c>
    </row>
    <row r="74">
      <c r="A74" s="54">
        <v>45582.959711944444</v>
      </c>
      <c r="B74" s="158">
        <v>1.08306</v>
      </c>
      <c r="C74" s="159">
        <v>144.65</v>
      </c>
      <c r="D74" s="160">
        <v>1.0785704545521408</v>
      </c>
      <c r="E74" s="160">
        <v>3.15</v>
      </c>
      <c r="F74" s="160">
        <v>0.9213629070321488</v>
      </c>
      <c r="G74" s="159">
        <v>61900.63564345466</v>
      </c>
      <c r="H74" s="159">
        <v>138.5852769006334</v>
      </c>
      <c r="I74" s="160">
        <v>0.7545103687699667</v>
      </c>
      <c r="J74" s="159">
        <v>144.65</v>
      </c>
      <c r="K74" s="160">
        <v>3.15</v>
      </c>
      <c r="L74" s="161">
        <v>144.4</v>
      </c>
      <c r="M74" s="160">
        <v>0.9233098812623494</v>
      </c>
      <c r="N74" s="160">
        <v>0.9233098812623494</v>
      </c>
      <c r="O74" s="160">
        <v>0.9233098812623494</v>
      </c>
      <c r="P74" s="160">
        <v>0.9233098812623494</v>
      </c>
      <c r="Q74" s="162">
        <v>1.0</v>
      </c>
    </row>
    <row r="75">
      <c r="A75" s="54">
        <v>45581.95972157407</v>
      </c>
      <c r="B75" s="158">
        <v>1.08587</v>
      </c>
      <c r="C75" s="159">
        <v>148.92</v>
      </c>
      <c r="D75" s="160">
        <v>1.0785727690384417</v>
      </c>
      <c r="E75" s="160">
        <v>3.12</v>
      </c>
      <c r="F75" s="160">
        <v>0.9205802691533767</v>
      </c>
      <c r="G75" s="159">
        <v>62186.54548887067</v>
      </c>
      <c r="H75" s="159">
        <v>141.68054186965293</v>
      </c>
      <c r="I75" s="160">
        <v>0.7885382228075184</v>
      </c>
      <c r="J75" s="159">
        <v>148.92</v>
      </c>
      <c r="K75" s="160">
        <v>3.12</v>
      </c>
      <c r="L75" s="161">
        <v>148.61</v>
      </c>
      <c r="M75" s="160">
        <v>0.9209205521839632</v>
      </c>
      <c r="N75" s="160">
        <v>0.9209205521839632</v>
      </c>
      <c r="O75" s="160">
        <v>0.9209205521839632</v>
      </c>
      <c r="P75" s="160">
        <v>0.9209205521839632</v>
      </c>
      <c r="Q75" s="162">
        <v>1.0</v>
      </c>
    </row>
    <row r="76">
      <c r="A76" s="54">
        <v>45580.95970835648</v>
      </c>
      <c r="B76" s="158">
        <v>1.0888699999999998</v>
      </c>
      <c r="C76" s="159">
        <v>148.99</v>
      </c>
      <c r="D76" s="160">
        <v>1.0793184506978861</v>
      </c>
      <c r="E76" s="160">
        <v>3.11</v>
      </c>
      <c r="F76" s="160">
        <v>0.9286964313285976</v>
      </c>
      <c r="G76" s="159">
        <v>60832.170507039424</v>
      </c>
      <c r="H76" s="159">
        <v>140.67638010047116</v>
      </c>
      <c r="I76" s="160">
        <v>0.8006740933261088</v>
      </c>
      <c r="J76" s="159">
        <v>148.99</v>
      </c>
      <c r="K76" s="160">
        <v>3.11</v>
      </c>
      <c r="L76" s="161">
        <v>148.62</v>
      </c>
      <c r="M76" s="160">
        <v>0.9183832780772729</v>
      </c>
      <c r="N76" s="160">
        <v>0.9183832780772729</v>
      </c>
      <c r="O76" s="160">
        <v>0.9183832780772729</v>
      </c>
      <c r="P76" s="160">
        <v>0.9183832780772729</v>
      </c>
      <c r="Q76" s="162">
        <v>1.0</v>
      </c>
    </row>
    <row r="77">
      <c r="A77" s="54">
        <v>45579.95971214121</v>
      </c>
      <c r="B77" s="158">
        <v>1.0905</v>
      </c>
      <c r="C77" s="159">
        <v>151.12</v>
      </c>
      <c r="D77" s="160">
        <v>1.080681287306657</v>
      </c>
      <c r="E77" s="160">
        <v>3.06</v>
      </c>
      <c r="F77" s="160">
        <v>0.9454484186319211</v>
      </c>
      <c r="G77" s="159">
        <v>60159.45323246217</v>
      </c>
      <c r="H77" s="159">
        <v>142.7389362677671</v>
      </c>
      <c r="I77" s="160">
        <v>0.7912242090784044</v>
      </c>
      <c r="J77" s="159">
        <v>151.12</v>
      </c>
      <c r="K77" s="160">
        <v>3.06</v>
      </c>
      <c r="L77" s="161">
        <v>150.89</v>
      </c>
      <c r="M77" s="160">
        <v>0.9170105456212746</v>
      </c>
      <c r="N77" s="160">
        <v>0.9170105456212746</v>
      </c>
      <c r="O77" s="160">
        <v>0.9170105456212746</v>
      </c>
      <c r="P77" s="160">
        <v>0.9170105456212746</v>
      </c>
      <c r="Q77" s="162">
        <v>1.0</v>
      </c>
    </row>
    <row r="78">
      <c r="A78" s="54">
        <v>45578.95969091435</v>
      </c>
      <c r="B78" s="158">
        <v>1.09374</v>
      </c>
      <c r="C78" s="159">
        <v>141.35</v>
      </c>
      <c r="D78" s="160">
        <v>1.0774402217096843</v>
      </c>
      <c r="E78" s="160">
        <v>3.04</v>
      </c>
      <c r="F78" s="160">
        <v>0.9070171882015691</v>
      </c>
      <c r="G78" s="159">
        <v>57239.97205003018</v>
      </c>
      <c r="H78" s="159">
        <v>134.33475048914732</v>
      </c>
      <c r="I78" s="160">
        <v>0.7219997439976595</v>
      </c>
      <c r="J78" s="159">
        <v>141.35</v>
      </c>
      <c r="K78" s="160">
        <v>3.04</v>
      </c>
      <c r="L78" s="161">
        <v>141.15</v>
      </c>
      <c r="M78" s="160">
        <v>0.9142940735458154</v>
      </c>
      <c r="N78" s="160">
        <v>0.9142940735458154</v>
      </c>
      <c r="O78" s="160">
        <v>0.9142940735458154</v>
      </c>
      <c r="P78" s="160">
        <v>0.9142940735458154</v>
      </c>
      <c r="Q78" s="162">
        <v>1.0</v>
      </c>
    </row>
    <row r="79">
      <c r="A79" s="54">
        <v>45577.959699733794</v>
      </c>
      <c r="B79" s="158">
        <v>1.09384</v>
      </c>
      <c r="C79" s="159">
        <v>140.12</v>
      </c>
      <c r="D79" s="160">
        <v>1.0778825132390109</v>
      </c>
      <c r="E79" s="160">
        <v>3.05</v>
      </c>
      <c r="F79" s="160">
        <v>0.9176571877829024</v>
      </c>
      <c r="G79" s="159">
        <v>57588.062221165805</v>
      </c>
      <c r="H79" s="159">
        <v>133.5673041761135</v>
      </c>
      <c r="I79" s="160">
        <v>0.7242101221385212</v>
      </c>
      <c r="J79" s="159">
        <v>140.12</v>
      </c>
      <c r="K79" s="160">
        <v>3.05</v>
      </c>
      <c r="L79" s="161">
        <v>139.81</v>
      </c>
      <c r="M79" s="160">
        <v>0.9142104878227164</v>
      </c>
      <c r="N79" s="160">
        <v>0.9142104878227164</v>
      </c>
      <c r="O79" s="160">
        <v>0.9142104878227164</v>
      </c>
      <c r="P79" s="160">
        <v>0.9142104878227164</v>
      </c>
      <c r="Q79" s="162">
        <v>1.0</v>
      </c>
    </row>
    <row r="80">
      <c r="A80" s="54">
        <v>45576.95972329861</v>
      </c>
      <c r="B80" s="158">
        <v>1.09342</v>
      </c>
      <c r="C80" s="159">
        <v>138.72</v>
      </c>
      <c r="D80" s="160">
        <v>1.075619065156232</v>
      </c>
      <c r="E80" s="160">
        <v>2.99</v>
      </c>
      <c r="F80" s="160">
        <v>0.910523041359237</v>
      </c>
      <c r="G80" s="159">
        <v>57303.36156280295</v>
      </c>
      <c r="H80" s="159">
        <v>133.241993012749</v>
      </c>
      <c r="I80" s="160">
        <v>0.719458213678184</v>
      </c>
      <c r="J80" s="159">
        <v>138.72</v>
      </c>
      <c r="K80" s="160">
        <v>2.99</v>
      </c>
      <c r="L80" s="161">
        <v>138.58</v>
      </c>
      <c r="M80" s="160">
        <v>0.9145616506008669</v>
      </c>
      <c r="N80" s="160">
        <v>0.9145616506008669</v>
      </c>
      <c r="O80" s="160">
        <v>0.9145616506008669</v>
      </c>
      <c r="P80" s="160">
        <v>0.9145616506008669</v>
      </c>
      <c r="Q80" s="162">
        <v>1.0</v>
      </c>
    </row>
    <row r="81">
      <c r="A81" s="54">
        <v>45575.95998314815</v>
      </c>
      <c r="B81" s="158">
        <v>1.0931300000000002</v>
      </c>
      <c r="C81" s="159">
        <v>132.23</v>
      </c>
      <c r="D81" s="160">
        <v>1.0730862749052839</v>
      </c>
      <c r="E81" s="160">
        <v>2.99</v>
      </c>
      <c r="F81" s="160">
        <v>0.8808436082369506</v>
      </c>
      <c r="G81" s="159">
        <v>55058.93936677247</v>
      </c>
      <c r="H81" s="159">
        <v>126.67794315406216</v>
      </c>
      <c r="I81" s="160">
        <v>0.6678894550510918</v>
      </c>
      <c r="J81" s="159">
        <v>132.23</v>
      </c>
      <c r="K81" s="160">
        <v>2.99</v>
      </c>
      <c r="L81" s="161">
        <v>132.34</v>
      </c>
      <c r="M81" s="160">
        <v>0.914804277624802</v>
      </c>
      <c r="N81" s="160">
        <v>0.914804277624802</v>
      </c>
      <c r="O81" s="160">
        <v>0.914804277624802</v>
      </c>
      <c r="P81" s="160">
        <v>0.914804277624802</v>
      </c>
      <c r="Q81" s="162">
        <v>1.0</v>
      </c>
    </row>
    <row r="82">
      <c r="A82" s="54">
        <v>45574.95970148148</v>
      </c>
      <c r="B82" s="158">
        <v>1.09404</v>
      </c>
      <c r="C82" s="159">
        <v>132.89</v>
      </c>
      <c r="D82" s="160">
        <v>1.0734942771935903</v>
      </c>
      <c r="E82" s="160">
        <v>3.04</v>
      </c>
      <c r="F82" s="160">
        <v>0.8865557159586113</v>
      </c>
      <c r="G82" s="159">
        <v>55588.600754999825</v>
      </c>
      <c r="H82" s="159">
        <v>127.73926913092758</v>
      </c>
      <c r="I82" s="160">
        <v>0.6640525026507258</v>
      </c>
      <c r="J82" s="159">
        <v>132.89</v>
      </c>
      <c r="K82" s="160">
        <v>3.04</v>
      </c>
      <c r="L82" s="161">
        <v>132.83</v>
      </c>
      <c r="M82" s="160">
        <v>0.9140433622171037</v>
      </c>
      <c r="N82" s="160">
        <v>0.9140433622171037</v>
      </c>
      <c r="O82" s="160">
        <v>0.9140433622171037</v>
      </c>
      <c r="P82" s="160">
        <v>0.9140433622171037</v>
      </c>
      <c r="Q82" s="162">
        <v>1.0</v>
      </c>
    </row>
    <row r="83">
      <c r="A83" s="54">
        <v>45573.95969959491</v>
      </c>
      <c r="B83" s="158">
        <v>1.0974300000000001</v>
      </c>
      <c r="C83" s="159">
        <v>136.81</v>
      </c>
      <c r="D83" s="160">
        <v>1.0747021182388388</v>
      </c>
      <c r="E83" s="160">
        <v>3.02</v>
      </c>
      <c r="F83" s="160">
        <v>0.9003821159611437</v>
      </c>
      <c r="G83" s="159">
        <v>56947.68139197944</v>
      </c>
      <c r="H83" s="159">
        <v>131.19027181688125</v>
      </c>
      <c r="I83" s="160">
        <v>0.6816015600083831</v>
      </c>
      <c r="J83" s="159">
        <v>136.81</v>
      </c>
      <c r="K83" s="160">
        <v>3.02</v>
      </c>
      <c r="L83" s="161">
        <v>136.61</v>
      </c>
      <c r="M83" s="160">
        <v>0.9112198500132126</v>
      </c>
      <c r="N83" s="160">
        <v>0.9112198500132126</v>
      </c>
      <c r="O83" s="160">
        <v>0.9112198500132126</v>
      </c>
      <c r="P83" s="160">
        <v>0.9112198500132126</v>
      </c>
      <c r="Q83" s="162">
        <v>1.0</v>
      </c>
    </row>
    <row r="84">
      <c r="A84" s="54">
        <v>45572.959725671295</v>
      </c>
      <c r="B84" s="158">
        <v>1.0970799999999998</v>
      </c>
      <c r="C84" s="159">
        <v>137.39</v>
      </c>
      <c r="D84" s="160">
        <v>1.0756082644364444</v>
      </c>
      <c r="E84" s="160">
        <v>3.04</v>
      </c>
      <c r="F84" s="160">
        <v>0.9098560776048639</v>
      </c>
      <c r="G84" s="159">
        <v>57617.607795238284</v>
      </c>
      <c r="H84" s="159">
        <v>133.76530426222337</v>
      </c>
      <c r="I84" s="160">
        <v>0.7180697852481133</v>
      </c>
      <c r="J84" s="159">
        <v>137.39</v>
      </c>
      <c r="K84" s="160">
        <v>3.04</v>
      </c>
      <c r="L84" s="161">
        <v>136.8</v>
      </c>
      <c r="M84" s="160">
        <v>0.9115105552922305</v>
      </c>
      <c r="N84" s="160">
        <v>0.9115105552922305</v>
      </c>
      <c r="O84" s="160">
        <v>0.9115105552922305</v>
      </c>
      <c r="P84" s="160">
        <v>0.9115105552922305</v>
      </c>
      <c r="Q84" s="162">
        <v>1.0</v>
      </c>
    </row>
    <row r="85">
      <c r="A85" s="54">
        <v>45571.95969950232</v>
      </c>
      <c r="B85" s="158">
        <v>1.0970799999999998</v>
      </c>
      <c r="C85" s="159">
        <v>139.17</v>
      </c>
      <c r="D85" s="160">
        <v>1.0749716033276038</v>
      </c>
      <c r="E85" s="160">
        <v>3.02</v>
      </c>
      <c r="F85" s="160">
        <v>0.8994364081122901</v>
      </c>
      <c r="G85" s="159">
        <v>56686.405062252765</v>
      </c>
      <c r="H85" s="159">
        <v>131.60991304664856</v>
      </c>
      <c r="I85" s="160">
        <v>0.7064731939406093</v>
      </c>
      <c r="J85" s="159">
        <v>139.17</v>
      </c>
      <c r="K85" s="160">
        <v>3.02</v>
      </c>
      <c r="L85" s="161">
        <v>139.04</v>
      </c>
      <c r="M85" s="160">
        <v>0.9114607069289243</v>
      </c>
      <c r="N85" s="160">
        <v>0.9114607069289243</v>
      </c>
      <c r="O85" s="160">
        <v>0.9114607069289243</v>
      </c>
      <c r="P85" s="160">
        <v>0.9114607069289243</v>
      </c>
      <c r="Q85" s="162">
        <v>1.0</v>
      </c>
    </row>
    <row r="86">
      <c r="A86" s="54">
        <v>45570.95972724537</v>
      </c>
      <c r="B86" s="158">
        <v>1.09776</v>
      </c>
      <c r="C86" s="159">
        <v>135.69</v>
      </c>
      <c r="D86" s="160">
        <v>1.0735783535263712</v>
      </c>
      <c r="E86" s="160">
        <v>3.01</v>
      </c>
      <c r="F86" s="160">
        <v>0.8848060410924181</v>
      </c>
      <c r="G86" s="159">
        <v>56352.980278020696</v>
      </c>
      <c r="H86" s="159">
        <v>129.06022263518437</v>
      </c>
      <c r="I86" s="160">
        <v>0.6934484768984113</v>
      </c>
      <c r="J86" s="159">
        <v>135.69</v>
      </c>
      <c r="K86" s="160">
        <v>3.01</v>
      </c>
      <c r="L86" s="161">
        <v>135.5</v>
      </c>
      <c r="M86" s="160">
        <v>0.9109459262498177</v>
      </c>
      <c r="N86" s="160">
        <v>0.9109459262498177</v>
      </c>
      <c r="O86" s="160">
        <v>0.9109459262498177</v>
      </c>
      <c r="P86" s="160">
        <v>0.9109459262498177</v>
      </c>
      <c r="Q86" s="162">
        <v>1.0</v>
      </c>
    </row>
    <row r="87">
      <c r="A87" s="54">
        <v>45569.959703472225</v>
      </c>
      <c r="B87" s="158">
        <v>1.09782</v>
      </c>
      <c r="C87" s="159">
        <v>135.88</v>
      </c>
      <c r="D87" s="160">
        <v>1.0750666150821462</v>
      </c>
      <c r="E87" s="160">
        <v>2.94</v>
      </c>
      <c r="F87" s="160">
        <v>0.9050392218597352</v>
      </c>
      <c r="G87" s="159">
        <v>56672.17979472327</v>
      </c>
      <c r="H87" s="159">
        <v>130.7092155952023</v>
      </c>
      <c r="I87" s="160">
        <v>0.7143611741027112</v>
      </c>
      <c r="J87" s="159">
        <v>135.88</v>
      </c>
      <c r="K87" s="160">
        <v>2.94</v>
      </c>
      <c r="L87" s="161">
        <v>135.7</v>
      </c>
      <c r="M87" s="160">
        <v>0.910721929273335</v>
      </c>
      <c r="N87" s="160">
        <v>0.910721929273335</v>
      </c>
      <c r="O87" s="160">
        <v>0.910721929273335</v>
      </c>
      <c r="P87" s="160">
        <v>0.910721929273335</v>
      </c>
      <c r="Q87" s="162">
        <v>1.0</v>
      </c>
    </row>
    <row r="88">
      <c r="A88" s="54">
        <v>45568.95970366898</v>
      </c>
      <c r="B88" s="158">
        <v>1.1032899999999999</v>
      </c>
      <c r="C88" s="159">
        <v>129.78</v>
      </c>
      <c r="D88" s="160">
        <v>1.071301618780307</v>
      </c>
      <c r="E88" s="160">
        <v>2.94</v>
      </c>
      <c r="F88" s="160">
        <v>0.8600161351768907</v>
      </c>
      <c r="G88" s="159">
        <v>55139.81167065477</v>
      </c>
      <c r="H88" s="159">
        <v>124.28804111376984</v>
      </c>
      <c r="I88" s="160">
        <v>0.6747788412732941</v>
      </c>
      <c r="J88" s="159">
        <v>129.78</v>
      </c>
      <c r="K88" s="160">
        <v>2.94</v>
      </c>
      <c r="L88" s="161">
        <v>129.55</v>
      </c>
      <c r="M88" s="160">
        <v>0.9063882242041911</v>
      </c>
      <c r="N88" s="160">
        <v>0.9063882242041911</v>
      </c>
      <c r="O88" s="160">
        <v>0.9063882242041911</v>
      </c>
      <c r="P88" s="160">
        <v>0.9063882242041911</v>
      </c>
      <c r="Q88" s="162">
        <v>1.0</v>
      </c>
    </row>
    <row r="89">
      <c r="A89" s="54">
        <v>45567.959719189814</v>
      </c>
      <c r="B89" s="158">
        <v>1.1049200000000001</v>
      </c>
      <c r="C89" s="159">
        <v>132.45</v>
      </c>
      <c r="D89" s="160">
        <v>1.0721019418275075</v>
      </c>
      <c r="E89" s="160">
        <v>2.96</v>
      </c>
      <c r="F89" s="160">
        <v>0.8675734883663613</v>
      </c>
      <c r="G89" s="159">
        <v>54871.488345357604</v>
      </c>
      <c r="H89" s="159">
        <v>127.02830607127662</v>
      </c>
      <c r="I89" s="160">
        <v>0.7006544704039974</v>
      </c>
      <c r="J89" s="159">
        <v>132.45</v>
      </c>
      <c r="K89" s="160">
        <v>2.96</v>
      </c>
      <c r="L89" s="161">
        <v>132.33</v>
      </c>
      <c r="M89" s="160">
        <v>0.9052149432882838</v>
      </c>
      <c r="N89" s="160">
        <v>0.9052149432882838</v>
      </c>
      <c r="O89" s="160">
        <v>0.9052149432882838</v>
      </c>
      <c r="P89" s="160">
        <v>0.9052149432882838</v>
      </c>
      <c r="Q89" s="162">
        <v>1.0</v>
      </c>
    </row>
    <row r="90">
      <c r="A90" s="54">
        <v>45566.959715694444</v>
      </c>
      <c r="B90" s="158">
        <v>1.10696</v>
      </c>
      <c r="C90" s="159">
        <v>136.75</v>
      </c>
      <c r="D90" s="160">
        <v>1.0742204651292706</v>
      </c>
      <c r="E90" s="160">
        <v>3.01</v>
      </c>
      <c r="F90" s="160">
        <v>0.895861547461445</v>
      </c>
      <c r="G90" s="159">
        <v>55330.12855929754</v>
      </c>
      <c r="H90" s="159">
        <v>132.16982546794827</v>
      </c>
      <c r="I90" s="160">
        <v>0.7280028185300282</v>
      </c>
      <c r="J90" s="159">
        <v>136.75</v>
      </c>
      <c r="K90" s="160">
        <v>3.01</v>
      </c>
      <c r="L90" s="161">
        <v>136.85</v>
      </c>
      <c r="M90" s="160">
        <v>0.9033750090337501</v>
      </c>
      <c r="N90" s="160">
        <v>0.9033750090337501</v>
      </c>
      <c r="O90" s="160">
        <v>0.9033750090337501</v>
      </c>
      <c r="P90" s="160">
        <v>0.9033750090337501</v>
      </c>
      <c r="Q90" s="162">
        <v>1.0</v>
      </c>
    </row>
    <row r="91">
      <c r="A91" s="54">
        <v>45565.959697199076</v>
      </c>
      <c r="B91" s="158">
        <v>1.11358</v>
      </c>
      <c r="C91" s="159">
        <v>143.26</v>
      </c>
      <c r="D91" s="160">
        <v>1.0769497461455129</v>
      </c>
      <c r="E91" s="160">
        <v>3.03</v>
      </c>
      <c r="F91" s="160">
        <v>0.9273176664810959</v>
      </c>
      <c r="G91" s="159">
        <v>57037.3465227387</v>
      </c>
      <c r="H91" s="159">
        <v>139.72508800919604</v>
      </c>
      <c r="I91" s="160">
        <v>0.8012069832602916</v>
      </c>
      <c r="J91" s="159">
        <v>143.26</v>
      </c>
      <c r="K91" s="160">
        <v>3.03</v>
      </c>
      <c r="L91" s="161">
        <v>143.27</v>
      </c>
      <c r="M91" s="160">
        <v>0.8980530210503628</v>
      </c>
      <c r="N91" s="160">
        <v>0.8980530210503628</v>
      </c>
      <c r="O91" s="160">
        <v>0.8980530210503628</v>
      </c>
      <c r="P91" s="160">
        <v>0.8980530210503628</v>
      </c>
      <c r="Q91" s="162">
        <v>1.0</v>
      </c>
    </row>
    <row r="92">
      <c r="A92" s="54">
        <v>45564.959704085646</v>
      </c>
      <c r="B92" s="158">
        <v>1.11605</v>
      </c>
      <c r="C92" s="159">
        <v>148.18</v>
      </c>
      <c r="D92" s="160">
        <v>1.0788812897802997</v>
      </c>
      <c r="E92" s="160">
        <v>3.02</v>
      </c>
      <c r="F92" s="160">
        <v>0.9508489427081018</v>
      </c>
      <c r="G92" s="159">
        <v>58998.458039201636</v>
      </c>
      <c r="H92" s="159">
        <v>143.33736159386535</v>
      </c>
      <c r="I92" s="160">
        <v>0.8356147203210665</v>
      </c>
      <c r="J92" s="159">
        <v>148.18</v>
      </c>
      <c r="K92" s="160">
        <v>3.02</v>
      </c>
      <c r="L92" s="161">
        <v>148.25</v>
      </c>
      <c r="M92" s="160">
        <v>0.8958325868061777</v>
      </c>
      <c r="N92" s="160">
        <v>0.8958325868061777</v>
      </c>
      <c r="O92" s="160">
        <v>0.8958325868061777</v>
      </c>
      <c r="P92" s="160">
        <v>0.8958325868061777</v>
      </c>
      <c r="Q92" s="162">
        <v>1.0</v>
      </c>
    </row>
    <row r="93">
      <c r="A93" s="54">
        <v>45563.95972828704</v>
      </c>
      <c r="B93" s="158">
        <v>1.11674</v>
      </c>
      <c r="C93" s="159">
        <v>146.05</v>
      </c>
      <c r="D93" s="160">
        <v>1.0780894935112162</v>
      </c>
      <c r="E93" s="160">
        <v>3.02</v>
      </c>
      <c r="F93" s="160">
        <v>0.9390316719765657</v>
      </c>
      <c r="G93" s="159">
        <v>58765.16481902681</v>
      </c>
      <c r="H93" s="159">
        <v>140.27942941060587</v>
      </c>
      <c r="I93" s="160">
        <v>0.8217669287390081</v>
      </c>
      <c r="J93" s="159">
        <v>146.05</v>
      </c>
      <c r="K93" s="160">
        <v>3.02</v>
      </c>
      <c r="L93" s="161">
        <v>146.19</v>
      </c>
      <c r="M93" s="160">
        <v>0.8954635814961405</v>
      </c>
      <c r="N93" s="160">
        <v>0.8954635814961405</v>
      </c>
      <c r="O93" s="160">
        <v>0.8954635814961405</v>
      </c>
      <c r="P93" s="160">
        <v>0.8954635814961405</v>
      </c>
      <c r="Q93" s="162">
        <v>1.0</v>
      </c>
    </row>
    <row r="94">
      <c r="A94" s="54">
        <v>45562.95970489584</v>
      </c>
      <c r="B94" s="158">
        <v>1.11663</v>
      </c>
      <c r="C94" s="159">
        <v>147.08</v>
      </c>
      <c r="D94" s="160">
        <v>1.0790307655842493</v>
      </c>
      <c r="E94" s="160">
        <v>2.99</v>
      </c>
      <c r="F94" s="160">
        <v>0.9537579606174705</v>
      </c>
      <c r="G94" s="159">
        <v>58880.56042981868</v>
      </c>
      <c r="H94" s="159">
        <v>141.11969554510858</v>
      </c>
      <c r="I94" s="160">
        <v>0.8415401835683906</v>
      </c>
      <c r="J94" s="159">
        <v>147.08</v>
      </c>
      <c r="K94" s="160">
        <v>2.99</v>
      </c>
      <c r="L94" s="161">
        <v>146.87</v>
      </c>
      <c r="M94" s="160">
        <v>0.8954555630176854</v>
      </c>
      <c r="N94" s="160">
        <v>0.8954555630176854</v>
      </c>
      <c r="O94" s="160">
        <v>0.8954555630176854</v>
      </c>
      <c r="P94" s="160">
        <v>0.8954555630176854</v>
      </c>
      <c r="Q94" s="162">
        <v>1.0</v>
      </c>
    </row>
    <row r="95">
      <c r="A95" s="54">
        <v>45561.95970836806</v>
      </c>
      <c r="B95" s="158">
        <v>1.1176199999999998</v>
      </c>
      <c r="C95" s="159">
        <v>144.88</v>
      </c>
      <c r="D95" s="160">
        <v>1.077323054351818</v>
      </c>
      <c r="E95" s="160">
        <v>2.93</v>
      </c>
      <c r="F95" s="160">
        <v>0.9327809750455944</v>
      </c>
      <c r="G95" s="159">
        <v>58128.27908703744</v>
      </c>
      <c r="H95" s="159">
        <v>139.16047527020257</v>
      </c>
      <c r="I95" s="160">
        <v>0.8348364469257749</v>
      </c>
      <c r="J95" s="159">
        <v>144.88</v>
      </c>
      <c r="K95" s="160">
        <v>2.93</v>
      </c>
      <c r="L95" s="161">
        <v>144.58</v>
      </c>
      <c r="M95" s="160">
        <v>0.8947104716913606</v>
      </c>
      <c r="N95" s="160">
        <v>0.8947104716913606</v>
      </c>
      <c r="O95" s="160">
        <v>0.8947104716913606</v>
      </c>
      <c r="P95" s="160">
        <v>0.8947104716913606</v>
      </c>
      <c r="Q95" s="162">
        <v>1.0</v>
      </c>
    </row>
    <row r="96">
      <c r="A96" s="54">
        <v>45560.959734351854</v>
      </c>
      <c r="B96" s="158">
        <v>1.11338</v>
      </c>
      <c r="C96" s="159">
        <v>137.34</v>
      </c>
      <c r="D96" s="160">
        <v>1.0774613456992541</v>
      </c>
      <c r="E96" s="160">
        <v>2.97</v>
      </c>
      <c r="F96" s="160">
        <v>0.9332365988959123</v>
      </c>
      <c r="G96" s="159">
        <v>56885.03883634665</v>
      </c>
      <c r="H96" s="159">
        <v>134.35446698820718</v>
      </c>
      <c r="I96" s="160">
        <v>0.7895167012457449</v>
      </c>
      <c r="J96" s="159">
        <v>137.34</v>
      </c>
      <c r="K96" s="160">
        <v>2.97</v>
      </c>
      <c r="L96" s="161">
        <v>137.58</v>
      </c>
      <c r="M96" s="160">
        <v>0.8981578781918285</v>
      </c>
      <c r="N96" s="160">
        <v>0.8981578781918285</v>
      </c>
      <c r="O96" s="160">
        <v>0.8981578781918285</v>
      </c>
      <c r="P96" s="160">
        <v>0.8981578781918285</v>
      </c>
      <c r="Q96" s="162">
        <v>1.0</v>
      </c>
    </row>
    <row r="97">
      <c r="A97" s="54">
        <v>45559.959709849536</v>
      </c>
      <c r="B97" s="158">
        <v>1.11793</v>
      </c>
      <c r="C97" s="159">
        <v>142.96</v>
      </c>
      <c r="D97" s="160">
        <v>1.077672560992025</v>
      </c>
      <c r="E97" s="160">
        <v>2.92</v>
      </c>
      <c r="F97" s="160">
        <v>0.9459095566327529</v>
      </c>
      <c r="G97" s="159">
        <v>57303.163890727585</v>
      </c>
      <c r="H97" s="159">
        <v>132.62652736282803</v>
      </c>
      <c r="I97" s="160">
        <v>0.7822602286348103</v>
      </c>
      <c r="J97" s="159">
        <v>142.96</v>
      </c>
      <c r="K97" s="160">
        <v>2.92</v>
      </c>
      <c r="L97" s="161">
        <v>142.67</v>
      </c>
      <c r="M97" s="160">
        <v>0.8945023883213767</v>
      </c>
      <c r="N97" s="160">
        <v>0.8945023883213767</v>
      </c>
      <c r="O97" s="160">
        <v>0.8945023883213767</v>
      </c>
      <c r="P97" s="160">
        <v>0.8945023883213767</v>
      </c>
      <c r="Q97" s="162">
        <v>1.0</v>
      </c>
    </row>
    <row r="98">
      <c r="A98" s="54">
        <v>45558.95970416667</v>
      </c>
      <c r="B98" s="158">
        <v>1.11124</v>
      </c>
      <c r="C98" s="159">
        <v>134.53</v>
      </c>
      <c r="D98" s="160">
        <v>1.0778227190306109</v>
      </c>
      <c r="E98" s="160">
        <v>2.93</v>
      </c>
      <c r="F98" s="160">
        <v>0.9540470049263242</v>
      </c>
      <c r="G98" s="159">
        <v>56934.82276236928</v>
      </c>
      <c r="H98" s="159">
        <v>129.64631666096722</v>
      </c>
      <c r="I98" s="160">
        <v>0.731331329529706</v>
      </c>
      <c r="J98" s="159">
        <v>134.53</v>
      </c>
      <c r="K98" s="160">
        <v>2.93</v>
      </c>
      <c r="L98" s="161">
        <v>134.57</v>
      </c>
      <c r="M98" s="160">
        <v>0.8999118086427529</v>
      </c>
      <c r="N98" s="160">
        <v>0.8999118086427529</v>
      </c>
      <c r="O98" s="160">
        <v>0.8999118086427529</v>
      </c>
      <c r="P98" s="160">
        <v>0.8999118086427529</v>
      </c>
      <c r="Q98" s="162">
        <v>1.0</v>
      </c>
    </row>
    <row r="99">
      <c r="A99" s="54">
        <v>45557.959708877315</v>
      </c>
      <c r="B99" s="158">
        <v>1.11617</v>
      </c>
      <c r="C99" s="159">
        <v>135.3</v>
      </c>
      <c r="D99" s="160">
        <v>1.0759380656632775</v>
      </c>
      <c r="E99" s="160">
        <v>2.93</v>
      </c>
      <c r="F99" s="160">
        <v>0.9300664631496547</v>
      </c>
      <c r="G99" s="159">
        <v>55957.044367010945</v>
      </c>
      <c r="H99" s="159">
        <v>127.14568646595664</v>
      </c>
      <c r="I99" s="160">
        <v>0.7253240413124681</v>
      </c>
      <c r="J99" s="159">
        <v>135.3</v>
      </c>
      <c r="K99" s="160">
        <v>2.93</v>
      </c>
      <c r="L99" s="161">
        <v>135.24</v>
      </c>
      <c r="M99" s="160">
        <v>0.8957603661868379</v>
      </c>
      <c r="N99" s="160">
        <v>0.8957603661868379</v>
      </c>
      <c r="O99" s="160">
        <v>0.8957603661868379</v>
      </c>
      <c r="P99" s="160">
        <v>0.8957603661868379</v>
      </c>
      <c r="Q99" s="162">
        <v>1.0</v>
      </c>
    </row>
    <row r="100">
      <c r="A100" s="54">
        <v>45556.95970445602</v>
      </c>
      <c r="B100" s="158">
        <v>1.11704</v>
      </c>
      <c r="C100" s="159">
        <v>139.27</v>
      </c>
      <c r="D100" s="160">
        <v>1.0761643959948273</v>
      </c>
      <c r="E100" s="160">
        <v>2.91</v>
      </c>
      <c r="F100" s="160">
        <v>0.9344477560837661</v>
      </c>
      <c r="G100" s="159">
        <v>56434.664917997565</v>
      </c>
      <c r="H100" s="159">
        <v>132.36470493446967</v>
      </c>
      <c r="I100" s="160">
        <v>0.7597489794456779</v>
      </c>
      <c r="J100" s="159">
        <v>139.27</v>
      </c>
      <c r="K100" s="160">
        <v>2.91</v>
      </c>
      <c r="L100" s="161">
        <v>139.23</v>
      </c>
      <c r="M100" s="160">
        <v>0.8952230895939268</v>
      </c>
      <c r="N100" s="160">
        <v>0.8952230895939268</v>
      </c>
      <c r="O100" s="160">
        <v>0.8952230895939268</v>
      </c>
      <c r="P100" s="160">
        <v>0.8952230895939268</v>
      </c>
      <c r="Q100" s="162">
        <v>1.0</v>
      </c>
    </row>
    <row r="101">
      <c r="A101" s="54">
        <v>45555.959695185185</v>
      </c>
      <c r="B101" s="158">
        <v>1.11704</v>
      </c>
      <c r="C101" s="159">
        <v>136.3</v>
      </c>
      <c r="D101" s="160">
        <v>1.0761076749717589</v>
      </c>
      <c r="E101" s="160">
        <v>2.88</v>
      </c>
      <c r="F101" s="160">
        <v>0.9331105066574528</v>
      </c>
      <c r="G101" s="159">
        <v>56361.09614558343</v>
      </c>
      <c r="H101" s="159">
        <v>131.8245103655698</v>
      </c>
      <c r="I101" s="160">
        <v>0.7568656235454186</v>
      </c>
      <c r="J101" s="159">
        <v>136.3</v>
      </c>
      <c r="K101" s="160">
        <v>2.88</v>
      </c>
      <c r="L101" s="161">
        <v>136.17</v>
      </c>
      <c r="M101" s="160">
        <v>0.8951269289985319</v>
      </c>
      <c r="N101" s="160">
        <v>0.8951269289985319</v>
      </c>
      <c r="O101" s="160">
        <v>0.8951269289985319</v>
      </c>
      <c r="P101" s="160">
        <v>0.8951269289985319</v>
      </c>
      <c r="Q101" s="162">
        <v>1.0</v>
      </c>
    </row>
    <row r="102">
      <c r="A102" s="54">
        <v>45554.959697858794</v>
      </c>
      <c r="B102" s="158">
        <v>1.11624</v>
      </c>
      <c r="C102" s="159">
        <v>132.6</v>
      </c>
      <c r="D102" s="160">
        <v>1.0742491146379651</v>
      </c>
      <c r="E102" s="160">
        <v>2.82</v>
      </c>
      <c r="F102" s="160">
        <v>0.9132856554986025</v>
      </c>
      <c r="G102" s="159">
        <v>56312.825464514164</v>
      </c>
      <c r="H102" s="159">
        <v>127.00614574187884</v>
      </c>
      <c r="I102" s="160">
        <v>0.7127627170271094</v>
      </c>
      <c r="J102" s="159">
        <v>132.6</v>
      </c>
      <c r="K102" s="160">
        <v>2.82</v>
      </c>
      <c r="L102" s="161">
        <v>132.68</v>
      </c>
      <c r="M102" s="160">
        <v>0.8958807403558439</v>
      </c>
      <c r="N102" s="160">
        <v>0.8958807403558439</v>
      </c>
      <c r="O102" s="160">
        <v>0.8958807403558439</v>
      </c>
      <c r="P102" s="160">
        <v>0.8958807403558439</v>
      </c>
      <c r="Q102" s="162">
        <v>1.0</v>
      </c>
    </row>
    <row r="103">
      <c r="A103" s="54">
        <v>45553.95970028936</v>
      </c>
      <c r="B103" s="158">
        <v>1.11175</v>
      </c>
      <c r="C103" s="159">
        <v>123.96</v>
      </c>
      <c r="D103" s="160">
        <v>1.07179735518504</v>
      </c>
      <c r="E103" s="160">
        <v>2.8</v>
      </c>
      <c r="F103" s="160">
        <v>0.8832460506020492</v>
      </c>
      <c r="G103" s="159">
        <v>54225.05490788716</v>
      </c>
      <c r="H103" s="159">
        <v>118.04704591249279</v>
      </c>
      <c r="I103" s="160">
        <v>0.6582559729418538</v>
      </c>
      <c r="J103" s="159">
        <v>123.96</v>
      </c>
      <c r="K103" s="160">
        <v>2.8</v>
      </c>
      <c r="L103" s="161">
        <v>123.81</v>
      </c>
      <c r="M103" s="160">
        <v>0.8995394358088659</v>
      </c>
      <c r="N103" s="160">
        <v>0.8995394358088659</v>
      </c>
      <c r="O103" s="160">
        <v>0.8995394358088659</v>
      </c>
      <c r="P103" s="160">
        <v>0.8995394358088659</v>
      </c>
      <c r="Q103" s="162">
        <v>1.0</v>
      </c>
    </row>
    <row r="104">
      <c r="A104" s="54">
        <v>45552.95968846064</v>
      </c>
      <c r="B104" s="158">
        <v>1.11155</v>
      </c>
      <c r="C104" s="159">
        <v>122.82</v>
      </c>
      <c r="D104" s="160">
        <v>1.0713786147320046</v>
      </c>
      <c r="E104" s="160">
        <v>2.8</v>
      </c>
      <c r="F104" s="160">
        <v>0.8801374792835828</v>
      </c>
      <c r="G104" s="159">
        <v>51722.76451694167</v>
      </c>
      <c r="H104" s="159">
        <v>119.2138088640167</v>
      </c>
      <c r="I104" s="160">
        <v>0.6624709841109891</v>
      </c>
      <c r="J104" s="159">
        <v>122.82</v>
      </c>
      <c r="K104" s="160">
        <v>2.8</v>
      </c>
      <c r="L104" s="161">
        <v>122.76</v>
      </c>
      <c r="M104" s="160">
        <v>0.8997174887085454</v>
      </c>
      <c r="N104" s="160">
        <v>0.8997174887085454</v>
      </c>
      <c r="O104" s="160">
        <v>0.8997174887085454</v>
      </c>
      <c r="P104" s="160">
        <v>0.8997174887085454</v>
      </c>
      <c r="Q104" s="162">
        <v>1.0</v>
      </c>
    </row>
    <row r="105">
      <c r="A105" s="54">
        <v>45551.95971053241</v>
      </c>
      <c r="B105" s="158">
        <v>1.11323</v>
      </c>
      <c r="C105" s="159">
        <v>122.93</v>
      </c>
      <c r="D105" s="160">
        <v>1.0686883788994204</v>
      </c>
      <c r="E105" s="160">
        <v>2.81</v>
      </c>
      <c r="F105" s="160">
        <v>0.8533682895153019</v>
      </c>
      <c r="G105" s="159">
        <v>51761.40851067652</v>
      </c>
      <c r="H105" s="159">
        <v>117.33405797752405</v>
      </c>
      <c r="I105" s="160">
        <v>0.6542818386798299</v>
      </c>
      <c r="J105" s="159">
        <v>122.93</v>
      </c>
      <c r="K105" s="160">
        <v>2.81</v>
      </c>
      <c r="L105" s="161">
        <v>122.98</v>
      </c>
      <c r="M105" s="160">
        <v>0.8983192446931789</v>
      </c>
      <c r="N105" s="160">
        <v>0.8983192446931789</v>
      </c>
      <c r="O105" s="160">
        <v>0.8983192446931789</v>
      </c>
      <c r="P105" s="160">
        <v>0.8983192446931789</v>
      </c>
      <c r="Q105" s="162">
        <v>1.0</v>
      </c>
    </row>
    <row r="106">
      <c r="A106" s="54">
        <v>45550.95970518519</v>
      </c>
      <c r="B106" s="158">
        <v>1.10768</v>
      </c>
      <c r="C106" s="159">
        <v>122.56</v>
      </c>
      <c r="D106" s="160">
        <v>1.0707056904330379</v>
      </c>
      <c r="E106" s="160">
        <v>2.85</v>
      </c>
      <c r="F106" s="160">
        <v>0.8783301212401967</v>
      </c>
      <c r="G106" s="159">
        <v>53797.147377922185</v>
      </c>
      <c r="H106" s="159">
        <v>119.25343442548966</v>
      </c>
      <c r="I106" s="160">
        <v>0.6656647711887353</v>
      </c>
      <c r="J106" s="159">
        <v>122.56</v>
      </c>
      <c r="K106" s="160">
        <v>2.85</v>
      </c>
      <c r="L106" s="161">
        <v>122.6</v>
      </c>
      <c r="M106" s="160">
        <v>0.9026085386767758</v>
      </c>
      <c r="N106" s="160">
        <v>0.9026085386767758</v>
      </c>
      <c r="O106" s="160">
        <v>0.9026085386767758</v>
      </c>
      <c r="P106" s="160">
        <v>0.9026085386767758</v>
      </c>
      <c r="Q106" s="162">
        <v>1.0</v>
      </c>
    </row>
    <row r="107">
      <c r="A107" s="54">
        <v>45549.95970892361</v>
      </c>
      <c r="B107" s="158">
        <v>1.10819</v>
      </c>
      <c r="C107" s="159">
        <v>128.53</v>
      </c>
      <c r="D107" s="160">
        <v>1.0720987668308992</v>
      </c>
      <c r="E107" s="160">
        <v>2.87</v>
      </c>
      <c r="F107" s="160">
        <v>0.895175127814161</v>
      </c>
      <c r="G107" s="159">
        <v>54134.761349588065</v>
      </c>
      <c r="H107" s="159">
        <v>123.67085969012535</v>
      </c>
      <c r="I107" s="160">
        <v>0.6958554038567394</v>
      </c>
      <c r="J107" s="159">
        <v>128.53</v>
      </c>
      <c r="K107" s="160">
        <v>2.87</v>
      </c>
      <c r="L107" s="161">
        <v>128.41</v>
      </c>
      <c r="M107" s="160">
        <v>0.9023723368736408</v>
      </c>
      <c r="N107" s="160">
        <v>0.9023723368736408</v>
      </c>
      <c r="O107" s="160">
        <v>0.9023723368736408</v>
      </c>
      <c r="P107" s="160">
        <v>0.9023723368736408</v>
      </c>
      <c r="Q107" s="162">
        <v>1.0</v>
      </c>
    </row>
    <row r="108">
      <c r="A108" s="54">
        <v>45548.959696377315</v>
      </c>
      <c r="B108" s="158">
        <v>1.10825</v>
      </c>
      <c r="C108" s="159">
        <v>130.02</v>
      </c>
      <c r="D108" s="160">
        <v>1.07324812214363</v>
      </c>
      <c r="E108" s="160">
        <v>2.84</v>
      </c>
      <c r="F108" s="160">
        <v>0.911321949012488</v>
      </c>
      <c r="G108" s="159">
        <v>54335.72552062656</v>
      </c>
      <c r="H108" s="159">
        <v>125.35351174793375</v>
      </c>
      <c r="I108" s="160">
        <v>0.7055347024217707</v>
      </c>
      <c r="J108" s="159">
        <v>130.02</v>
      </c>
      <c r="K108" s="160">
        <v>2.84</v>
      </c>
      <c r="L108" s="161">
        <v>129.88</v>
      </c>
      <c r="M108" s="160">
        <v>0.9022990579997835</v>
      </c>
      <c r="N108" s="160">
        <v>0.9022990579997835</v>
      </c>
      <c r="O108" s="160">
        <v>0.9022990579997835</v>
      </c>
      <c r="P108" s="160">
        <v>0.9022990579997835</v>
      </c>
      <c r="Q108" s="162">
        <v>1.0</v>
      </c>
    </row>
    <row r="109">
      <c r="A109" s="54">
        <v>45547.95847347222</v>
      </c>
      <c r="B109" s="158">
        <v>1.10736</v>
      </c>
      <c r="C109" s="159">
        <v>127.48</v>
      </c>
      <c r="D109" s="160">
        <v>1.0711363577007447</v>
      </c>
      <c r="E109" s="160">
        <v>2.81</v>
      </c>
      <c r="F109" s="160">
        <v>0.8819515676109483</v>
      </c>
      <c r="G109" s="159">
        <v>52413.99785078292</v>
      </c>
      <c r="H109" s="159">
        <v>122.51089057053586</v>
      </c>
      <c r="I109" s="160">
        <v>0.6965359677798045</v>
      </c>
      <c r="J109" s="159">
        <v>127.48</v>
      </c>
      <c r="K109" s="160">
        <v>2.81</v>
      </c>
      <c r="L109" s="161">
        <v>127.58</v>
      </c>
      <c r="M109" s="160">
        <v>0.9030323827412451</v>
      </c>
      <c r="N109" s="160">
        <v>0.9030323827412451</v>
      </c>
      <c r="O109" s="160">
        <v>0.9030323827412451</v>
      </c>
      <c r="P109" s="160">
        <v>0.9030323827412451</v>
      </c>
      <c r="Q109" s="162">
        <v>1.0</v>
      </c>
    </row>
    <row r="110">
      <c r="A110" s="54">
        <v>45546.95969565972</v>
      </c>
      <c r="B110" s="158">
        <v>1.1013499999999998</v>
      </c>
      <c r="C110" s="159">
        <v>124.31</v>
      </c>
      <c r="D110" s="160">
        <v>1.0711634805478891</v>
      </c>
      <c r="E110" s="160">
        <v>2.84</v>
      </c>
      <c r="F110" s="160">
        <v>0.8823726702115235</v>
      </c>
      <c r="G110" s="159">
        <v>52046.06469098139</v>
      </c>
      <c r="H110" s="159">
        <v>120.20288907653057</v>
      </c>
      <c r="I110" s="160">
        <v>0.6514676908270458</v>
      </c>
      <c r="J110" s="159">
        <v>124.31</v>
      </c>
      <c r="K110" s="160">
        <v>2.84</v>
      </c>
      <c r="L110" s="161">
        <v>124.21</v>
      </c>
      <c r="M110" s="160">
        <v>0.9079435985436584</v>
      </c>
      <c r="N110" s="160">
        <v>0.9079435985436584</v>
      </c>
      <c r="O110" s="160">
        <v>0.9079435985436584</v>
      </c>
      <c r="P110" s="160">
        <v>0.9079435985436584</v>
      </c>
      <c r="Q110" s="162">
        <v>1.0</v>
      </c>
    </row>
    <row r="111">
      <c r="A111" s="54">
        <v>45545.95970096065</v>
      </c>
      <c r="B111" s="158">
        <v>1.10192</v>
      </c>
      <c r="C111" s="159">
        <v>127.65</v>
      </c>
      <c r="D111" s="160">
        <v>1.072888486716709</v>
      </c>
      <c r="E111" s="160">
        <v>2.83</v>
      </c>
      <c r="F111" s="160">
        <v>0.9046673960183624</v>
      </c>
      <c r="G111" s="159">
        <v>52212.74370678234</v>
      </c>
      <c r="H111" s="159">
        <v>122.84798272200949</v>
      </c>
      <c r="I111" s="160">
        <v>0.6678251873899708</v>
      </c>
      <c r="J111" s="159">
        <v>127.65</v>
      </c>
      <c r="K111" s="160">
        <v>2.83</v>
      </c>
      <c r="L111" s="161">
        <v>127.49</v>
      </c>
      <c r="M111" s="160">
        <v>0.9074574856167988</v>
      </c>
      <c r="N111" s="160">
        <v>0.9074574856167988</v>
      </c>
      <c r="O111" s="160">
        <v>0.9074574856167988</v>
      </c>
      <c r="P111" s="160">
        <v>0.9074574856167988</v>
      </c>
      <c r="Q111" s="162">
        <v>1.0</v>
      </c>
    </row>
    <row r="112">
      <c r="A112" s="54">
        <v>45544.95969686343</v>
      </c>
      <c r="B112" s="158">
        <v>1.10374</v>
      </c>
      <c r="C112" s="159">
        <v>126.97</v>
      </c>
      <c r="D112" s="160">
        <v>1.071816796155398</v>
      </c>
      <c r="E112" s="160">
        <v>2.78</v>
      </c>
      <c r="F112" s="160">
        <v>0.8943757609301788</v>
      </c>
      <c r="G112" s="159">
        <v>52145.432564418516</v>
      </c>
      <c r="H112" s="159">
        <v>122.49095785162903</v>
      </c>
      <c r="I112" s="160">
        <v>0.669245823216033</v>
      </c>
      <c r="J112" s="159">
        <v>126.97</v>
      </c>
      <c r="K112" s="160">
        <v>2.78</v>
      </c>
      <c r="L112" s="161">
        <v>126.94</v>
      </c>
      <c r="M112" s="160">
        <v>0.9060268908781213</v>
      </c>
      <c r="N112" s="160">
        <v>0.9060268908781213</v>
      </c>
      <c r="O112" s="160">
        <v>0.9060268908781213</v>
      </c>
      <c r="P112" s="160">
        <v>0.9060268908781213</v>
      </c>
      <c r="Q112" s="162">
        <v>1.0</v>
      </c>
    </row>
    <row r="113">
      <c r="A113" s="54">
        <v>45543.95971483796</v>
      </c>
      <c r="B113" s="158">
        <v>1.1084</v>
      </c>
      <c r="C113" s="159">
        <v>122.0</v>
      </c>
      <c r="D113" s="160">
        <v>1.0768294653889428</v>
      </c>
      <c r="E113" s="160">
        <v>2.76</v>
      </c>
      <c r="F113" s="160">
        <v>0.839523452104741</v>
      </c>
      <c r="G113" s="159">
        <v>49179.68773006135</v>
      </c>
      <c r="H113" s="159">
        <v>116.53184770840852</v>
      </c>
      <c r="I113" s="160">
        <v>0.6343377841934319</v>
      </c>
      <c r="J113" s="159">
        <v>122.0</v>
      </c>
      <c r="K113" s="160">
        <v>2.76</v>
      </c>
      <c r="L113" s="161">
        <v>122.03</v>
      </c>
      <c r="M113" s="160">
        <v>0.9022013713460844</v>
      </c>
      <c r="N113" s="160">
        <v>0.9022013713460844</v>
      </c>
      <c r="O113" s="160">
        <v>0.9022013713460844</v>
      </c>
      <c r="P113" s="160">
        <v>0.9022013713460844</v>
      </c>
      <c r="Q113" s="162">
        <v>1.0</v>
      </c>
    </row>
    <row r="114">
      <c r="A114" s="54">
        <v>45542.959731469906</v>
      </c>
      <c r="B114" s="158">
        <v>1.10876</v>
      </c>
      <c r="C114" s="159">
        <v>119.2</v>
      </c>
      <c r="D114" s="160">
        <v>1.0761405915399793</v>
      </c>
      <c r="E114" s="160">
        <v>2.72</v>
      </c>
      <c r="F114" s="160">
        <v>0.834558619016676</v>
      </c>
      <c r="G114" s="159">
        <v>48685.56408660913</v>
      </c>
      <c r="H114" s="159">
        <v>114.4176158140122</v>
      </c>
      <c r="I114" s="160">
        <v>0.6262478694911126</v>
      </c>
      <c r="J114" s="159">
        <v>119.2</v>
      </c>
      <c r="K114" s="160">
        <v>2.72</v>
      </c>
      <c r="L114" s="161">
        <v>119.26</v>
      </c>
      <c r="M114" s="160">
        <v>0.9018027036045053</v>
      </c>
      <c r="N114" s="160">
        <v>0.9018027036045053</v>
      </c>
      <c r="O114" s="160">
        <v>0.9018027036045053</v>
      </c>
      <c r="P114" s="160">
        <v>0.9018027036045053</v>
      </c>
      <c r="Q114" s="162">
        <v>1.0</v>
      </c>
    </row>
    <row r="115">
      <c r="A115" s="54">
        <v>45541.959696273145</v>
      </c>
      <c r="B115" s="158">
        <v>1.1094600000000001</v>
      </c>
      <c r="C115" s="159">
        <v>116.57</v>
      </c>
      <c r="D115" s="160">
        <v>1.0741691492336627</v>
      </c>
      <c r="E115" s="160">
        <v>2.77</v>
      </c>
      <c r="F115" s="160">
        <v>0.8161752508770477</v>
      </c>
      <c r="G115" s="159">
        <v>48419.23918687461</v>
      </c>
      <c r="H115" s="159">
        <v>112.31399981970613</v>
      </c>
      <c r="I115" s="160">
        <v>0.6128459388803751</v>
      </c>
      <c r="J115" s="159">
        <v>116.57</v>
      </c>
      <c r="K115" s="160">
        <v>2.77</v>
      </c>
      <c r="L115" s="161">
        <v>116.62</v>
      </c>
      <c r="M115" s="160">
        <v>0.9014693951140359</v>
      </c>
      <c r="N115" s="160">
        <v>0.9014693951140359</v>
      </c>
      <c r="O115" s="160">
        <v>0.9014693951140359</v>
      </c>
      <c r="P115" s="160">
        <v>0.9014693951140359</v>
      </c>
      <c r="Q115" s="162">
        <v>1.0</v>
      </c>
    </row>
    <row r="116">
      <c r="A116" s="54">
        <v>45540.95969645833</v>
      </c>
      <c r="B116" s="158">
        <v>1.1109200000000001</v>
      </c>
      <c r="C116" s="159">
        <v>120.48</v>
      </c>
      <c r="D116" s="160">
        <v>1.0693314874266295</v>
      </c>
      <c r="E116" s="160">
        <v>2.82</v>
      </c>
      <c r="F116" s="160">
        <v>0.8686555633943266</v>
      </c>
      <c r="G116" s="159">
        <v>50561.39326085392</v>
      </c>
      <c r="H116" s="159">
        <v>116.5171178630571</v>
      </c>
      <c r="I116" s="160">
        <v>0.6377438980488156</v>
      </c>
      <c r="J116" s="159">
        <v>120.48</v>
      </c>
      <c r="K116" s="160">
        <v>2.82</v>
      </c>
      <c r="L116" s="161">
        <v>120.67</v>
      </c>
      <c r="M116" s="160">
        <v>0.8999928000575996</v>
      </c>
      <c r="N116" s="160">
        <v>0.8999928000575996</v>
      </c>
      <c r="O116" s="160">
        <v>0.8999928000575996</v>
      </c>
      <c r="P116" s="160">
        <v>0.8999928000575996</v>
      </c>
      <c r="Q116" s="162">
        <v>1.0</v>
      </c>
    </row>
    <row r="117">
      <c r="A117" s="54">
        <v>45539.959726967594</v>
      </c>
      <c r="B117" s="158">
        <v>1.10835</v>
      </c>
      <c r="C117" s="159">
        <v>124.39</v>
      </c>
      <c r="D117" s="160">
        <v>1.0712538098782065</v>
      </c>
      <c r="E117" s="160">
        <v>2.75</v>
      </c>
      <c r="F117" s="160">
        <v>0.8953046981328786</v>
      </c>
      <c r="G117" s="159">
        <v>52431.33921627011</v>
      </c>
      <c r="H117" s="159">
        <v>121.14422218011532</v>
      </c>
      <c r="I117" s="160">
        <v>0.662615380450965</v>
      </c>
      <c r="J117" s="159">
        <v>124.39</v>
      </c>
      <c r="K117" s="160">
        <v>2.75</v>
      </c>
      <c r="L117" s="161">
        <v>124.43</v>
      </c>
      <c r="M117" s="160">
        <v>0.9022909166373422</v>
      </c>
      <c r="N117" s="160">
        <v>0.9022909166373422</v>
      </c>
      <c r="O117" s="160">
        <v>0.9022909166373422</v>
      </c>
      <c r="P117" s="160">
        <v>0.9022909166373422</v>
      </c>
      <c r="Q117" s="162">
        <v>1.0</v>
      </c>
    </row>
    <row r="118">
      <c r="A118" s="54">
        <v>45538.959746249995</v>
      </c>
      <c r="B118" s="158">
        <v>1.10452</v>
      </c>
      <c r="C118" s="159">
        <v>119.45</v>
      </c>
      <c r="D118" s="160">
        <v>1.0710968521453206</v>
      </c>
      <c r="E118" s="160">
        <v>2.81</v>
      </c>
      <c r="F118" s="160">
        <v>0.8918049823296436</v>
      </c>
      <c r="G118" s="159">
        <v>52584.22873000208</v>
      </c>
      <c r="H118" s="159">
        <v>117.74177222066294</v>
      </c>
      <c r="I118" s="160">
        <v>0.6501824371429348</v>
      </c>
      <c r="J118" s="159">
        <v>119.45</v>
      </c>
      <c r="K118" s="160">
        <v>2.81</v>
      </c>
      <c r="L118" s="161">
        <v>119.15</v>
      </c>
      <c r="M118" s="160">
        <v>0.905395250296517</v>
      </c>
      <c r="N118" s="160">
        <v>0.905395250296517</v>
      </c>
      <c r="O118" s="160">
        <v>0.905395250296517</v>
      </c>
      <c r="P118" s="160">
        <v>0.905395250296517</v>
      </c>
      <c r="Q118" s="162">
        <v>1.0</v>
      </c>
    </row>
    <row r="119">
      <c r="A119" s="54">
        <v>45537.95969429398</v>
      </c>
      <c r="B119" s="158">
        <v>1.10702</v>
      </c>
      <c r="C119" s="159">
        <v>126.32</v>
      </c>
      <c r="D119" s="160">
        <v>1.0721080904499949</v>
      </c>
      <c r="E119" s="160">
        <v>2.77</v>
      </c>
      <c r="F119" s="160">
        <v>0.9073036373140995</v>
      </c>
      <c r="G119" s="159">
        <v>53314.10671890374</v>
      </c>
      <c r="H119" s="159">
        <v>121.10817227402801</v>
      </c>
      <c r="I119" s="160">
        <v>0.6698141310921942</v>
      </c>
      <c r="J119" s="159">
        <v>126.32</v>
      </c>
      <c r="K119" s="160">
        <v>2.77</v>
      </c>
      <c r="L119" s="161">
        <v>126.4</v>
      </c>
      <c r="M119" s="160">
        <v>0.903326046503225</v>
      </c>
      <c r="N119" s="160">
        <v>0.903326046503225</v>
      </c>
      <c r="O119" s="160">
        <v>0.903326046503225</v>
      </c>
      <c r="P119" s="160">
        <v>0.903326046503225</v>
      </c>
      <c r="Q119" s="162">
        <v>1.0</v>
      </c>
    </row>
    <row r="120">
      <c r="A120" s="54">
        <v>45536.95973045139</v>
      </c>
      <c r="B120" s="158">
        <v>1.1048699999999998</v>
      </c>
      <c r="C120" s="159">
        <v>120.62</v>
      </c>
      <c r="D120" s="160">
        <v>1.071411619037583</v>
      </c>
      <c r="E120" s="160">
        <v>2.81</v>
      </c>
      <c r="F120" s="160">
        <v>0.8996676609009981</v>
      </c>
      <c r="G120" s="159">
        <v>52734.26841738532</v>
      </c>
      <c r="H120" s="159">
        <v>120.89009168831403</v>
      </c>
      <c r="I120" s="160">
        <v>0.6660211570307764</v>
      </c>
      <c r="J120" s="159">
        <v>120.62</v>
      </c>
      <c r="K120" s="160">
        <v>2.81</v>
      </c>
      <c r="L120" s="161">
        <v>120.61</v>
      </c>
      <c r="M120" s="160">
        <v>0.9050838560192603</v>
      </c>
      <c r="N120" s="160">
        <v>0.9050838560192603</v>
      </c>
      <c r="O120" s="160">
        <v>0.9050838560192603</v>
      </c>
      <c r="P120" s="160">
        <v>0.9050838560192603</v>
      </c>
      <c r="Q120" s="162">
        <v>1.0</v>
      </c>
    </row>
    <row r="121">
      <c r="A121" s="54">
        <v>45535.95970864584</v>
      </c>
      <c r="B121" s="158">
        <v>1.10547</v>
      </c>
      <c r="C121" s="159">
        <v>126.55</v>
      </c>
      <c r="D121" s="160">
        <v>1.071693284714115</v>
      </c>
      <c r="E121" s="160">
        <v>2.85</v>
      </c>
      <c r="F121" s="160">
        <v>0.90323396411372</v>
      </c>
      <c r="G121" s="159">
        <v>53389.40413523634</v>
      </c>
      <c r="H121" s="159">
        <v>122.9138401982598</v>
      </c>
      <c r="I121" s="160">
        <v>0.6738300681970298</v>
      </c>
      <c r="J121" s="159">
        <v>126.55</v>
      </c>
      <c r="K121" s="160">
        <v>2.85</v>
      </c>
      <c r="L121" s="161">
        <v>126.61</v>
      </c>
      <c r="M121" s="160">
        <v>0.9045926167150624</v>
      </c>
      <c r="N121" s="160">
        <v>0.9045926167150624</v>
      </c>
      <c r="O121" s="160">
        <v>0.9045926167150624</v>
      </c>
      <c r="P121" s="160">
        <v>0.9045926167150624</v>
      </c>
      <c r="Q121" s="162">
        <v>1.0</v>
      </c>
    </row>
    <row r="122">
      <c r="A122" s="54">
        <v>45534.95971847222</v>
      </c>
      <c r="B122" s="158">
        <v>1.1055899999999999</v>
      </c>
      <c r="C122" s="159">
        <v>129.26</v>
      </c>
      <c r="D122" s="160">
        <v>1.0764736959263488</v>
      </c>
      <c r="E122" s="160">
        <v>2.86</v>
      </c>
      <c r="F122" s="160">
        <v>0.9044337460417741</v>
      </c>
      <c r="G122" s="159">
        <v>53435.525589892466</v>
      </c>
      <c r="H122" s="159">
        <v>123.66533720414937</v>
      </c>
      <c r="I122" s="160">
        <v>0.6801059952428756</v>
      </c>
      <c r="J122" s="159">
        <v>129.26</v>
      </c>
      <c r="K122" s="160">
        <v>2.86</v>
      </c>
      <c r="L122" s="161">
        <v>129.3</v>
      </c>
      <c r="M122" s="160">
        <v>0.904494432836766</v>
      </c>
      <c r="N122" s="160">
        <v>0.904494432836766</v>
      </c>
      <c r="O122" s="160">
        <v>0.904494432836766</v>
      </c>
      <c r="P122" s="160">
        <v>0.904494432836766</v>
      </c>
      <c r="Q122" s="162">
        <v>1.0</v>
      </c>
    </row>
    <row r="123">
      <c r="A123" s="54">
        <v>45533.95971190972</v>
      </c>
      <c r="B123" s="158">
        <v>1.10787</v>
      </c>
      <c r="C123" s="159">
        <v>130.76</v>
      </c>
      <c r="D123" s="160">
        <v>1.0739740917260723</v>
      </c>
      <c r="E123" s="160">
        <v>2.86</v>
      </c>
      <c r="F123" s="160">
        <v>0.9025829261566114</v>
      </c>
      <c r="G123" s="159">
        <v>53533.77472086076</v>
      </c>
      <c r="H123" s="159">
        <v>126.18561912154966</v>
      </c>
      <c r="I123" s="160">
        <v>0.6986379268325706</v>
      </c>
      <c r="J123" s="159">
        <v>130.76</v>
      </c>
      <c r="K123" s="160">
        <v>2.86</v>
      </c>
      <c r="L123" s="161">
        <v>130.77</v>
      </c>
      <c r="M123" s="160">
        <v>0.9026329804038381</v>
      </c>
      <c r="N123" s="160">
        <v>0.9026329804038381</v>
      </c>
      <c r="O123" s="160">
        <v>0.9026329804038381</v>
      </c>
      <c r="P123" s="160">
        <v>0.9026329804038381</v>
      </c>
      <c r="Q123" s="162">
        <v>1.0</v>
      </c>
    </row>
    <row r="124">
      <c r="A124" s="54">
        <v>45532.95971607639</v>
      </c>
      <c r="B124" s="158">
        <v>1.11207</v>
      </c>
      <c r="C124" s="159">
        <v>134.52</v>
      </c>
      <c r="D124" s="160">
        <v>1.0737681025916168</v>
      </c>
      <c r="E124" s="160">
        <v>2.86</v>
      </c>
      <c r="F124" s="160">
        <v>0.8990389148440203</v>
      </c>
      <c r="G124" s="159">
        <v>53117.09876709742</v>
      </c>
      <c r="H124" s="159">
        <v>129.18588861610957</v>
      </c>
      <c r="I124" s="160">
        <v>0.7077274484941682</v>
      </c>
      <c r="J124" s="159">
        <v>134.52</v>
      </c>
      <c r="K124" s="160">
        <v>2.86</v>
      </c>
      <c r="L124" s="161">
        <v>134.4</v>
      </c>
      <c r="M124" s="160">
        <v>0.8992239697141368</v>
      </c>
      <c r="N124" s="160">
        <v>0.8992239697141368</v>
      </c>
      <c r="O124" s="160">
        <v>0.8992239697141368</v>
      </c>
      <c r="P124" s="160">
        <v>0.8992239697141368</v>
      </c>
      <c r="Q124" s="162">
        <v>1.0</v>
      </c>
    </row>
    <row r="125">
      <c r="A125" s="54">
        <v>45531.95971596065</v>
      </c>
      <c r="B125" s="158">
        <v>1.11844</v>
      </c>
      <c r="C125" s="159">
        <v>136.81</v>
      </c>
      <c r="D125" s="160">
        <v>1.0728085871989164</v>
      </c>
      <c r="E125" s="160">
        <v>2.92</v>
      </c>
      <c r="F125" s="160">
        <v>0.8829210001508033</v>
      </c>
      <c r="G125" s="159">
        <v>53963.81738360708</v>
      </c>
      <c r="H125" s="159">
        <v>132.36395819737348</v>
      </c>
      <c r="I125" s="160">
        <v>0.7305013367190921</v>
      </c>
      <c r="J125" s="159">
        <v>136.81</v>
      </c>
      <c r="K125" s="160">
        <v>2.92</v>
      </c>
      <c r="L125" s="161">
        <v>136.86</v>
      </c>
      <c r="M125" s="160">
        <v>0.8941024999105897</v>
      </c>
      <c r="N125" s="160">
        <v>0.8941024999105897</v>
      </c>
      <c r="O125" s="160">
        <v>0.8941024999105897</v>
      </c>
      <c r="P125" s="160">
        <v>0.8941024999105897</v>
      </c>
      <c r="Q125" s="162">
        <v>1.0</v>
      </c>
    </row>
    <row r="126">
      <c r="A126" s="54">
        <v>45530.959709456016</v>
      </c>
      <c r="B126" s="158">
        <v>1.1161500000000002</v>
      </c>
      <c r="C126" s="159">
        <v>145.21</v>
      </c>
      <c r="D126" s="160">
        <v>1.0749919152676461</v>
      </c>
      <c r="E126" s="160">
        <v>2.96</v>
      </c>
      <c r="F126" s="160">
        <v>0.9255681061221062</v>
      </c>
      <c r="G126" s="159">
        <v>56511.22150946101</v>
      </c>
      <c r="H126" s="159">
        <v>141.41700114678898</v>
      </c>
      <c r="I126" s="160">
        <v>0.793793004587156</v>
      </c>
      <c r="J126" s="159">
        <v>145.21</v>
      </c>
      <c r="K126" s="160">
        <v>2.96</v>
      </c>
      <c r="L126" s="161">
        <v>145.25</v>
      </c>
      <c r="M126" s="160">
        <v>0.8959369260404066</v>
      </c>
      <c r="N126" s="160">
        <v>0.8959369260404066</v>
      </c>
      <c r="O126" s="160">
        <v>0.8959369260404066</v>
      </c>
      <c r="P126" s="160">
        <v>0.8959369260404066</v>
      </c>
      <c r="Q126" s="162">
        <v>1.0</v>
      </c>
    </row>
    <row r="127">
      <c r="A127" s="54">
        <v>45529.95971836806</v>
      </c>
      <c r="B127" s="158">
        <v>1.11931</v>
      </c>
      <c r="C127" s="159">
        <v>146.86</v>
      </c>
      <c r="D127" s="160">
        <v>1.0778446179948682</v>
      </c>
      <c r="E127" s="160">
        <v>2.95</v>
      </c>
      <c r="F127" s="160">
        <v>0.9615049583520678</v>
      </c>
      <c r="G127" s="159">
        <v>57667.069062575385</v>
      </c>
      <c r="H127" s="159">
        <v>144.24061547809458</v>
      </c>
      <c r="I127" s="160">
        <v>0.8050896678670038</v>
      </c>
      <c r="J127" s="159">
        <v>146.86</v>
      </c>
      <c r="K127" s="160">
        <v>2.95</v>
      </c>
      <c r="L127" s="161">
        <v>147.11</v>
      </c>
      <c r="M127" s="160">
        <v>0.8934075457201311</v>
      </c>
      <c r="N127" s="160">
        <v>0.8934075457201311</v>
      </c>
      <c r="O127" s="160">
        <v>0.8934075457201311</v>
      </c>
      <c r="P127" s="160">
        <v>0.8934075457201311</v>
      </c>
      <c r="Q127" s="162">
        <v>1.0</v>
      </c>
    </row>
    <row r="128">
      <c r="A128" s="54">
        <v>45528.95973079861</v>
      </c>
      <c r="B128" s="158">
        <v>1.1185999999999998</v>
      </c>
      <c r="C128" s="159">
        <v>147.97</v>
      </c>
      <c r="D128" s="160">
        <v>1.0774557027661988</v>
      </c>
      <c r="E128" s="160">
        <v>2.9</v>
      </c>
      <c r="F128" s="160">
        <v>0.9531389694520147</v>
      </c>
      <c r="G128" s="159">
        <v>56661.08424148691</v>
      </c>
      <c r="H128" s="159">
        <v>141.35101066540315</v>
      </c>
      <c r="I128" s="160">
        <v>0.8063867259089732</v>
      </c>
      <c r="J128" s="159">
        <v>147.97</v>
      </c>
      <c r="K128" s="160">
        <v>2.9</v>
      </c>
      <c r="L128" s="161">
        <v>148.07</v>
      </c>
      <c r="M128" s="160">
        <v>0.8939746111210443</v>
      </c>
      <c r="N128" s="160">
        <v>0.8939746111210443</v>
      </c>
      <c r="O128" s="160">
        <v>0.8939746111210443</v>
      </c>
      <c r="P128" s="160">
        <v>0.8939746111210443</v>
      </c>
      <c r="Q128" s="162">
        <v>1.0</v>
      </c>
    </row>
    <row r="129">
      <c r="A129" s="54">
        <v>45527.9597199537</v>
      </c>
      <c r="B129" s="158">
        <v>1.11989</v>
      </c>
      <c r="C129" s="159">
        <v>141.24</v>
      </c>
      <c r="D129" s="160">
        <v>1.0775847515605046</v>
      </c>
      <c r="E129" s="160">
        <v>2.81</v>
      </c>
      <c r="F129" s="160">
        <v>0.9584181642496316</v>
      </c>
      <c r="G129" s="159">
        <v>57403.59665336226</v>
      </c>
      <c r="H129" s="159">
        <v>135.63347709231826</v>
      </c>
      <c r="I129" s="160">
        <v>0.7866563088764476</v>
      </c>
      <c r="J129" s="159">
        <v>141.24</v>
      </c>
      <c r="K129" s="160">
        <v>2.81</v>
      </c>
      <c r="L129" s="161">
        <v>141.27</v>
      </c>
      <c r="M129" s="160">
        <v>0.8929448427970604</v>
      </c>
      <c r="N129" s="160">
        <v>0.8929448427970604</v>
      </c>
      <c r="O129" s="160">
        <v>0.8929448427970604</v>
      </c>
      <c r="P129" s="160">
        <v>0.8929448427970604</v>
      </c>
      <c r="Q129" s="162">
        <v>1.0</v>
      </c>
    </row>
    <row r="130">
      <c r="A130" s="54">
        <v>45526.95970233796</v>
      </c>
      <c r="B130" s="158">
        <v>1.1111600000000001</v>
      </c>
      <c r="C130" s="159">
        <v>131.99</v>
      </c>
      <c r="D130" s="160">
        <v>1.0746365875469068</v>
      </c>
      <c r="E130" s="160">
        <v>2.83</v>
      </c>
      <c r="F130" s="160">
        <v>0.9187723863817361</v>
      </c>
      <c r="G130" s="159">
        <v>54615.87620144713</v>
      </c>
      <c r="H130" s="159">
        <v>129.02822275819864</v>
      </c>
      <c r="I130" s="160">
        <v>0.7244681234025703</v>
      </c>
      <c r="J130" s="159">
        <v>131.99</v>
      </c>
      <c r="K130" s="160">
        <v>2.83</v>
      </c>
      <c r="L130" s="161">
        <v>132.08</v>
      </c>
      <c r="M130" s="160">
        <v>0.8999604017423232</v>
      </c>
      <c r="N130" s="160">
        <v>0.8999604017423232</v>
      </c>
      <c r="O130" s="160">
        <v>0.8999604017423232</v>
      </c>
      <c r="P130" s="160">
        <v>0.8999604017423232</v>
      </c>
      <c r="Q130" s="162">
        <v>1.0</v>
      </c>
    </row>
    <row r="131">
      <c r="A131" s="54">
        <v>45525.95970744213</v>
      </c>
      <c r="B131" s="158">
        <v>1.1148900000000002</v>
      </c>
      <c r="C131" s="159">
        <v>132.4</v>
      </c>
      <c r="D131" s="160">
        <v>1.074796046253524</v>
      </c>
      <c r="E131" s="160">
        <v>2.83</v>
      </c>
      <c r="F131" s="160">
        <v>0.9222920463140282</v>
      </c>
      <c r="G131" s="159">
        <v>54770.634137590816</v>
      </c>
      <c r="H131" s="159">
        <v>128.85639967710108</v>
      </c>
      <c r="I131" s="160">
        <v>0.7166562023499866</v>
      </c>
      <c r="J131" s="159">
        <v>132.4</v>
      </c>
      <c r="K131" s="160">
        <v>2.83</v>
      </c>
      <c r="L131" s="161">
        <v>132.47</v>
      </c>
      <c r="M131" s="160">
        <v>0.8969494748360823</v>
      </c>
      <c r="N131" s="160">
        <v>0.8969494748360823</v>
      </c>
      <c r="O131" s="160">
        <v>0.8969494748360823</v>
      </c>
      <c r="P131" s="160">
        <v>0.8969494748360823</v>
      </c>
      <c r="Q131" s="162">
        <v>1.0</v>
      </c>
    </row>
    <row r="132">
      <c r="A132" s="54">
        <v>45524.95969870371</v>
      </c>
      <c r="B132" s="158">
        <v>1.11298</v>
      </c>
      <c r="C132" s="159">
        <v>131.82</v>
      </c>
      <c r="D132" s="160">
        <v>1.074238568348916</v>
      </c>
      <c r="E132" s="160">
        <v>2.84</v>
      </c>
      <c r="F132" s="160">
        <v>0.9142652011832402</v>
      </c>
      <c r="G132" s="159">
        <v>53382.012921080764</v>
      </c>
      <c r="H132" s="159">
        <v>128.60608674555894</v>
      </c>
      <c r="I132" s="160">
        <v>0.7053580253569471</v>
      </c>
      <c r="J132" s="159">
        <v>131.82</v>
      </c>
      <c r="K132" s="160">
        <v>2.84</v>
      </c>
      <c r="L132" s="161">
        <v>131.94</v>
      </c>
      <c r="M132" s="160">
        <v>0.8984887419360634</v>
      </c>
      <c r="N132" s="160">
        <v>0.8984887419360634</v>
      </c>
      <c r="O132" s="160">
        <v>0.8984887419360634</v>
      </c>
      <c r="P132" s="160">
        <v>0.8984887419360634</v>
      </c>
      <c r="Q132" s="162">
        <v>1.0</v>
      </c>
    </row>
    <row r="133">
      <c r="A133" s="54">
        <v>45523.959692476856</v>
      </c>
      <c r="B133" s="158">
        <v>1.1084</v>
      </c>
      <c r="C133" s="159">
        <v>133.76</v>
      </c>
      <c r="D133" s="160">
        <v>1.0752887448885058</v>
      </c>
      <c r="E133" s="160">
        <v>2.83</v>
      </c>
      <c r="F133" s="160">
        <v>0.9286781168158367</v>
      </c>
      <c r="G133" s="159">
        <v>53273.658092050064</v>
      </c>
      <c r="H133" s="159">
        <v>129.60363075312864</v>
      </c>
      <c r="I133" s="160">
        <v>0.6974582923550271</v>
      </c>
      <c r="J133" s="159">
        <v>133.76</v>
      </c>
      <c r="K133" s="160">
        <v>2.83</v>
      </c>
      <c r="L133" s="161">
        <v>133.89</v>
      </c>
      <c r="M133" s="160">
        <v>0.9022013713460844</v>
      </c>
      <c r="N133" s="160">
        <v>0.9022013713460844</v>
      </c>
      <c r="O133" s="160">
        <v>0.9022013713460844</v>
      </c>
      <c r="P133" s="160">
        <v>0.9022013713460844</v>
      </c>
      <c r="Q133" s="162">
        <v>1.0</v>
      </c>
    </row>
    <row r="134">
      <c r="A134" s="54">
        <v>45522.95969635417</v>
      </c>
      <c r="B134" s="158">
        <v>1.10251</v>
      </c>
      <c r="C134" s="159">
        <v>132.29</v>
      </c>
      <c r="D134" s="160">
        <v>1.0777690993457671</v>
      </c>
      <c r="E134" s="160">
        <v>2.84</v>
      </c>
      <c r="F134" s="160">
        <v>0.9573698826804108</v>
      </c>
      <c r="G134" s="159">
        <v>53944.99247192847</v>
      </c>
      <c r="H134" s="159">
        <v>131.60883051862066</v>
      </c>
      <c r="I134" s="160">
        <v>0.7074573258113086</v>
      </c>
      <c r="J134" s="159">
        <v>132.29</v>
      </c>
      <c r="K134" s="160">
        <v>2.84</v>
      </c>
      <c r="L134" s="161">
        <v>132.54</v>
      </c>
      <c r="M134" s="160">
        <v>0.9070212515079228</v>
      </c>
      <c r="N134" s="160">
        <v>0.9070212515079228</v>
      </c>
      <c r="O134" s="160">
        <v>0.9070212515079228</v>
      </c>
      <c r="P134" s="160">
        <v>0.9070212515079228</v>
      </c>
      <c r="Q134" s="162">
        <v>1.0</v>
      </c>
    </row>
    <row r="135">
      <c r="A135" s="54">
        <v>45521.9596869213</v>
      </c>
      <c r="B135" s="158">
        <v>1.10298</v>
      </c>
      <c r="C135" s="159">
        <v>132.26</v>
      </c>
      <c r="D135" s="160">
        <v>1.0768444567392077</v>
      </c>
      <c r="E135" s="160">
        <v>2.8</v>
      </c>
      <c r="F135" s="160">
        <v>0.946879031675071</v>
      </c>
      <c r="G135" s="159">
        <v>53836.249977334126</v>
      </c>
      <c r="H135" s="159">
        <v>128.07394513046475</v>
      </c>
      <c r="I135" s="160">
        <v>0.6881357776206277</v>
      </c>
      <c r="J135" s="159">
        <v>132.26</v>
      </c>
      <c r="K135" s="160">
        <v>2.8</v>
      </c>
      <c r="L135" s="161">
        <v>132.46</v>
      </c>
      <c r="M135" s="160">
        <v>0.9066347531233566</v>
      </c>
      <c r="N135" s="160">
        <v>0.9066347531233566</v>
      </c>
      <c r="O135" s="160">
        <v>0.9066347531233566</v>
      </c>
      <c r="P135" s="160">
        <v>0.9066347531233566</v>
      </c>
      <c r="Q135" s="162">
        <v>1.0</v>
      </c>
    </row>
    <row r="136">
      <c r="A136" s="54">
        <v>45520.95969552083</v>
      </c>
      <c r="B136" s="158">
        <v>1.10348</v>
      </c>
      <c r="C136" s="159">
        <v>130.0</v>
      </c>
      <c r="D136" s="160">
        <v>1.0769855940404431</v>
      </c>
      <c r="E136" s="160">
        <v>2.84</v>
      </c>
      <c r="F136" s="160">
        <v>0.9492268904512963</v>
      </c>
      <c r="G136" s="159">
        <v>53282.77315112686</v>
      </c>
      <c r="H136" s="159">
        <v>126.86790332665767</v>
      </c>
      <c r="I136" s="160">
        <v>0.6805556814165707</v>
      </c>
      <c r="J136" s="159">
        <v>130.0</v>
      </c>
      <c r="K136" s="160">
        <v>2.84</v>
      </c>
      <c r="L136" s="161">
        <v>129.8</v>
      </c>
      <c r="M136" s="160">
        <v>0.9062239460615508</v>
      </c>
      <c r="N136" s="160">
        <v>0.9062239460615508</v>
      </c>
      <c r="O136" s="160">
        <v>0.9062239460615508</v>
      </c>
      <c r="P136" s="160">
        <v>0.9062239460615508</v>
      </c>
      <c r="Q136" s="162">
        <v>1.0</v>
      </c>
    </row>
    <row r="137">
      <c r="A137" s="54">
        <v>45519.95969425926</v>
      </c>
      <c r="B137" s="158">
        <v>1.09727</v>
      </c>
      <c r="C137" s="159">
        <v>133.34</v>
      </c>
      <c r="D137" s="160">
        <v>1.0763437792244257</v>
      </c>
      <c r="E137" s="160">
        <v>2.87</v>
      </c>
      <c r="F137" s="160">
        <v>0.9430223179343734</v>
      </c>
      <c r="G137" s="159">
        <v>52679.713288434024</v>
      </c>
      <c r="H137" s="159">
        <v>129.2544223390779</v>
      </c>
      <c r="I137" s="160">
        <v>0.6944507732827837</v>
      </c>
      <c r="J137" s="159">
        <v>133.34</v>
      </c>
      <c r="K137" s="160">
        <v>2.87</v>
      </c>
      <c r="L137" s="161">
        <v>133.33</v>
      </c>
      <c r="M137" s="160">
        <v>0.9113527208435481</v>
      </c>
      <c r="N137" s="160">
        <v>0.9113527208435481</v>
      </c>
      <c r="O137" s="160">
        <v>0.9113527208435481</v>
      </c>
      <c r="P137" s="160">
        <v>0.9113527208435481</v>
      </c>
      <c r="Q137" s="162">
        <v>1.0</v>
      </c>
    </row>
    <row r="138">
      <c r="A138" s="54">
        <v>45518.95971328704</v>
      </c>
      <c r="B138" s="158">
        <v>1.1013</v>
      </c>
      <c r="C138" s="159">
        <v>135.11</v>
      </c>
      <c r="D138" s="160">
        <v>1.0785442733818276</v>
      </c>
      <c r="E138" s="160">
        <v>2.91</v>
      </c>
      <c r="F138" s="160">
        <v>0.9690927372557703</v>
      </c>
      <c r="G138" s="159">
        <v>53542.64986289429</v>
      </c>
      <c r="H138" s="159">
        <v>130.6444876241669</v>
      </c>
      <c r="I138" s="160">
        <v>0.7154920369731419</v>
      </c>
      <c r="J138" s="159">
        <v>135.11</v>
      </c>
      <c r="K138" s="160">
        <v>2.91</v>
      </c>
      <c r="L138" s="161">
        <v>135.36</v>
      </c>
      <c r="M138" s="160">
        <v>0.9080177971488241</v>
      </c>
      <c r="N138" s="160">
        <v>0.9080177971488241</v>
      </c>
      <c r="O138" s="160">
        <v>0.9080177971488241</v>
      </c>
      <c r="P138" s="160">
        <v>0.9080177971488241</v>
      </c>
      <c r="Q138" s="162">
        <v>1.0</v>
      </c>
    </row>
    <row r="139">
      <c r="A139" s="54">
        <v>45517.95969386574</v>
      </c>
      <c r="B139" s="158">
        <v>1.09925</v>
      </c>
      <c r="C139" s="159">
        <v>137.36</v>
      </c>
      <c r="D139" s="160">
        <v>1.0799426965078913</v>
      </c>
      <c r="E139" s="160">
        <v>2.9</v>
      </c>
      <c r="F139" s="160">
        <v>0.9876068266824624</v>
      </c>
      <c r="G139" s="159">
        <v>55691.425894254215</v>
      </c>
      <c r="H139" s="159">
        <v>134.5056584549325</v>
      </c>
      <c r="I139" s="160">
        <v>0.7514282595247626</v>
      </c>
      <c r="J139" s="159">
        <v>137.36</v>
      </c>
      <c r="K139" s="160">
        <v>2.9</v>
      </c>
      <c r="L139" s="161">
        <v>137.44</v>
      </c>
      <c r="M139" s="160">
        <v>0.9097111667045712</v>
      </c>
      <c r="N139" s="160">
        <v>0.9097111667045712</v>
      </c>
      <c r="O139" s="160">
        <v>0.9097111667045712</v>
      </c>
      <c r="P139" s="160">
        <v>0.9097111667045712</v>
      </c>
      <c r="Q139" s="162">
        <v>1.0</v>
      </c>
    </row>
    <row r="140">
      <c r="A140" s="54">
        <v>45516.9596909838</v>
      </c>
      <c r="B140" s="158">
        <v>1.09323</v>
      </c>
      <c r="C140" s="159">
        <v>137.47</v>
      </c>
      <c r="D140" s="160">
        <v>1.0804814180352666</v>
      </c>
      <c r="E140" s="160">
        <v>2.86</v>
      </c>
      <c r="F140" s="160">
        <v>0.9911012171158349</v>
      </c>
      <c r="G140" s="159">
        <v>54150.55978340407</v>
      </c>
      <c r="H140" s="159">
        <v>131.29481925947607</v>
      </c>
      <c r="I140" s="160">
        <v>0.7344870481486903</v>
      </c>
      <c r="J140" s="159">
        <v>137.47</v>
      </c>
      <c r="K140" s="160">
        <v>2.86</v>
      </c>
      <c r="L140" s="161">
        <v>137.36</v>
      </c>
      <c r="M140" s="160">
        <v>0.9147205985931598</v>
      </c>
      <c r="N140" s="160">
        <v>0.9147205985931598</v>
      </c>
      <c r="O140" s="160">
        <v>0.9147205985931598</v>
      </c>
      <c r="P140" s="160">
        <v>0.9147205985931598</v>
      </c>
      <c r="Q140" s="162">
        <v>1.0</v>
      </c>
    </row>
    <row r="141">
      <c r="A141" s="54">
        <v>45515.9597037037</v>
      </c>
      <c r="B141" s="158">
        <v>1.0919100000000002</v>
      </c>
      <c r="C141" s="159">
        <v>133.17</v>
      </c>
      <c r="D141" s="160">
        <v>1.0778170249214927</v>
      </c>
      <c r="E141" s="160">
        <v>2.96</v>
      </c>
      <c r="F141" s="160">
        <v>0.9589922703334919</v>
      </c>
      <c r="G141" s="159">
        <v>54133.86297656443</v>
      </c>
      <c r="H141" s="159">
        <v>131.43058620973872</v>
      </c>
      <c r="I141" s="160">
        <v>0.730816077953715</v>
      </c>
      <c r="J141" s="159">
        <v>133.17</v>
      </c>
      <c r="K141" s="160">
        <v>2.96</v>
      </c>
      <c r="L141" s="161">
        <v>133.26</v>
      </c>
      <c r="M141" s="160">
        <v>0.9158263959483839</v>
      </c>
      <c r="N141" s="160">
        <v>0.9158263959483839</v>
      </c>
      <c r="O141" s="160">
        <v>0.9158263959483839</v>
      </c>
      <c r="P141" s="160">
        <v>0.9158263959483839</v>
      </c>
      <c r="Q141" s="162">
        <v>1.0</v>
      </c>
    </row>
    <row r="142">
      <c r="A142" s="54">
        <v>45514.95969684028</v>
      </c>
      <c r="B142" s="158">
        <v>1.09196</v>
      </c>
      <c r="C142" s="159">
        <v>145.03</v>
      </c>
      <c r="D142" s="160">
        <v>1.0801941829320167</v>
      </c>
      <c r="E142" s="160">
        <v>2.98</v>
      </c>
      <c r="F142" s="160">
        <v>0.986217153213451</v>
      </c>
      <c r="G142" s="159">
        <v>56132.81713615883</v>
      </c>
      <c r="H142" s="159">
        <v>141.89897065826588</v>
      </c>
      <c r="I142" s="160">
        <v>0.7994798344261694</v>
      </c>
      <c r="J142" s="159">
        <v>145.03</v>
      </c>
      <c r="K142" s="160">
        <v>2.98</v>
      </c>
      <c r="L142" s="161">
        <v>145.03</v>
      </c>
      <c r="M142" s="160">
        <v>0.9157844609692662</v>
      </c>
      <c r="N142" s="160">
        <v>0.9157844609692662</v>
      </c>
      <c r="O142" s="160">
        <v>0.9157844609692662</v>
      </c>
      <c r="P142" s="160">
        <v>0.9157844609692662</v>
      </c>
      <c r="Q142" s="162">
        <v>1.0</v>
      </c>
    </row>
    <row r="143">
      <c r="A143" s="54">
        <v>45513.95971152778</v>
      </c>
      <c r="B143" s="158">
        <v>1.0921800000000002</v>
      </c>
      <c r="C143" s="159">
        <v>147.12</v>
      </c>
      <c r="D143" s="160">
        <v>1.0792310980125832</v>
      </c>
      <c r="E143" s="160">
        <v>3.04</v>
      </c>
      <c r="F143" s="160">
        <v>0.9767083322206498</v>
      </c>
      <c r="G143" s="159">
        <v>55867.41980372052</v>
      </c>
      <c r="H143" s="159">
        <v>141.1491138128021</v>
      </c>
      <c r="I143" s="160">
        <v>0.793723451003369</v>
      </c>
      <c r="J143" s="159">
        <v>147.12</v>
      </c>
      <c r="K143" s="160">
        <v>3.04</v>
      </c>
      <c r="L143" s="161">
        <v>147.66</v>
      </c>
      <c r="M143" s="160">
        <v>0.9155999926752</v>
      </c>
      <c r="N143" s="160">
        <v>0.9155999926752</v>
      </c>
      <c r="O143" s="160">
        <v>0.9155999926752</v>
      </c>
      <c r="P143" s="160">
        <v>0.9155999926752</v>
      </c>
      <c r="Q143" s="162">
        <v>1.0</v>
      </c>
    </row>
    <row r="144">
      <c r="A144" s="54">
        <v>45512.959696817124</v>
      </c>
      <c r="B144" s="158">
        <v>1.09179</v>
      </c>
      <c r="C144" s="159">
        <v>153.23</v>
      </c>
      <c r="D144" s="160">
        <v>1.08059626352442</v>
      </c>
      <c r="E144" s="160">
        <v>2.83</v>
      </c>
      <c r="F144" s="160">
        <v>0.9984445122269652</v>
      </c>
      <c r="G144" s="159">
        <v>55941.99192093139</v>
      </c>
      <c r="H144" s="159">
        <v>146.83569812495992</v>
      </c>
      <c r="I144" s="160">
        <v>0.8152348151065759</v>
      </c>
      <c r="J144" s="159">
        <v>153.23</v>
      </c>
      <c r="K144" s="160">
        <v>2.83</v>
      </c>
      <c r="L144" s="161">
        <v>153.59</v>
      </c>
      <c r="M144" s="160">
        <v>0.9159270555692944</v>
      </c>
      <c r="N144" s="160">
        <v>0.9159270555692944</v>
      </c>
      <c r="O144" s="160">
        <v>0.9159270555692944</v>
      </c>
      <c r="P144" s="160">
        <v>0.9159270555692944</v>
      </c>
      <c r="Q144" s="162">
        <v>1.0</v>
      </c>
    </row>
    <row r="145">
      <c r="A145" s="54">
        <v>45511.95969689815</v>
      </c>
      <c r="B145" s="158">
        <v>1.0923699999999998</v>
      </c>
      <c r="C145" s="159">
        <v>136.95</v>
      </c>
      <c r="D145" s="160">
        <v>1.0725268726241026</v>
      </c>
      <c r="E145" s="160">
        <v>2.82</v>
      </c>
      <c r="F145" s="160">
        <v>0.8978953654862268</v>
      </c>
      <c r="G145" s="159">
        <v>50892.529430072675</v>
      </c>
      <c r="H145" s="159">
        <v>134.11691473975208</v>
      </c>
      <c r="I145" s="160">
        <v>0.7405576609728858</v>
      </c>
      <c r="J145" s="159">
        <v>136.95</v>
      </c>
      <c r="K145" s="160">
        <v>2.82</v>
      </c>
      <c r="L145" s="161">
        <v>137.2</v>
      </c>
      <c r="M145" s="160">
        <v>0.9154407389437647</v>
      </c>
      <c r="N145" s="160">
        <v>0.9154407389437647</v>
      </c>
      <c r="O145" s="160">
        <v>0.9154407389437647</v>
      </c>
      <c r="P145" s="160">
        <v>0.9154407389437647</v>
      </c>
      <c r="Q145" s="162">
        <v>1.0</v>
      </c>
    </row>
    <row r="146">
      <c r="A146" s="54">
        <v>45510.95969584491</v>
      </c>
      <c r="B146" s="158">
        <v>1.09294</v>
      </c>
      <c r="C146" s="159">
        <v>135.27</v>
      </c>
      <c r="D146" s="160">
        <v>1.0763007466765284</v>
      </c>
      <c r="E146" s="160">
        <v>2.7</v>
      </c>
      <c r="F146" s="160">
        <v>0.940026196453643</v>
      </c>
      <c r="G146" s="159">
        <v>51747.1091469719</v>
      </c>
      <c r="H146" s="159">
        <v>134.8018628823438</v>
      </c>
      <c r="I146" s="160">
        <v>0.7795558727457386</v>
      </c>
      <c r="J146" s="159">
        <v>135.27</v>
      </c>
      <c r="K146" s="160">
        <v>2.7</v>
      </c>
      <c r="L146" s="161">
        <v>137.77</v>
      </c>
      <c r="M146" s="160">
        <v>0.9149633099712702</v>
      </c>
      <c r="N146" s="160">
        <v>0.9149633099712702</v>
      </c>
      <c r="O146" s="160">
        <v>0.9149633099712702</v>
      </c>
      <c r="P146" s="160">
        <v>0.9149633099712702</v>
      </c>
      <c r="Q146" s="162">
        <v>1.0</v>
      </c>
    </row>
    <row r="147">
      <c r="A147" s="54">
        <v>45509.95969320602</v>
      </c>
      <c r="B147" s="158">
        <v>1.0953499999999998</v>
      </c>
      <c r="C147" s="159">
        <v>122.29</v>
      </c>
      <c r="D147" s="160">
        <v>1.0717517851733538</v>
      </c>
      <c r="E147" s="160">
        <v>2.74</v>
      </c>
      <c r="F147" s="160">
        <v>0.8833588124552422</v>
      </c>
      <c r="G147" s="159">
        <v>49719.15868654318</v>
      </c>
      <c r="H147" s="159">
        <v>119.95928539477647</v>
      </c>
      <c r="I147" s="160">
        <v>0.6755338086413554</v>
      </c>
      <c r="J147" s="159">
        <v>122.29</v>
      </c>
      <c r="K147" s="160">
        <v>2.74</v>
      </c>
      <c r="L147" s="161">
        <v>122.25</v>
      </c>
      <c r="M147" s="160">
        <v>0.9129501985666684</v>
      </c>
      <c r="N147" s="160">
        <v>0.9129501985666684</v>
      </c>
      <c r="O147" s="160">
        <v>0.9129501985666684</v>
      </c>
      <c r="P147" s="160">
        <v>0.9129501985666684</v>
      </c>
      <c r="Q147" s="162">
        <v>1.0</v>
      </c>
    </row>
    <row r="148">
      <c r="A148" s="54">
        <v>45508.95979541667</v>
      </c>
      <c r="B148" s="158">
        <v>1.09209</v>
      </c>
      <c r="C148" s="159">
        <v>128.93</v>
      </c>
      <c r="D148" s="160">
        <v>1.075202696085131</v>
      </c>
      <c r="E148" s="160">
        <v>2.82</v>
      </c>
      <c r="F148" s="160">
        <v>0.9226725735408121</v>
      </c>
      <c r="G148" s="159">
        <v>53716.82385905795</v>
      </c>
      <c r="H148" s="159">
        <v>128.5290454911728</v>
      </c>
      <c r="I148" s="160">
        <v>0.7682587356237638</v>
      </c>
      <c r="J148" s="159">
        <v>128.93</v>
      </c>
      <c r="K148" s="160">
        <v>2.82</v>
      </c>
      <c r="L148" s="161">
        <v>129.13</v>
      </c>
      <c r="M148" s="160">
        <v>0.915675447994213</v>
      </c>
      <c r="N148" s="160">
        <v>0.915675447994213</v>
      </c>
      <c r="O148" s="160">
        <v>0.915675447994213</v>
      </c>
      <c r="P148" s="160">
        <v>0.915675447994213</v>
      </c>
      <c r="Q148" s="162">
        <v>1.0</v>
      </c>
    </row>
    <row r="149">
      <c r="A149" s="54">
        <v>45507.95970015046</v>
      </c>
      <c r="B149" s="158">
        <v>1.09137</v>
      </c>
      <c r="C149" s="159">
        <v>134.63</v>
      </c>
      <c r="D149" s="160">
        <v>1.0788381618572649</v>
      </c>
      <c r="E149" s="160">
        <v>2.87</v>
      </c>
      <c r="F149" s="160">
        <v>0.9718206142668664</v>
      </c>
      <c r="G149" s="159">
        <v>55749.00721111997</v>
      </c>
      <c r="H149" s="159">
        <v>130.7365971210497</v>
      </c>
      <c r="I149" s="160">
        <v>0.7641771351603948</v>
      </c>
      <c r="J149" s="159">
        <v>134.63</v>
      </c>
      <c r="K149" s="160">
        <v>2.87</v>
      </c>
      <c r="L149" s="161">
        <v>134.89</v>
      </c>
      <c r="M149" s="160">
        <v>0.9162795385616245</v>
      </c>
      <c r="N149" s="160">
        <v>0.9162795385616245</v>
      </c>
      <c r="O149" s="160">
        <v>0.9162795385616245</v>
      </c>
      <c r="P149" s="160">
        <v>0.9162795385616245</v>
      </c>
      <c r="Q149" s="162">
        <v>1.0</v>
      </c>
    </row>
    <row r="150">
      <c r="A150" s="54">
        <v>45506.95970125</v>
      </c>
      <c r="B150" s="158">
        <v>1.09189</v>
      </c>
      <c r="C150" s="159">
        <v>143.41</v>
      </c>
      <c r="D150" s="160">
        <v>1.0803017771099332</v>
      </c>
      <c r="E150" s="160">
        <v>2.97</v>
      </c>
      <c r="F150" s="160">
        <v>0.9906350387551995</v>
      </c>
      <c r="G150" s="159">
        <v>56977.80392875132</v>
      </c>
      <c r="H150" s="159">
        <v>141.48541599890106</v>
      </c>
      <c r="I150" s="160">
        <v>0.8416136269975732</v>
      </c>
      <c r="J150" s="159">
        <v>143.41</v>
      </c>
      <c r="K150" s="160">
        <v>2.97</v>
      </c>
      <c r="L150" s="161">
        <v>143.42</v>
      </c>
      <c r="M150" s="160">
        <v>0.9158431710153953</v>
      </c>
      <c r="N150" s="160">
        <v>0.9158431710153953</v>
      </c>
      <c r="O150" s="160">
        <v>0.9158431710153953</v>
      </c>
      <c r="P150" s="160">
        <v>0.9158431710153953</v>
      </c>
      <c r="Q150" s="162">
        <v>1.0</v>
      </c>
    </row>
    <row r="151">
      <c r="A151" s="54">
        <v>45505.959688726856</v>
      </c>
      <c r="B151" s="158">
        <v>1.07921</v>
      </c>
      <c r="C151" s="159">
        <v>157.68</v>
      </c>
      <c r="D151" s="160">
        <v>1.0858887546698914</v>
      </c>
      <c r="E151" s="160">
        <v>3.01</v>
      </c>
      <c r="F151" s="160">
        <v>1.0587736867767885</v>
      </c>
      <c r="G151" s="159">
        <v>60198.94829503336</v>
      </c>
      <c r="H151" s="159">
        <v>153.98165307635284</v>
      </c>
      <c r="I151" s="160">
        <v>0.9330985915492958</v>
      </c>
      <c r="J151" s="159">
        <v>157.68</v>
      </c>
      <c r="K151" s="160">
        <v>3.01</v>
      </c>
      <c r="L151" s="161">
        <v>158.35</v>
      </c>
      <c r="M151" s="160">
        <v>0.9266037193873297</v>
      </c>
      <c r="N151" s="160">
        <v>0.9266037193873297</v>
      </c>
      <c r="O151" s="160">
        <v>0.9266037193873297</v>
      </c>
      <c r="P151" s="160">
        <v>0.9266037193873297</v>
      </c>
      <c r="Q151" s="162">
        <v>1.0</v>
      </c>
    </row>
    <row r="152">
      <c r="A152" s="54">
        <v>45504.95972762731</v>
      </c>
      <c r="B152" s="158">
        <v>1.0827200000000001</v>
      </c>
      <c r="C152" s="159">
        <v>163.67</v>
      </c>
      <c r="D152" s="160">
        <v>1.0898946360347332</v>
      </c>
      <c r="E152" s="160">
        <v>3.0</v>
      </c>
      <c r="F152" s="160">
        <v>1.1080944326128097</v>
      </c>
      <c r="G152" s="159">
        <v>60195.47994421508</v>
      </c>
      <c r="H152" s="159">
        <v>160.53956203300916</v>
      </c>
      <c r="I152" s="160">
        <v>0.9383687530593962</v>
      </c>
      <c r="J152" s="159">
        <v>163.67</v>
      </c>
      <c r="K152" s="160">
        <v>3.0</v>
      </c>
      <c r="L152" s="161">
        <v>163.91</v>
      </c>
      <c r="M152" s="160">
        <v>0.9235998226688339</v>
      </c>
      <c r="N152" s="160">
        <v>0.9235998226688339</v>
      </c>
      <c r="O152" s="160">
        <v>0.9235998226688339</v>
      </c>
      <c r="P152" s="160">
        <v>0.9235998226688339</v>
      </c>
      <c r="Q152" s="162">
        <v>1.0</v>
      </c>
    </row>
    <row r="153">
      <c r="A153" s="54">
        <v>45503.959730497685</v>
      </c>
      <c r="B153" s="158">
        <v>1.0814300000000001</v>
      </c>
      <c r="C153" s="159">
        <v>169.81</v>
      </c>
      <c r="D153" s="160">
        <v>1.0898946360347332</v>
      </c>
      <c r="E153" s="160">
        <v>3.0</v>
      </c>
      <c r="F153" s="160">
        <v>1.1080944326128097</v>
      </c>
      <c r="G153" s="159">
        <v>61560.58552102309</v>
      </c>
      <c r="H153" s="159">
        <v>166.00242271806775</v>
      </c>
      <c r="I153" s="160">
        <v>0.9737107348603237</v>
      </c>
      <c r="J153" s="159">
        <v>169.81</v>
      </c>
      <c r="K153" s="160">
        <v>3.0</v>
      </c>
      <c r="L153" s="161">
        <v>170.18</v>
      </c>
      <c r="M153" s="160">
        <v>0.9247015525739066</v>
      </c>
      <c r="N153" s="160">
        <v>0.9247015525739066</v>
      </c>
      <c r="O153" s="160">
        <v>0.9247015525739066</v>
      </c>
      <c r="P153" s="160">
        <v>0.9247015525739066</v>
      </c>
      <c r="Q153" s="162">
        <v>1.0</v>
      </c>
    </row>
    <row r="154">
      <c r="A154" s="54">
        <v>45502.95971523148</v>
      </c>
      <c r="B154" s="158">
        <v>1.08236</v>
      </c>
      <c r="C154" s="159">
        <v>173.44</v>
      </c>
      <c r="D154" s="160">
        <v>1.1033473202844908</v>
      </c>
      <c r="E154" s="160">
        <v>3.02</v>
      </c>
      <c r="F154" s="160">
        <v>1.1155969955643363</v>
      </c>
      <c r="G154" s="159">
        <v>62386.082159884696</v>
      </c>
      <c r="H154" s="159">
        <v>169.83405403407622</v>
      </c>
      <c r="I154" s="160">
        <v>1.045016077170418</v>
      </c>
      <c r="J154" s="159">
        <v>173.44</v>
      </c>
      <c r="K154" s="160">
        <v>3.02</v>
      </c>
      <c r="L154" s="161">
        <v>173.68</v>
      </c>
      <c r="M154" s="160">
        <v>0.9239070179977087</v>
      </c>
      <c r="N154" s="160">
        <v>0.9239070179977087</v>
      </c>
      <c r="O154" s="160">
        <v>0.9239070179977087</v>
      </c>
      <c r="P154" s="160">
        <v>0.9239070179977087</v>
      </c>
      <c r="Q154" s="162">
        <v>1.0</v>
      </c>
    </row>
    <row r="155">
      <c r="A155" s="54">
        <v>45501.95969609954</v>
      </c>
      <c r="B155" s="158">
        <v>1.08573</v>
      </c>
      <c r="C155" s="159">
        <v>174.9</v>
      </c>
      <c r="D155" s="160">
        <v>1.0893145060129008</v>
      </c>
      <c r="E155" s="160">
        <v>2.98</v>
      </c>
      <c r="F155" s="160">
        <v>1.0996566600025879</v>
      </c>
      <c r="G155" s="159">
        <v>62782.918450983096</v>
      </c>
      <c r="H155" s="159">
        <v>169.96362296818162</v>
      </c>
      <c r="I155" s="160">
        <v>1.0323709536307961</v>
      </c>
      <c r="J155" s="159">
        <v>174.9</v>
      </c>
      <c r="K155" s="160">
        <v>2.98</v>
      </c>
      <c r="L155" s="161">
        <v>176.72</v>
      </c>
      <c r="M155" s="160">
        <v>0.9210393007469628</v>
      </c>
      <c r="N155" s="160">
        <v>0.9210393007469628</v>
      </c>
      <c r="O155" s="160">
        <v>0.9210393007469628</v>
      </c>
      <c r="P155" s="160">
        <v>0.9210393007469628</v>
      </c>
      <c r="Q155" s="162">
        <v>1.0</v>
      </c>
    </row>
    <row r="156">
      <c r="A156" s="54">
        <v>45500.959696018515</v>
      </c>
      <c r="B156" s="158">
        <v>1.0864500000000001</v>
      </c>
      <c r="C156" s="159">
        <v>174.59</v>
      </c>
      <c r="D156" s="160">
        <v>1.0891924150314047</v>
      </c>
      <c r="E156" s="160">
        <v>2.98</v>
      </c>
      <c r="F156" s="160">
        <v>1.1011547292246213</v>
      </c>
      <c r="G156" s="159">
        <v>63454.22522895668</v>
      </c>
      <c r="H156" s="159">
        <v>171.1721662294629</v>
      </c>
      <c r="I156" s="160">
        <v>1.0318008191817385</v>
      </c>
      <c r="J156" s="159">
        <v>174.59</v>
      </c>
      <c r="K156" s="160">
        <v>2.98</v>
      </c>
      <c r="L156" s="161">
        <v>174.85</v>
      </c>
      <c r="M156" s="160">
        <v>0.9204289198766624</v>
      </c>
      <c r="N156" s="160">
        <v>0.9204289198766624</v>
      </c>
      <c r="O156" s="160">
        <v>0.9204289198766624</v>
      </c>
      <c r="P156" s="160">
        <v>0.9204289198766624</v>
      </c>
      <c r="Q156" s="162">
        <v>1.0</v>
      </c>
    </row>
    <row r="157">
      <c r="A157" s="54">
        <v>45499.95970071759</v>
      </c>
      <c r="B157" s="158">
        <v>1.08671</v>
      </c>
      <c r="C157" s="159">
        <v>172.73</v>
      </c>
      <c r="D157" s="160">
        <v>1.0904485456385575</v>
      </c>
      <c r="E157" s="160">
        <v>2.92</v>
      </c>
      <c r="F157" s="160">
        <v>1.1174591230005244</v>
      </c>
      <c r="G157" s="159">
        <v>62686.0529100529</v>
      </c>
      <c r="H157" s="159">
        <v>167.77547734069472</v>
      </c>
      <c r="I157" s="160">
        <v>0.9753853232114101</v>
      </c>
      <c r="J157" s="159">
        <v>172.73</v>
      </c>
      <c r="K157" s="160">
        <v>2.92</v>
      </c>
      <c r="L157" s="161">
        <v>172.67</v>
      </c>
      <c r="M157" s="160">
        <v>0.920208703333916</v>
      </c>
      <c r="N157" s="160">
        <v>0.920208703333916</v>
      </c>
      <c r="O157" s="160">
        <v>0.920208703333916</v>
      </c>
      <c r="P157" s="160">
        <v>0.920208703333916</v>
      </c>
      <c r="Q157" s="162">
        <v>1.0</v>
      </c>
    </row>
    <row r="158">
      <c r="A158" s="54">
        <v>45498.95969916666</v>
      </c>
      <c r="B158" s="158">
        <v>1.08459</v>
      </c>
      <c r="C158" s="159">
        <v>162.05</v>
      </c>
      <c r="D158" s="160">
        <v>1.0873687979848854</v>
      </c>
      <c r="E158" s="160">
        <v>2.95</v>
      </c>
      <c r="F158" s="160">
        <v>1.087521283689678</v>
      </c>
      <c r="G158" s="159">
        <v>60728.05988863075</v>
      </c>
      <c r="H158" s="159">
        <v>158.36928863812366</v>
      </c>
      <c r="I158" s="160">
        <v>0.8887413799461591</v>
      </c>
      <c r="J158" s="159">
        <v>162.05</v>
      </c>
      <c r="K158" s="160">
        <v>2.95</v>
      </c>
      <c r="L158" s="161">
        <v>162.09</v>
      </c>
      <c r="M158" s="160">
        <v>0.9220073944993039</v>
      </c>
      <c r="N158" s="160">
        <v>0.9220073944993039</v>
      </c>
      <c r="O158" s="160">
        <v>0.9220073944993039</v>
      </c>
      <c r="P158" s="160">
        <v>0.9220073944993039</v>
      </c>
      <c r="Q158" s="162">
        <v>1.0</v>
      </c>
    </row>
    <row r="159">
      <c r="A159" s="54">
        <v>45497.95975141204</v>
      </c>
      <c r="B159" s="158">
        <v>1.0883800000000001</v>
      </c>
      <c r="C159" s="159">
        <v>167.75</v>
      </c>
      <c r="D159" s="160">
        <v>1.0888132985136696</v>
      </c>
      <c r="E159" s="160">
        <v>2.93</v>
      </c>
      <c r="F159" s="160">
        <v>1.1003473883562633</v>
      </c>
      <c r="G159" s="159">
        <v>60418.534886712354</v>
      </c>
      <c r="H159" s="159">
        <v>163.22240393980042</v>
      </c>
      <c r="I159" s="160">
        <v>0.9197155405281242</v>
      </c>
      <c r="J159" s="159">
        <v>167.75</v>
      </c>
      <c r="K159" s="160">
        <v>2.93</v>
      </c>
      <c r="L159" s="161">
        <v>167.88</v>
      </c>
      <c r="M159" s="160">
        <v>0.91879674378434</v>
      </c>
      <c r="N159" s="160">
        <v>0.91879674378434</v>
      </c>
      <c r="O159" s="160">
        <v>0.91879674378434</v>
      </c>
      <c r="P159" s="160">
        <v>0.91879674378434</v>
      </c>
      <c r="Q159" s="162">
        <v>1.0</v>
      </c>
    </row>
    <row r="160">
      <c r="A160" s="54">
        <v>45496.959730358794</v>
      </c>
      <c r="B160" s="158">
        <v>1.0883800000000001</v>
      </c>
      <c r="C160" s="159">
        <v>162.51</v>
      </c>
      <c r="D160" s="160">
        <v>1.0910535454995076</v>
      </c>
      <c r="E160" s="160">
        <v>2.96</v>
      </c>
      <c r="F160" s="160">
        <v>1.1281335698087982</v>
      </c>
      <c r="G160" s="159">
        <v>60698.73481688381</v>
      </c>
      <c r="H160" s="159">
        <v>159.4801448023668</v>
      </c>
      <c r="I160" s="160">
        <v>0.8765320935702603</v>
      </c>
      <c r="J160" s="159">
        <v>162.51</v>
      </c>
      <c r="K160" s="160">
        <v>2.96</v>
      </c>
      <c r="L160" s="161">
        <v>162.46</v>
      </c>
      <c r="M160" s="160">
        <v>0.91879674378434</v>
      </c>
      <c r="N160" s="160">
        <v>0.91879674378434</v>
      </c>
      <c r="O160" s="160">
        <v>0.91879674378434</v>
      </c>
      <c r="P160" s="160">
        <v>0.91879674378434</v>
      </c>
      <c r="Q160" s="162">
        <v>1.0</v>
      </c>
    </row>
    <row r="161">
      <c r="A161" s="54">
        <v>45495.95970748842</v>
      </c>
      <c r="B161" s="158">
        <v>1.0883800000000001</v>
      </c>
      <c r="C161" s="159">
        <v>168.61</v>
      </c>
      <c r="D161" s="160">
        <v>1.091299247442244</v>
      </c>
      <c r="E161" s="160">
        <v>3.0</v>
      </c>
      <c r="F161" s="160">
        <v>1.1305900125234845</v>
      </c>
      <c r="G161" s="159">
        <v>62476.40438082287</v>
      </c>
      <c r="H161" s="159">
        <v>165.9411235046583</v>
      </c>
      <c r="I161" s="160">
        <v>0.9463606460978702</v>
      </c>
      <c r="J161" s="159">
        <v>168.61</v>
      </c>
      <c r="K161" s="160">
        <v>3.0</v>
      </c>
      <c r="L161" s="161">
        <v>170.62</v>
      </c>
      <c r="M161" s="160">
        <v>0.91879674378434</v>
      </c>
      <c r="N161" s="160">
        <v>0.91879674378434</v>
      </c>
      <c r="O161" s="160">
        <v>0.91879674378434</v>
      </c>
      <c r="P161" s="160">
        <v>0.91879674378434</v>
      </c>
      <c r="Q161" s="162">
        <v>1.0</v>
      </c>
    </row>
    <row r="162">
      <c r="A162" s="54">
        <v>45494.95968273148</v>
      </c>
      <c r="B162" s="158">
        <v>1.08849</v>
      </c>
      <c r="C162" s="159">
        <v>173.26</v>
      </c>
      <c r="D162" s="160">
        <v>1.094448675625905</v>
      </c>
      <c r="E162" s="160">
        <v>2.93</v>
      </c>
      <c r="F162" s="160">
        <v>1.1681204140168582</v>
      </c>
      <c r="G162" s="159">
        <v>62613.99829121076</v>
      </c>
      <c r="H162" s="159">
        <v>168.51969241793677</v>
      </c>
      <c r="I162" s="160">
        <v>0.9931189078448125</v>
      </c>
      <c r="J162" s="159">
        <v>173.26</v>
      </c>
      <c r="K162" s="160">
        <v>2.93</v>
      </c>
      <c r="L162" s="161">
        <v>169.24</v>
      </c>
      <c r="M162" s="160">
        <v>0.9187038925483928</v>
      </c>
      <c r="N162" s="160">
        <v>0.9187038925483928</v>
      </c>
      <c r="O162" s="160">
        <v>0.9187038925483928</v>
      </c>
      <c r="P162" s="160">
        <v>0.9187038925483928</v>
      </c>
      <c r="Q162" s="162">
        <v>1.0</v>
      </c>
    </row>
    <row r="163">
      <c r="A163" s="54">
        <v>45493.9597025</v>
      </c>
      <c r="B163" s="158">
        <v>1.0886300000000002</v>
      </c>
      <c r="C163" s="159">
        <v>163.75</v>
      </c>
      <c r="D163" s="160">
        <v>1.0936462695323868</v>
      </c>
      <c r="E163" s="160">
        <v>2.89</v>
      </c>
      <c r="F163" s="160">
        <v>1.161441212824559</v>
      </c>
      <c r="G163" s="159">
        <v>61904.31459724607</v>
      </c>
      <c r="H163" s="159">
        <v>160.28402671247346</v>
      </c>
      <c r="I163" s="160">
        <v>0.9580849324380182</v>
      </c>
      <c r="J163" s="159">
        <v>163.75</v>
      </c>
      <c r="K163" s="160">
        <v>2.89</v>
      </c>
      <c r="L163" s="161">
        <v>162.96</v>
      </c>
      <c r="M163" s="160">
        <v>0.9185857453864029</v>
      </c>
      <c r="N163" s="160">
        <v>0.9185857453864029</v>
      </c>
      <c r="O163" s="160">
        <v>0.9185857453864029</v>
      </c>
      <c r="P163" s="160">
        <v>0.9185857453864029</v>
      </c>
      <c r="Q163" s="162">
        <v>1.0</v>
      </c>
    </row>
    <row r="164">
      <c r="A164" s="54">
        <v>45492.95968944444</v>
      </c>
      <c r="B164" s="158">
        <v>1.0888699999999998</v>
      </c>
      <c r="C164" s="159">
        <v>158.98</v>
      </c>
      <c r="D164" s="160">
        <v>1.0942773726182469</v>
      </c>
      <c r="E164" s="160">
        <v>2.82</v>
      </c>
      <c r="F164" s="160">
        <v>1.1677747669939114</v>
      </c>
      <c r="G164" s="159">
        <v>61420.45974266901</v>
      </c>
      <c r="H164" s="159">
        <v>154.87064571528285</v>
      </c>
      <c r="I164" s="160">
        <v>0.9321590272484319</v>
      </c>
      <c r="J164" s="159">
        <v>158.98</v>
      </c>
      <c r="K164" s="160">
        <v>2.82</v>
      </c>
      <c r="L164" s="161">
        <v>157.71</v>
      </c>
      <c r="M164" s="160">
        <v>0.9183832780772729</v>
      </c>
      <c r="N164" s="160">
        <v>0.9183832780772729</v>
      </c>
      <c r="O164" s="160">
        <v>0.9183832780772729</v>
      </c>
      <c r="P164" s="160">
        <v>0.9183832780772729</v>
      </c>
      <c r="Q164" s="162">
        <v>1.0</v>
      </c>
    </row>
    <row r="165">
      <c r="A165" s="54">
        <v>45491.95968494213</v>
      </c>
      <c r="B165" s="158">
        <v>1.08966</v>
      </c>
      <c r="C165" s="159">
        <v>149.62</v>
      </c>
      <c r="D165" s="160">
        <v>1.0927845682573782</v>
      </c>
      <c r="E165" s="160">
        <v>2.79</v>
      </c>
      <c r="F165" s="160">
        <v>1.1510687323705835</v>
      </c>
      <c r="G165" s="159">
        <v>58832.56703925995</v>
      </c>
      <c r="H165" s="159">
        <v>145.35818512196462</v>
      </c>
      <c r="I165" s="160">
        <v>0.8791733201182019</v>
      </c>
      <c r="J165" s="159">
        <v>149.62</v>
      </c>
      <c r="K165" s="160">
        <v>2.79</v>
      </c>
      <c r="L165" s="161">
        <v>149.4</v>
      </c>
      <c r="M165" s="160">
        <v>0.917717453150524</v>
      </c>
      <c r="N165" s="160">
        <v>0.917717453150524</v>
      </c>
      <c r="O165" s="160">
        <v>0.917717453150524</v>
      </c>
      <c r="P165" s="160">
        <v>0.917717453150524</v>
      </c>
      <c r="Q165" s="162">
        <v>1.0</v>
      </c>
    </row>
    <row r="166">
      <c r="A166" s="54">
        <v>45490.95971623843</v>
      </c>
      <c r="B166" s="158">
        <v>1.0938800000000002</v>
      </c>
      <c r="C166" s="159">
        <v>146.07</v>
      </c>
      <c r="D166" s="160">
        <v>1.1068459377547226</v>
      </c>
      <c r="E166" s="160">
        <v>2.82</v>
      </c>
      <c r="F166" s="160">
        <v>1.1592891343552216</v>
      </c>
      <c r="G166" s="159">
        <v>59139.030789483295</v>
      </c>
      <c r="H166" s="159">
        <v>143.172011555198</v>
      </c>
      <c r="I166" s="160">
        <v>0.827330237320364</v>
      </c>
      <c r="J166" s="159">
        <v>146.07</v>
      </c>
      <c r="K166" s="160">
        <v>2.82</v>
      </c>
      <c r="L166" s="161">
        <v>146.21</v>
      </c>
      <c r="M166" s="160">
        <v>0.914177057812557</v>
      </c>
      <c r="N166" s="160">
        <v>0.914177057812557</v>
      </c>
      <c r="O166" s="160">
        <v>0.914177057812557</v>
      </c>
      <c r="P166" s="160">
        <v>0.914177057812557</v>
      </c>
      <c r="Q166" s="162">
        <v>1.0</v>
      </c>
    </row>
    <row r="167">
      <c r="A167" s="54">
        <v>45489.95970040509</v>
      </c>
      <c r="B167" s="158">
        <v>1.0883399999999999</v>
      </c>
      <c r="C167" s="159">
        <v>150.58</v>
      </c>
      <c r="D167" s="160">
        <v>1.0947886940276046</v>
      </c>
      <c r="E167" s="160">
        <v>2.82</v>
      </c>
      <c r="F167" s="160">
        <v>1.17509342316731</v>
      </c>
      <c r="G167" s="159">
        <v>59479.315287502075</v>
      </c>
      <c r="H167" s="159">
        <v>147.52283293823623</v>
      </c>
      <c r="I167" s="160">
        <v>0.8306227833213886</v>
      </c>
      <c r="J167" s="159">
        <v>150.58</v>
      </c>
      <c r="K167" s="160">
        <v>2.82</v>
      </c>
      <c r="L167" s="161">
        <v>150.44</v>
      </c>
      <c r="M167" s="160">
        <v>0.91883051252366</v>
      </c>
      <c r="N167" s="160">
        <v>0.91883051252366</v>
      </c>
      <c r="O167" s="160">
        <v>0.91883051252366</v>
      </c>
      <c r="P167" s="160">
        <v>0.91883051252366</v>
      </c>
      <c r="Q167" s="162">
        <v>1.0</v>
      </c>
    </row>
    <row r="168">
      <c r="A168" s="54">
        <v>45488.95970396991</v>
      </c>
      <c r="B168" s="158">
        <v>1.09131</v>
      </c>
      <c r="C168" s="159">
        <v>150.21</v>
      </c>
      <c r="D168" s="160">
        <v>1.0928818141770205</v>
      </c>
      <c r="E168" s="160">
        <v>2.71</v>
      </c>
      <c r="F168" s="160">
        <v>1.1493077279169988</v>
      </c>
      <c r="G168" s="159">
        <v>58351.95407354464</v>
      </c>
      <c r="H168" s="159">
        <v>143.10049390182442</v>
      </c>
      <c r="I168" s="160">
        <v>0.8008723460794824</v>
      </c>
      <c r="J168" s="159">
        <v>150.21</v>
      </c>
      <c r="K168" s="160">
        <v>2.71</v>
      </c>
      <c r="L168" s="161">
        <v>149.29</v>
      </c>
      <c r="M168" s="160">
        <v>0.9163299154227488</v>
      </c>
      <c r="N168" s="160">
        <v>0.9163299154227488</v>
      </c>
      <c r="O168" s="160">
        <v>0.9163299154227488</v>
      </c>
      <c r="P168" s="160">
        <v>0.9163299154227488</v>
      </c>
      <c r="Q168" s="162">
        <v>1.0</v>
      </c>
    </row>
    <row r="169">
      <c r="A169" s="54">
        <v>45487.95969746528</v>
      </c>
      <c r="B169" s="158">
        <v>1.08974</v>
      </c>
      <c r="C169" s="159">
        <v>137.82</v>
      </c>
      <c r="D169" s="160">
        <v>1.0871239849820213</v>
      </c>
      <c r="E169" s="160">
        <v>2.67</v>
      </c>
      <c r="F169" s="160">
        <v>1.0835569636104116</v>
      </c>
      <c r="G169" s="159">
        <v>56339.37361205425</v>
      </c>
      <c r="H169" s="159">
        <v>135.96729495108926</v>
      </c>
      <c r="I169" s="160">
        <v>0.7588966175417989</v>
      </c>
      <c r="J169" s="159">
        <v>137.82</v>
      </c>
      <c r="K169" s="160">
        <v>2.67</v>
      </c>
      <c r="L169" s="161">
        <v>138.79</v>
      </c>
      <c r="M169" s="160">
        <v>0.9176500816708574</v>
      </c>
      <c r="N169" s="160">
        <v>0.9176500816708574</v>
      </c>
      <c r="O169" s="160">
        <v>0.9176500816708574</v>
      </c>
      <c r="P169" s="160">
        <v>0.9176500816708574</v>
      </c>
      <c r="Q169" s="162">
        <v>1.0</v>
      </c>
    </row>
    <row r="170">
      <c r="A170" s="54">
        <v>45486.95969127315</v>
      </c>
      <c r="B170" s="158">
        <v>1.0910499999999999</v>
      </c>
      <c r="C170" s="159">
        <v>133.06</v>
      </c>
      <c r="D170" s="160">
        <v>1.084253254151223</v>
      </c>
      <c r="E170" s="160">
        <v>2.65</v>
      </c>
      <c r="F170" s="160">
        <v>1.043981648444132</v>
      </c>
      <c r="G170" s="159">
        <v>53978.42628660465</v>
      </c>
      <c r="H170" s="159">
        <v>128.51290041702947</v>
      </c>
      <c r="I170" s="160">
        <v>0.69566014389808</v>
      </c>
      <c r="J170" s="159">
        <v>133.06</v>
      </c>
      <c r="K170" s="160">
        <v>2.65</v>
      </c>
      <c r="L170" s="161">
        <v>133.4</v>
      </c>
      <c r="M170" s="160">
        <v>0.916548279180606</v>
      </c>
      <c r="N170" s="160">
        <v>0.916548279180606</v>
      </c>
      <c r="O170" s="160">
        <v>0.916548279180606</v>
      </c>
      <c r="P170" s="160">
        <v>0.916548279180606</v>
      </c>
      <c r="Q170" s="162">
        <v>1.0</v>
      </c>
    </row>
    <row r="171">
      <c r="A171" s="54">
        <v>45485.95848983796</v>
      </c>
      <c r="B171" s="158">
        <v>1.09079</v>
      </c>
      <c r="C171" s="159">
        <v>129.93</v>
      </c>
      <c r="D171" s="160">
        <v>1.0820749928019044</v>
      </c>
      <c r="E171" s="160">
        <v>2.64</v>
      </c>
      <c r="F171" s="160">
        <v>1.0180723308569113</v>
      </c>
      <c r="G171" s="159">
        <v>53064.3790280439</v>
      </c>
      <c r="H171" s="159">
        <v>126.63849136864108</v>
      </c>
      <c r="I171" s="160">
        <v>0.6912421272655599</v>
      </c>
      <c r="J171" s="159">
        <v>129.93</v>
      </c>
      <c r="K171" s="160">
        <v>2.64</v>
      </c>
      <c r="L171" s="161">
        <v>130.39</v>
      </c>
      <c r="M171" s="160">
        <v>0.9167667470365516</v>
      </c>
      <c r="N171" s="160">
        <v>0.9167667470365516</v>
      </c>
      <c r="O171" s="160">
        <v>0.9167667470365516</v>
      </c>
      <c r="P171" s="160">
        <v>0.9167667470365516</v>
      </c>
      <c r="Q171" s="162">
        <v>1.0</v>
      </c>
    </row>
    <row r="172">
      <c r="A172" s="54">
        <v>45484.95970446759</v>
      </c>
      <c r="B172" s="158">
        <v>1.08796</v>
      </c>
      <c r="C172" s="159">
        <v>127.87</v>
      </c>
      <c r="D172" s="160">
        <v>1.0805076839399264</v>
      </c>
      <c r="E172" s="160">
        <v>2.67</v>
      </c>
      <c r="F172" s="160">
        <v>1.0061986422403213</v>
      </c>
      <c r="G172" s="159">
        <v>52949.561564763404</v>
      </c>
      <c r="H172" s="159">
        <v>125.53586528916505</v>
      </c>
      <c r="I172" s="160">
        <v>0.6792529137100628</v>
      </c>
      <c r="J172" s="159">
        <v>127.87</v>
      </c>
      <c r="K172" s="160">
        <v>2.67</v>
      </c>
      <c r="L172" s="161">
        <v>128.02</v>
      </c>
      <c r="M172" s="160">
        <v>0.9191514393911541</v>
      </c>
      <c r="N172" s="160">
        <v>0.9191514393911541</v>
      </c>
      <c r="O172" s="160">
        <v>0.9191514393911541</v>
      </c>
      <c r="P172" s="160">
        <v>0.9191514393911541</v>
      </c>
      <c r="Q172" s="162">
        <v>1.0</v>
      </c>
    </row>
    <row r="173">
      <c r="A173" s="54">
        <v>45483.95971618056</v>
      </c>
      <c r="B173" s="158">
        <v>1.0824200000000002</v>
      </c>
      <c r="C173" s="159">
        <v>132.9</v>
      </c>
      <c r="D173" s="160">
        <v>1.078908775004097</v>
      </c>
      <c r="E173" s="160">
        <v>2.67</v>
      </c>
      <c r="F173" s="160">
        <v>0.9856829728216125</v>
      </c>
      <c r="G173" s="159">
        <v>53258.91705622586</v>
      </c>
      <c r="H173" s="159">
        <v>130.43550562628184</v>
      </c>
      <c r="I173" s="160">
        <v>0.7150643927495796</v>
      </c>
      <c r="J173" s="159">
        <v>132.9</v>
      </c>
      <c r="K173" s="160">
        <v>2.67</v>
      </c>
      <c r="L173" s="161">
        <v>133.29</v>
      </c>
      <c r="M173" s="160">
        <v>0.9238558045860201</v>
      </c>
      <c r="N173" s="160">
        <v>0.9238558045860201</v>
      </c>
      <c r="O173" s="160">
        <v>0.9238558045860201</v>
      </c>
      <c r="P173" s="160">
        <v>0.9238558045860201</v>
      </c>
      <c r="Q173" s="162">
        <v>1.0</v>
      </c>
    </row>
    <row r="174">
      <c r="A174" s="54">
        <v>45482.959697812505</v>
      </c>
      <c r="B174" s="158">
        <v>1.08147</v>
      </c>
      <c r="C174" s="159">
        <v>133.71</v>
      </c>
      <c r="D174" s="160">
        <v>1.0792332462232423</v>
      </c>
      <c r="E174" s="160">
        <v>2.65</v>
      </c>
      <c r="F174" s="160">
        <v>0.9886803074261792</v>
      </c>
      <c r="G174" s="159">
        <v>53543.377070099035</v>
      </c>
      <c r="H174" s="159">
        <v>131.30831183481743</v>
      </c>
      <c r="I174" s="160">
        <v>0.7323365419290411</v>
      </c>
      <c r="J174" s="159">
        <v>133.71</v>
      </c>
      <c r="K174" s="160">
        <v>2.65</v>
      </c>
      <c r="L174" s="161">
        <v>134.28</v>
      </c>
      <c r="M174" s="160">
        <v>0.9246673509205064</v>
      </c>
      <c r="N174" s="160">
        <v>0.9246673509205064</v>
      </c>
      <c r="O174" s="160">
        <v>0.9246673509205064</v>
      </c>
      <c r="P174" s="160">
        <v>0.9246673509205064</v>
      </c>
      <c r="Q174" s="162">
        <v>1.0</v>
      </c>
    </row>
    <row r="175">
      <c r="A175" s="54">
        <v>45481.95971391204</v>
      </c>
      <c r="B175" s="158">
        <v>1.08253</v>
      </c>
      <c r="C175" s="159">
        <v>132.41</v>
      </c>
      <c r="D175" s="160">
        <v>1.074275912315778</v>
      </c>
      <c r="E175" s="160">
        <v>2.59</v>
      </c>
      <c r="F175" s="160">
        <v>0.9724972874657145</v>
      </c>
      <c r="G175" s="159">
        <v>52461.73316212946</v>
      </c>
      <c r="H175" s="159">
        <v>129.42458869500152</v>
      </c>
      <c r="I175" s="160">
        <v>0.6734224455673283</v>
      </c>
      <c r="J175" s="159">
        <v>132.41</v>
      </c>
      <c r="K175" s="160">
        <v>2.59</v>
      </c>
      <c r="L175" s="161">
        <v>132.69</v>
      </c>
      <c r="M175" s="160">
        <v>0.9237619280758963</v>
      </c>
      <c r="N175" s="160">
        <v>0.9237619280758963</v>
      </c>
      <c r="O175" s="160">
        <v>0.9237619280758963</v>
      </c>
      <c r="P175" s="160">
        <v>0.9237619280758963</v>
      </c>
      <c r="Q175" s="162">
        <v>1.0</v>
      </c>
    </row>
    <row r="176">
      <c r="A176" s="54">
        <v>45480.959715185185</v>
      </c>
      <c r="B176" s="158">
        <v>1.08273</v>
      </c>
      <c r="C176" s="159">
        <v>125.87</v>
      </c>
      <c r="D176" s="160">
        <v>1.072771470877854</v>
      </c>
      <c r="E176" s="160">
        <v>2.67</v>
      </c>
      <c r="F176" s="160">
        <v>0.9562496860800754</v>
      </c>
      <c r="G176" s="159">
        <v>52232.23610687799</v>
      </c>
      <c r="H176" s="159">
        <v>123.93025038559936</v>
      </c>
      <c r="I176" s="160">
        <v>0.650208269836432</v>
      </c>
      <c r="J176" s="159">
        <v>125.87</v>
      </c>
      <c r="K176" s="160">
        <v>2.67</v>
      </c>
      <c r="L176" s="161">
        <v>125.01</v>
      </c>
      <c r="M176" s="160">
        <v>0.9235912923812954</v>
      </c>
      <c r="N176" s="160">
        <v>0.9235912923812954</v>
      </c>
      <c r="O176" s="160">
        <v>0.9235912923812954</v>
      </c>
      <c r="P176" s="160">
        <v>0.9235912923812954</v>
      </c>
      <c r="Q176" s="162">
        <v>1.0</v>
      </c>
    </row>
    <row r="177">
      <c r="A177" s="54">
        <v>45479.95970086806</v>
      </c>
      <c r="B177" s="158">
        <v>1.08422</v>
      </c>
      <c r="C177" s="159">
        <v>135.34</v>
      </c>
      <c r="D177" s="160">
        <v>1.0760826881881083</v>
      </c>
      <c r="E177" s="160">
        <v>2.61</v>
      </c>
      <c r="F177" s="160">
        <v>0.9942329949983675</v>
      </c>
      <c r="G177" s="159">
        <v>53533.42587297781</v>
      </c>
      <c r="H177" s="159">
        <v>131.93724520853704</v>
      </c>
      <c r="I177" s="160">
        <v>0.7332460201804063</v>
      </c>
      <c r="J177" s="159">
        <v>135.34</v>
      </c>
      <c r="K177" s="160">
        <v>2.61</v>
      </c>
      <c r="L177" s="161">
        <v>135.14</v>
      </c>
      <c r="M177" s="160">
        <v>0.9223220379627751</v>
      </c>
      <c r="N177" s="160">
        <v>0.9223220379627751</v>
      </c>
      <c r="O177" s="160">
        <v>0.9223220379627751</v>
      </c>
      <c r="P177" s="160">
        <v>0.9223220379627751</v>
      </c>
      <c r="Q177" s="162">
        <v>1.0</v>
      </c>
    </row>
    <row r="178">
      <c r="A178" s="54">
        <v>45478.95970274306</v>
      </c>
      <c r="B178" s="158">
        <v>1.08249</v>
      </c>
      <c r="C178" s="159">
        <v>126.67</v>
      </c>
      <c r="D178" s="160">
        <v>1.073421901436145</v>
      </c>
      <c r="E178" s="160">
        <v>2.57</v>
      </c>
      <c r="F178" s="160">
        <v>0.9587489894147753</v>
      </c>
      <c r="G178" s="159">
        <v>52419.612190412845</v>
      </c>
      <c r="H178" s="159">
        <v>124.47597668338739</v>
      </c>
      <c r="I178" s="160">
        <v>0.68083769826973</v>
      </c>
      <c r="J178" s="159">
        <v>126.67</v>
      </c>
      <c r="K178" s="160">
        <v>2.57</v>
      </c>
      <c r="L178" s="161">
        <v>126.87</v>
      </c>
      <c r="M178" s="160">
        <v>0.9237960627811804</v>
      </c>
      <c r="N178" s="160">
        <v>0.9237960627811804</v>
      </c>
      <c r="O178" s="160">
        <v>0.9237960627811804</v>
      </c>
      <c r="P178" s="160">
        <v>0.9237960627811804</v>
      </c>
      <c r="Q178" s="162">
        <v>1.0</v>
      </c>
    </row>
    <row r="179">
      <c r="A179" s="54">
        <v>45477.959693854165</v>
      </c>
      <c r="B179" s="158">
        <v>1.08074</v>
      </c>
      <c r="C179" s="159">
        <v>122.66</v>
      </c>
      <c r="D179" s="160">
        <v>1.076691048051565</v>
      </c>
      <c r="E179" s="160">
        <v>2.66</v>
      </c>
      <c r="F179" s="160">
        <v>1.0031029523601236</v>
      </c>
      <c r="G179" s="159">
        <v>54259.7738586524</v>
      </c>
      <c r="H179" s="159">
        <v>124.81632955197365</v>
      </c>
      <c r="I179" s="160">
        <v>0.7263541647389752</v>
      </c>
      <c r="J179" s="159">
        <v>122.66</v>
      </c>
      <c r="K179" s="160">
        <v>2.66</v>
      </c>
      <c r="L179" s="161">
        <v>124.14</v>
      </c>
      <c r="M179" s="160">
        <v>0.9252919296037899</v>
      </c>
      <c r="N179" s="160">
        <v>0.9252919296037899</v>
      </c>
      <c r="O179" s="160">
        <v>0.9252919296037899</v>
      </c>
      <c r="P179" s="160">
        <v>0.9252919296037899</v>
      </c>
      <c r="Q179" s="162">
        <v>1.0</v>
      </c>
    </row>
    <row r="180">
      <c r="A180" s="54">
        <v>45476.959687256945</v>
      </c>
      <c r="B180" s="158">
        <v>1.08117</v>
      </c>
      <c r="C180" s="159">
        <v>133.07</v>
      </c>
      <c r="D180" s="160">
        <v>1.0818561303082979</v>
      </c>
      <c r="E180" s="160">
        <v>2.74</v>
      </c>
      <c r="F180" s="160">
        <v>1.073266594313281</v>
      </c>
      <c r="G180" s="159">
        <v>55872.463164904686</v>
      </c>
      <c r="H180" s="159">
        <v>130.94795453073985</v>
      </c>
      <c r="I180" s="160">
        <v>0.7232905093556056</v>
      </c>
      <c r="J180" s="159">
        <v>133.07</v>
      </c>
      <c r="K180" s="160">
        <v>2.74</v>
      </c>
      <c r="L180" s="161">
        <v>133.11</v>
      </c>
      <c r="M180" s="160">
        <v>0.9249239250071682</v>
      </c>
      <c r="N180" s="160">
        <v>0.9249239250071682</v>
      </c>
      <c r="O180" s="160">
        <v>0.9249239250071682</v>
      </c>
      <c r="P180" s="160">
        <v>0.9249239250071682</v>
      </c>
      <c r="Q180" s="162">
        <v>1.0</v>
      </c>
    </row>
    <row r="181">
      <c r="A181" s="54">
        <v>45475.9597037037</v>
      </c>
      <c r="B181" s="158">
        <v>1.0727200000000001</v>
      </c>
      <c r="C181" s="159">
        <v>145.16</v>
      </c>
      <c r="D181" s="160">
        <v>1.085613767694137</v>
      </c>
      <c r="E181" s="160">
        <v>2.72</v>
      </c>
      <c r="F181" s="160">
        <v>1.119165603829909</v>
      </c>
      <c r="G181" s="159">
        <v>57867.43791483331</v>
      </c>
      <c r="H181" s="159">
        <v>143.08113953314935</v>
      </c>
      <c r="I181" s="160">
        <v>0.8147512864493995</v>
      </c>
      <c r="J181" s="159">
        <v>145.16</v>
      </c>
      <c r="K181" s="160">
        <v>2.72</v>
      </c>
      <c r="L181" s="161">
        <v>145.63</v>
      </c>
      <c r="M181" s="160">
        <v>0.9322097098963382</v>
      </c>
      <c r="N181" s="160">
        <v>0.9322097098963382</v>
      </c>
      <c r="O181" s="160">
        <v>0.9322097098963382</v>
      </c>
      <c r="P181" s="160">
        <v>0.9322097098963382</v>
      </c>
      <c r="Q181" s="162">
        <v>1.0</v>
      </c>
    </row>
    <row r="182">
      <c r="A182" s="54">
        <v>45474.95969978009</v>
      </c>
      <c r="B182" s="158">
        <v>1.07235</v>
      </c>
      <c r="C182" s="159">
        <v>139.13</v>
      </c>
      <c r="D182" s="160">
        <v>1.0864408506887984</v>
      </c>
      <c r="E182" s="160">
        <v>2.72</v>
      </c>
      <c r="F182" s="160">
        <v>1.137353568161468</v>
      </c>
      <c r="G182" s="159">
        <v>58851.12323401875</v>
      </c>
      <c r="H182" s="159">
        <v>137.4420664894857</v>
      </c>
      <c r="I182" s="160">
        <v>0.7973143096936635</v>
      </c>
      <c r="J182" s="159">
        <v>139.13</v>
      </c>
      <c r="K182" s="160">
        <v>2.72</v>
      </c>
      <c r="L182" s="161">
        <v>140.12</v>
      </c>
      <c r="M182" s="160">
        <v>0.9325313563668579</v>
      </c>
      <c r="N182" s="160">
        <v>0.9325313563668579</v>
      </c>
      <c r="O182" s="160">
        <v>0.9325313563668579</v>
      </c>
      <c r="P182" s="160">
        <v>0.9325313563668579</v>
      </c>
      <c r="Q182" s="162">
        <v>1.0</v>
      </c>
    </row>
    <row r="183">
      <c r="A183" s="54">
        <v>45473.95974034722</v>
      </c>
      <c r="B183" s="158">
        <v>1.07055</v>
      </c>
      <c r="C183" s="159">
        <v>139.7</v>
      </c>
      <c r="D183" s="160">
        <v>1.0821764093182515</v>
      </c>
      <c r="E183" s="160">
        <v>2.68</v>
      </c>
      <c r="F183" s="160">
        <v>1.08</v>
      </c>
      <c r="G183" s="159">
        <v>57844.33795712485</v>
      </c>
      <c r="H183" s="159">
        <v>134.77278034655086</v>
      </c>
      <c r="I183" s="160">
        <v>0.7510158329830462</v>
      </c>
      <c r="J183" s="159">
        <v>139.7</v>
      </c>
      <c r="K183" s="160">
        <v>2.68</v>
      </c>
      <c r="L183" s="161">
        <v>139.52</v>
      </c>
      <c r="M183" s="160">
        <v>0.9340992947550325</v>
      </c>
      <c r="N183" s="160">
        <v>0.9340992947550325</v>
      </c>
      <c r="O183" s="160">
        <v>0.9340992947550325</v>
      </c>
      <c r="P183" s="160">
        <v>0.9340992947550325</v>
      </c>
      <c r="Q183" s="162">
        <v>1.0</v>
      </c>
    </row>
    <row r="184">
      <c r="A184" s="54">
        <v>45472.959714490746</v>
      </c>
      <c r="B184" s="158">
        <v>1.07134</v>
      </c>
      <c r="C184" s="159">
        <v>133.21</v>
      </c>
      <c r="D184" s="160">
        <v>1.0821764093182515</v>
      </c>
      <c r="E184" s="160">
        <v>2.67</v>
      </c>
      <c r="F184" s="160">
        <v>1.08</v>
      </c>
      <c r="G184" s="159">
        <v>57086.18459125955</v>
      </c>
      <c r="H184" s="159">
        <v>131.16377620549966</v>
      </c>
      <c r="I184" s="160">
        <v>0.7429947542330166</v>
      </c>
      <c r="J184" s="159">
        <v>133.21</v>
      </c>
      <c r="K184" s="160">
        <v>2.67</v>
      </c>
      <c r="L184" s="161">
        <v>134.29</v>
      </c>
      <c r="M184" s="160">
        <v>0.9334104952676088</v>
      </c>
      <c r="N184" s="160">
        <v>0.9334104952676088</v>
      </c>
      <c r="O184" s="160">
        <v>0.9334104952676088</v>
      </c>
      <c r="P184" s="160">
        <v>0.9334104952676088</v>
      </c>
      <c r="Q184" s="162">
        <v>1.0</v>
      </c>
    </row>
    <row r="185">
      <c r="A185" s="54">
        <v>45471.95975121528</v>
      </c>
      <c r="B185" s="158">
        <v>1.07133</v>
      </c>
      <c r="C185" s="159">
        <v>133.19</v>
      </c>
      <c r="D185" s="160">
        <v>1.0821764093182515</v>
      </c>
      <c r="E185" s="160">
        <v>2.72</v>
      </c>
      <c r="F185" s="160">
        <v>1.08</v>
      </c>
      <c r="G185" s="159">
        <v>56423.817124508794</v>
      </c>
      <c r="H185" s="159">
        <v>130.78883257259668</v>
      </c>
      <c r="I185" s="160">
        <v>0.740201431865065</v>
      </c>
      <c r="J185" s="159">
        <v>133.19</v>
      </c>
      <c r="K185" s="160">
        <v>2.72</v>
      </c>
      <c r="L185" s="161">
        <v>133.41</v>
      </c>
      <c r="M185" s="160">
        <v>0.9334192079004603</v>
      </c>
      <c r="N185" s="160">
        <v>0.9334192079004603</v>
      </c>
      <c r="O185" s="160">
        <v>0.9334192079004603</v>
      </c>
      <c r="P185" s="160">
        <v>0.9334192079004603</v>
      </c>
      <c r="Q185" s="162">
        <v>1.0</v>
      </c>
    </row>
    <row r="186">
      <c r="A186" s="54">
        <v>45470.959732557865</v>
      </c>
      <c r="B186" s="158">
        <v>1.07074</v>
      </c>
      <c r="C186" s="159">
        <v>142.3</v>
      </c>
      <c r="D186" s="160">
        <v>1.0821764093182515</v>
      </c>
      <c r="E186" s="160">
        <v>2.65</v>
      </c>
      <c r="F186" s="160">
        <v>1.08</v>
      </c>
      <c r="G186" s="159">
        <v>57696.875058370846</v>
      </c>
      <c r="H186" s="159">
        <v>139.90044268449856</v>
      </c>
      <c r="I186" s="160">
        <v>0.8013149784261352</v>
      </c>
      <c r="J186" s="159">
        <v>142.3</v>
      </c>
      <c r="K186" s="160">
        <v>2.65</v>
      </c>
      <c r="L186" s="161">
        <v>142.83</v>
      </c>
      <c r="M186" s="160">
        <v>0.9339335412892018</v>
      </c>
      <c r="N186" s="160">
        <v>0.9339335412892018</v>
      </c>
      <c r="O186" s="160">
        <v>0.9339335412892018</v>
      </c>
      <c r="P186" s="160">
        <v>0.9339335412892018</v>
      </c>
      <c r="Q186" s="162">
        <v>1.0</v>
      </c>
    </row>
    <row r="187">
      <c r="A187" s="54">
        <v>45469.959721203704</v>
      </c>
      <c r="B187" s="158">
        <v>1.06827</v>
      </c>
      <c r="C187" s="159">
        <v>130.68</v>
      </c>
      <c r="D187" s="160">
        <v>1.0821764093182515</v>
      </c>
      <c r="E187" s="160">
        <v>2.66</v>
      </c>
      <c r="F187" s="160">
        <v>1.08</v>
      </c>
      <c r="G187" s="159">
        <v>57300.001872185865</v>
      </c>
      <c r="H187" s="159">
        <v>128.80451571231993</v>
      </c>
      <c r="I187" s="160">
        <v>0.7413856047628409</v>
      </c>
      <c r="J187" s="159">
        <v>130.68</v>
      </c>
      <c r="K187" s="160">
        <v>2.66</v>
      </c>
      <c r="L187" s="161">
        <v>130.76</v>
      </c>
      <c r="M187" s="160">
        <v>0.9360929353066172</v>
      </c>
      <c r="N187" s="160">
        <v>0.9360929353066172</v>
      </c>
      <c r="O187" s="160">
        <v>0.9360929353066172</v>
      </c>
      <c r="P187" s="160">
        <v>0.9360929353066172</v>
      </c>
      <c r="Q187" s="162">
        <v>1.0</v>
      </c>
    </row>
    <row r="188">
      <c r="A188" s="54">
        <v>45468.95973826389</v>
      </c>
      <c r="B188" s="158">
        <v>1.07174</v>
      </c>
      <c r="C188" s="159">
        <v>131.5</v>
      </c>
      <c r="D188" s="160">
        <v>1.0903434084672168</v>
      </c>
      <c r="E188" s="160">
        <v>2.62</v>
      </c>
      <c r="F188" s="160">
        <v>1.192349855724148</v>
      </c>
      <c r="G188" s="159">
        <v>57765.444977326595</v>
      </c>
      <c r="H188" s="159">
        <v>128.1691455017075</v>
      </c>
      <c r="I188" s="160">
        <v>0.7585795062235243</v>
      </c>
      <c r="J188" s="159">
        <v>131.5</v>
      </c>
      <c r="K188" s="160">
        <v>2.62</v>
      </c>
      <c r="L188" s="161">
        <v>131.06</v>
      </c>
      <c r="M188" s="160">
        <v>0.9330621232761678</v>
      </c>
      <c r="N188" s="160">
        <v>0.9330621232761678</v>
      </c>
      <c r="O188" s="160">
        <v>0.9330621232761678</v>
      </c>
      <c r="P188" s="160">
        <v>0.9330621232761678</v>
      </c>
      <c r="Q188" s="162">
        <v>1.0</v>
      </c>
    </row>
    <row r="189">
      <c r="A189" s="54">
        <v>45467.95972663195</v>
      </c>
      <c r="B189" s="158">
        <v>1.07358</v>
      </c>
      <c r="C189" s="159">
        <v>124.96</v>
      </c>
      <c r="D189" s="160">
        <v>1.0903434084672168</v>
      </c>
      <c r="E189" s="160">
        <v>2.59</v>
      </c>
      <c r="F189" s="160">
        <v>1.192349855724148</v>
      </c>
      <c r="G189" s="159">
        <v>56157.89694293858</v>
      </c>
      <c r="H189" s="159">
        <v>121.83442314499153</v>
      </c>
      <c r="I189" s="160">
        <v>0.7069803833901526</v>
      </c>
      <c r="J189" s="159">
        <v>124.96</v>
      </c>
      <c r="K189" s="160">
        <v>2.59</v>
      </c>
      <c r="L189" s="161">
        <v>125.46</v>
      </c>
      <c r="M189" s="160">
        <v>0.9314629557182511</v>
      </c>
      <c r="N189" s="160">
        <v>0.9314629557182511</v>
      </c>
      <c r="O189" s="160">
        <v>0.9314629557182511</v>
      </c>
      <c r="P189" s="160">
        <v>0.9314629557182511</v>
      </c>
      <c r="Q189" s="162">
        <v>1.0</v>
      </c>
    </row>
    <row r="190">
      <c r="A190" s="54">
        <v>45466.95972854167</v>
      </c>
      <c r="B190" s="158">
        <v>1.0691400000000002</v>
      </c>
      <c r="C190" s="159">
        <v>122.14</v>
      </c>
      <c r="D190" s="160">
        <v>1.0903434084672168</v>
      </c>
      <c r="E190" s="160">
        <v>2.64</v>
      </c>
      <c r="F190" s="160">
        <v>1.192349855724148</v>
      </c>
      <c r="G190" s="159">
        <v>59772.82862861738</v>
      </c>
      <c r="H190" s="159">
        <v>122.00740782311016</v>
      </c>
      <c r="I190" s="160">
        <v>0.6977570757805337</v>
      </c>
      <c r="J190" s="159">
        <v>122.14</v>
      </c>
      <c r="K190" s="160">
        <v>2.64</v>
      </c>
      <c r="L190" s="161">
        <v>121.75</v>
      </c>
      <c r="M190" s="160">
        <v>0.9353312007781954</v>
      </c>
      <c r="N190" s="160">
        <v>0.9353312007781954</v>
      </c>
      <c r="O190" s="160">
        <v>0.9353312007781954</v>
      </c>
      <c r="P190" s="160">
        <v>0.9353312007781954</v>
      </c>
      <c r="Q190" s="162">
        <v>1.0</v>
      </c>
    </row>
    <row r="191">
      <c r="A191" s="54">
        <v>45465.959733483796</v>
      </c>
      <c r="B191" s="158">
        <v>1.06955</v>
      </c>
      <c r="C191" s="159">
        <v>127.15</v>
      </c>
      <c r="D191" s="160">
        <v>1.0903434084672168</v>
      </c>
      <c r="E191" s="160">
        <v>2.64</v>
      </c>
      <c r="F191" s="160">
        <v>1.192349855724148</v>
      </c>
      <c r="G191" s="159">
        <v>60330.54742648777</v>
      </c>
      <c r="H191" s="159">
        <v>125.7023982048525</v>
      </c>
      <c r="I191" s="160">
        <v>0.7283436959468936</v>
      </c>
      <c r="J191" s="159">
        <v>127.15</v>
      </c>
      <c r="K191" s="160">
        <v>2.64</v>
      </c>
      <c r="L191" s="161">
        <v>127.4</v>
      </c>
      <c r="M191" s="160">
        <v>0.9349726520499275</v>
      </c>
      <c r="N191" s="160">
        <v>0.9349726520499275</v>
      </c>
      <c r="O191" s="160">
        <v>0.9349726520499275</v>
      </c>
      <c r="P191" s="160">
        <v>0.9349726520499275</v>
      </c>
      <c r="Q191" s="162">
        <v>1.0</v>
      </c>
    </row>
    <row r="192">
      <c r="A192" s="54">
        <v>45464.959740555554</v>
      </c>
      <c r="B192" s="158">
        <v>1.06957</v>
      </c>
      <c r="C192" s="159">
        <v>127.83</v>
      </c>
      <c r="D192" s="160">
        <v>1.0900654482977032</v>
      </c>
      <c r="E192" s="160">
        <v>2.64</v>
      </c>
      <c r="F192" s="160">
        <v>1.192349855724148</v>
      </c>
      <c r="G192" s="159">
        <v>60094.045270529285</v>
      </c>
      <c r="H192" s="159">
        <v>124.93992913039821</v>
      </c>
      <c r="I192" s="160">
        <v>0.7143057490393336</v>
      </c>
      <c r="J192" s="159">
        <v>127.83</v>
      </c>
      <c r="K192" s="160">
        <v>2.64</v>
      </c>
      <c r="L192" s="161">
        <v>127.7</v>
      </c>
      <c r="M192" s="160">
        <v>0.9349551688996514</v>
      </c>
      <c r="N192" s="160">
        <v>0.9349551688996514</v>
      </c>
      <c r="O192" s="160">
        <v>0.9349551688996514</v>
      </c>
      <c r="P192" s="160">
        <v>0.9349551688996514</v>
      </c>
      <c r="Q192" s="162">
        <v>1.0</v>
      </c>
    </row>
    <row r="193">
      <c r="A193" s="54">
        <v>45463.95972903935</v>
      </c>
      <c r="B193" s="158">
        <v>1.0706</v>
      </c>
      <c r="C193" s="159">
        <v>127.05</v>
      </c>
      <c r="D193" s="160">
        <v>1.0894862984302238</v>
      </c>
      <c r="E193" s="160">
        <v>2.65</v>
      </c>
      <c r="F193" s="160">
        <v>1.192349855724148</v>
      </c>
      <c r="G193" s="159">
        <v>60808.93611059219</v>
      </c>
      <c r="H193" s="159">
        <v>124.7861012516346</v>
      </c>
      <c r="I193" s="160">
        <v>0.7266953110405381</v>
      </c>
      <c r="J193" s="159">
        <v>127.05</v>
      </c>
      <c r="K193" s="160">
        <v>2.65</v>
      </c>
      <c r="L193" s="161">
        <v>127.7</v>
      </c>
      <c r="M193" s="160">
        <v>0.9340556697179152</v>
      </c>
      <c r="N193" s="160">
        <v>0.9340556697179152</v>
      </c>
      <c r="O193" s="160">
        <v>0.9340556697179152</v>
      </c>
      <c r="P193" s="160">
        <v>0.9340556697179152</v>
      </c>
      <c r="Q193" s="162">
        <v>1.0</v>
      </c>
    </row>
    <row r="194">
      <c r="A194" s="54">
        <v>45462.95973524306</v>
      </c>
      <c r="B194" s="158">
        <v>1.0743800000000001</v>
      </c>
      <c r="C194" s="159">
        <v>128.27</v>
      </c>
      <c r="D194" s="160">
        <v>1.0894862984302238</v>
      </c>
      <c r="E194" s="160">
        <v>2.64</v>
      </c>
      <c r="F194" s="160">
        <v>1.192349855724148</v>
      </c>
      <c r="G194" s="159">
        <v>60690.212029263384</v>
      </c>
      <c r="H194" s="159">
        <v>126.29795789199352</v>
      </c>
      <c r="I194" s="160">
        <v>0.7204154954485377</v>
      </c>
      <c r="J194" s="159">
        <v>128.27</v>
      </c>
      <c r="K194" s="160">
        <v>2.64</v>
      </c>
      <c r="L194" s="161">
        <v>128.86</v>
      </c>
      <c r="M194" s="160">
        <v>0.930769373964519</v>
      </c>
      <c r="N194" s="160">
        <v>0.930769373964519</v>
      </c>
      <c r="O194" s="160">
        <v>0.930769373964519</v>
      </c>
      <c r="P194" s="160">
        <v>0.930769373964519</v>
      </c>
      <c r="Q194" s="162">
        <v>1.0</v>
      </c>
    </row>
    <row r="195">
      <c r="A195" s="54">
        <v>45461.95972240741</v>
      </c>
      <c r="B195" s="158">
        <v>1.07623</v>
      </c>
      <c r="C195" s="159">
        <v>129.48</v>
      </c>
      <c r="D195" s="160">
        <v>1.0894862984302238</v>
      </c>
      <c r="E195" s="160">
        <v>2.66</v>
      </c>
      <c r="F195" s="160">
        <v>1.192349855724148</v>
      </c>
      <c r="G195" s="159">
        <v>60632.935339100375</v>
      </c>
      <c r="H195" s="159">
        <v>127.81933229885804</v>
      </c>
      <c r="I195" s="160">
        <v>0.6931603839328024</v>
      </c>
      <c r="J195" s="159">
        <v>129.48</v>
      </c>
      <c r="K195" s="160">
        <v>2.66</v>
      </c>
      <c r="L195" s="161">
        <v>129.62</v>
      </c>
      <c r="M195" s="160">
        <v>0.9291694154595207</v>
      </c>
      <c r="N195" s="160">
        <v>0.9291694154595207</v>
      </c>
      <c r="O195" s="160">
        <v>0.9291694154595207</v>
      </c>
      <c r="P195" s="160">
        <v>0.9291694154595207</v>
      </c>
      <c r="Q195" s="162">
        <v>1.0</v>
      </c>
    </row>
    <row r="196">
      <c r="A196" s="54">
        <v>45460.95971685185</v>
      </c>
      <c r="B196" s="158">
        <v>1.07623</v>
      </c>
      <c r="C196" s="159">
        <v>135.53</v>
      </c>
      <c r="D196" s="160">
        <v>1.09209377052298</v>
      </c>
      <c r="E196" s="160">
        <v>2.69</v>
      </c>
      <c r="F196" s="160">
        <v>1.227177565072243</v>
      </c>
      <c r="G196" s="159">
        <v>62042.24097079621</v>
      </c>
      <c r="H196" s="159">
        <v>132.8935264766825</v>
      </c>
      <c r="I196" s="160">
        <v>0.8000148667106474</v>
      </c>
      <c r="J196" s="159">
        <v>135.53</v>
      </c>
      <c r="K196" s="160">
        <v>2.69</v>
      </c>
      <c r="L196" s="161">
        <v>135.58</v>
      </c>
      <c r="M196" s="160">
        <v>0.9291694154595207</v>
      </c>
      <c r="N196" s="160">
        <v>0.9291694154595207</v>
      </c>
      <c r="O196" s="160">
        <v>0.9291694154595207</v>
      </c>
      <c r="P196" s="160">
        <v>0.9291694154595207</v>
      </c>
      <c r="Q196" s="162">
        <v>1.0</v>
      </c>
    </row>
    <row r="197">
      <c r="A197" s="54">
        <v>45459.95974951389</v>
      </c>
      <c r="B197" s="158">
        <v>1.07623</v>
      </c>
      <c r="C197" s="159">
        <v>141.78</v>
      </c>
      <c r="D197" s="160">
        <v>1.0937472432447244</v>
      </c>
      <c r="E197" s="160">
        <v>2.67</v>
      </c>
      <c r="F197" s="160">
        <v>1.2491243231447644</v>
      </c>
      <c r="G197" s="159">
        <v>61931.00266671622</v>
      </c>
      <c r="H197" s="159">
        <v>138.5558848944928</v>
      </c>
      <c r="I197" s="160">
        <v>0.8474025068990829</v>
      </c>
      <c r="J197" s="159">
        <v>141.78</v>
      </c>
      <c r="K197" s="160">
        <v>2.67</v>
      </c>
      <c r="L197" s="161">
        <v>142.42</v>
      </c>
      <c r="M197" s="160">
        <v>0.9291694154595207</v>
      </c>
      <c r="N197" s="160">
        <v>0.9291694154595207</v>
      </c>
      <c r="O197" s="160">
        <v>0.9291694154595207</v>
      </c>
      <c r="P197" s="160">
        <v>0.9291694154595207</v>
      </c>
      <c r="Q197" s="162">
        <v>1.0</v>
      </c>
    </row>
    <row r="198">
      <c r="A198" s="54">
        <v>45458.95973377315</v>
      </c>
      <c r="B198" s="158">
        <v>1.07623</v>
      </c>
      <c r="C198" s="159">
        <v>136.82</v>
      </c>
      <c r="D198" s="160">
        <v>1.0935532549265818</v>
      </c>
      <c r="E198" s="160">
        <v>2.65</v>
      </c>
      <c r="F198" s="160">
        <v>1.257698129670368</v>
      </c>
      <c r="G198" s="159">
        <v>61684.320266114126</v>
      </c>
      <c r="H198" s="159">
        <v>134.9088949388142</v>
      </c>
      <c r="I198" s="160">
        <v>0.806519052618864</v>
      </c>
      <c r="J198" s="159">
        <v>136.82</v>
      </c>
      <c r="K198" s="160">
        <v>2.65</v>
      </c>
      <c r="L198" s="161">
        <v>137.42</v>
      </c>
      <c r="M198" s="160">
        <v>0.9291694154595207</v>
      </c>
      <c r="N198" s="160">
        <v>0.9291694154595207</v>
      </c>
      <c r="O198" s="160">
        <v>0.9291694154595207</v>
      </c>
      <c r="P198" s="160">
        <v>0.9291694154595207</v>
      </c>
      <c r="Q198" s="162">
        <v>1.0</v>
      </c>
    </row>
    <row r="199">
      <c r="A199" s="54">
        <v>45457.95972615741</v>
      </c>
      <c r="B199" s="158">
        <v>1.07623</v>
      </c>
      <c r="C199" s="159">
        <v>134.82</v>
      </c>
      <c r="D199" s="160">
        <v>1.0934544308115457</v>
      </c>
      <c r="E199" s="160">
        <v>2.65</v>
      </c>
      <c r="F199" s="160">
        <v>1.256362124045938</v>
      </c>
      <c r="G199" s="159">
        <v>61708.48982094906</v>
      </c>
      <c r="H199" s="159">
        <v>133.6535870585284</v>
      </c>
      <c r="I199" s="160">
        <v>0.8102357302807021</v>
      </c>
      <c r="J199" s="159">
        <v>134.82</v>
      </c>
      <c r="K199" s="160">
        <v>2.65</v>
      </c>
      <c r="L199" s="161">
        <v>135.49</v>
      </c>
      <c r="M199" s="160">
        <v>0.9291694154595207</v>
      </c>
      <c r="N199" s="160">
        <v>0.9291694154595207</v>
      </c>
      <c r="O199" s="160">
        <v>0.9291694154595207</v>
      </c>
      <c r="P199" s="160">
        <v>0.9291694154595207</v>
      </c>
      <c r="Q199" s="162">
        <v>1.0</v>
      </c>
    </row>
    <row r="200">
      <c r="A200" s="54">
        <v>45456.95974508102</v>
      </c>
      <c r="B200" s="158">
        <v>1.07623</v>
      </c>
      <c r="C200" s="159">
        <v>138.92</v>
      </c>
      <c r="D200" s="160">
        <v>1.0942051207883823</v>
      </c>
      <c r="E200" s="160">
        <v>2.72</v>
      </c>
      <c r="F200" s="160">
        <v>1.2664725956434963</v>
      </c>
      <c r="G200" s="159">
        <v>62262.99954470699</v>
      </c>
      <c r="H200" s="159">
        <v>137.28756864239054</v>
      </c>
      <c r="I200" s="160">
        <v>0.8455441680681639</v>
      </c>
      <c r="J200" s="159">
        <v>138.92</v>
      </c>
      <c r="K200" s="160">
        <v>2.72</v>
      </c>
      <c r="L200" s="161">
        <v>139.79</v>
      </c>
      <c r="M200" s="160">
        <v>0.9291694154595207</v>
      </c>
      <c r="N200" s="160">
        <v>0.9291694154595207</v>
      </c>
      <c r="O200" s="160">
        <v>0.9291694154595207</v>
      </c>
      <c r="P200" s="160">
        <v>0.9291694154595207</v>
      </c>
      <c r="Q200" s="162">
        <v>1.0</v>
      </c>
    </row>
    <row r="201">
      <c r="A201" s="54">
        <v>45455.95971945602</v>
      </c>
      <c r="B201" s="158">
        <v>1.0847</v>
      </c>
      <c r="C201" s="159">
        <v>146.99</v>
      </c>
      <c r="D201" s="160">
        <v>1.096433501581483</v>
      </c>
      <c r="E201" s="160">
        <v>2.64</v>
      </c>
      <c r="F201" s="160">
        <v>1.2957301964065087</v>
      </c>
      <c r="G201" s="159">
        <v>63170.74767216742</v>
      </c>
      <c r="H201" s="159">
        <v>143.0395501060201</v>
      </c>
      <c r="I201" s="160">
        <v>0.8933345625518576</v>
      </c>
      <c r="J201" s="159">
        <v>146.99</v>
      </c>
      <c r="K201" s="160">
        <v>2.64</v>
      </c>
      <c r="L201" s="161">
        <v>147.26</v>
      </c>
      <c r="M201" s="160">
        <v>0.9219138932423712</v>
      </c>
      <c r="N201" s="160">
        <v>0.9219138932423712</v>
      </c>
      <c r="O201" s="160">
        <v>0.9219138932423712</v>
      </c>
      <c r="P201" s="160">
        <v>0.9219138932423712</v>
      </c>
      <c r="Q201" s="162">
        <v>1.0</v>
      </c>
    </row>
    <row r="202">
      <c r="A202" s="54">
        <v>45454.95973861111</v>
      </c>
      <c r="B202" s="158">
        <v>1.07346</v>
      </c>
      <c r="C202" s="159">
        <v>139.77</v>
      </c>
      <c r="D202" s="160">
        <v>1.096903187593021</v>
      </c>
      <c r="E202" s="160">
        <v>2.71</v>
      </c>
      <c r="F202" s="160">
        <v>1.3029240244938516</v>
      </c>
      <c r="G202" s="159">
        <v>62572.935181562425</v>
      </c>
      <c r="H202" s="159">
        <v>138.18866096547612</v>
      </c>
      <c r="I202" s="160">
        <v>0.8616995509846663</v>
      </c>
      <c r="J202" s="159">
        <v>139.77</v>
      </c>
      <c r="K202" s="160">
        <v>2.71</v>
      </c>
      <c r="L202" s="161">
        <v>140.02</v>
      </c>
      <c r="M202" s="160">
        <v>0.9315670821455853</v>
      </c>
      <c r="N202" s="160">
        <v>0.9315670821455853</v>
      </c>
      <c r="O202" s="160">
        <v>0.9315670821455853</v>
      </c>
      <c r="P202" s="160">
        <v>0.9315670821455853</v>
      </c>
      <c r="Q202" s="162">
        <v>1.0</v>
      </c>
    </row>
    <row r="203">
      <c r="A203" s="54">
        <v>45453.959715902776</v>
      </c>
      <c r="B203" s="158">
        <v>1.07528</v>
      </c>
      <c r="C203" s="159">
        <v>150.61</v>
      </c>
      <c r="D203" s="160">
        <f>(D204+D202)/2</f>
        <v>1.097996349</v>
      </c>
      <c r="E203" s="160">
        <v>2.71</v>
      </c>
      <c r="F203" s="160">
        <v>1.3610724061303197</v>
      </c>
      <c r="G203" s="159">
        <v>64746.77665352281</v>
      </c>
      <c r="H203" s="159">
        <v>148.34089725466856</v>
      </c>
      <c r="I203" s="160">
        <v>0.9067405698980731</v>
      </c>
      <c r="J203" s="159">
        <v>150.61</v>
      </c>
      <c r="K203" s="160">
        <v>2.71</v>
      </c>
      <c r="L203" s="161">
        <v>151.32</v>
      </c>
      <c r="M203" s="160">
        <v>0.9299903281005878</v>
      </c>
      <c r="N203" s="160">
        <v>0.9299903281005878</v>
      </c>
      <c r="O203" s="160">
        <v>0.9299903281005878</v>
      </c>
      <c r="P203" s="160">
        <v>0.9299903281005878</v>
      </c>
      <c r="Q203" s="162">
        <v>1.0</v>
      </c>
    </row>
    <row r="204">
      <c r="A204" s="54">
        <v>45452.95970398148</v>
      </c>
      <c r="B204" s="158">
        <v>1.08121</v>
      </c>
      <c r="C204" s="159">
        <v>152.76</v>
      </c>
      <c r="D204" s="160">
        <v>1.0990895098263689</v>
      </c>
      <c r="E204" s="160">
        <v>2.68</v>
      </c>
      <c r="F204" s="160">
        <v>1.3373136047571423</v>
      </c>
      <c r="G204" s="159">
        <v>64626.53323591162</v>
      </c>
      <c r="H204" s="159">
        <v>149.70819729747228</v>
      </c>
      <c r="I204" s="160">
        <v>0.9359883833852813</v>
      </c>
      <c r="J204" s="159">
        <v>152.76</v>
      </c>
      <c r="K204" s="160">
        <v>2.68</v>
      </c>
      <c r="L204" s="161">
        <v>153.33</v>
      </c>
      <c r="M204" s="160">
        <v>0.9248897069024519</v>
      </c>
      <c r="N204" s="160">
        <v>0.9248897069024519</v>
      </c>
      <c r="O204" s="160">
        <v>0.9248897069024519</v>
      </c>
      <c r="P204" s="160">
        <v>0.9248897069024519</v>
      </c>
      <c r="Q204" s="162">
        <v>1.0</v>
      </c>
    </row>
    <row r="205">
      <c r="A205" s="54">
        <v>45451.95969471065</v>
      </c>
      <c r="B205" s="158">
        <v>1.08102</v>
      </c>
      <c r="C205" s="159">
        <v>148.35</v>
      </c>
      <c r="D205" s="160">
        <v>1.098093637380928</v>
      </c>
      <c r="E205" s="160">
        <v>2.69</v>
      </c>
      <c r="F205" s="160">
        <v>1.326069993587371</v>
      </c>
      <c r="G205" s="159">
        <v>64104.85374923683</v>
      </c>
      <c r="H205" s="159">
        <v>146.8955245971397</v>
      </c>
      <c r="I205" s="160">
        <v>0.909326376940297</v>
      </c>
      <c r="J205" s="159">
        <v>148.35</v>
      </c>
      <c r="K205" s="160">
        <v>2.69</v>
      </c>
      <c r="L205" s="161">
        <v>148.54</v>
      </c>
      <c r="M205" s="160">
        <v>0.925052265452998</v>
      </c>
      <c r="N205" s="160">
        <v>0.925052265452998</v>
      </c>
      <c r="O205" s="160">
        <v>0.925052265452998</v>
      </c>
      <c r="P205" s="160">
        <v>0.925052265452998</v>
      </c>
      <c r="Q205" s="162">
        <v>1.0</v>
      </c>
    </row>
    <row r="206">
      <c r="A206" s="54">
        <v>45450.959764652776</v>
      </c>
      <c r="B206" s="158">
        <v>1.08073</v>
      </c>
      <c r="C206" s="159">
        <v>152.29</v>
      </c>
      <c r="D206" s="160">
        <v>1.0993509018609628</v>
      </c>
      <c r="E206" s="160">
        <v>2.72</v>
      </c>
      <c r="F206" s="160">
        <v>1.344293223445449</v>
      </c>
      <c r="G206" s="159">
        <v>64188.7779556411</v>
      </c>
      <c r="H206" s="159">
        <v>150.27620219666335</v>
      </c>
      <c r="I206" s="160">
        <v>0.9530595060745978</v>
      </c>
      <c r="J206" s="159">
        <v>152.29</v>
      </c>
      <c r="K206" s="160">
        <v>2.72</v>
      </c>
      <c r="L206" s="161">
        <v>152.85</v>
      </c>
      <c r="M206" s="160">
        <v>0.9253004913345609</v>
      </c>
      <c r="N206" s="160">
        <v>0.9253004913345609</v>
      </c>
      <c r="O206" s="160">
        <v>0.9253004913345609</v>
      </c>
      <c r="P206" s="160">
        <v>0.9253004913345609</v>
      </c>
      <c r="Q206" s="162">
        <v>1.0</v>
      </c>
    </row>
    <row r="207">
      <c r="A207" s="54">
        <v>45449.959702962966</v>
      </c>
      <c r="B207" s="158">
        <v>1.08782</v>
      </c>
      <c r="C207" s="159">
        <v>159.66</v>
      </c>
      <c r="D207" s="160">
        <v>1.100266075708533</v>
      </c>
      <c r="E207" s="160">
        <v>2.7</v>
      </c>
      <c r="F207" s="160">
        <v>1.3598611927920978</v>
      </c>
      <c r="G207" s="159">
        <v>65230.669596072876</v>
      </c>
      <c r="H207" s="159">
        <v>156.3576694673751</v>
      </c>
      <c r="I207" s="160">
        <v>1.025905021051277</v>
      </c>
      <c r="J207" s="159">
        <v>159.66</v>
      </c>
      <c r="K207" s="160">
        <v>2.7</v>
      </c>
      <c r="L207" s="161">
        <v>160.1</v>
      </c>
      <c r="M207" s="160">
        <v>0.9192697321248</v>
      </c>
      <c r="N207" s="160">
        <v>0.9192697321248</v>
      </c>
      <c r="O207" s="160">
        <v>0.9192697321248</v>
      </c>
      <c r="P207" s="160">
        <v>0.9192697321248</v>
      </c>
      <c r="Q207" s="162">
        <v>1.0</v>
      </c>
    </row>
    <row r="208">
      <c r="A208" s="54">
        <v>45448.95968972222</v>
      </c>
      <c r="B208" s="158">
        <v>1.08691</v>
      </c>
      <c r="C208" s="159">
        <v>161.7</v>
      </c>
      <c r="D208" s="160">
        <v>1.1006400376574714</v>
      </c>
      <c r="E208" s="160">
        <v>2.69</v>
      </c>
      <c r="F208" s="160">
        <v>1.364587302334149</v>
      </c>
      <c r="G208" s="159">
        <v>65507.9408598688</v>
      </c>
      <c r="H208" s="159">
        <v>159.33517954568455</v>
      </c>
      <c r="I208" s="160">
        <v>1.0580452843381696</v>
      </c>
      <c r="J208" s="159">
        <v>161.7</v>
      </c>
      <c r="K208" s="160">
        <v>2.69</v>
      </c>
      <c r="L208" s="161">
        <v>162.14</v>
      </c>
      <c r="M208" s="160">
        <v>0.9200393776853649</v>
      </c>
      <c r="N208" s="160">
        <v>0.9200393776853649</v>
      </c>
      <c r="O208" s="160">
        <v>0.9200393776853649</v>
      </c>
      <c r="P208" s="160">
        <v>0.9200393776853649</v>
      </c>
      <c r="Q208" s="162">
        <v>1.0</v>
      </c>
    </row>
    <row r="209">
      <c r="A209" s="54">
        <v>45447.959694502315</v>
      </c>
      <c r="B209" s="158">
        <v>1.08717</v>
      </c>
      <c r="C209" s="159">
        <v>159.92</v>
      </c>
      <c r="D209" s="160">
        <v>1.0981427905243966</v>
      </c>
      <c r="E209" s="160">
        <v>2.69</v>
      </c>
      <c r="F209" s="160">
        <v>1.3382039523239053</v>
      </c>
      <c r="G209" s="159">
        <v>65161.01069749902</v>
      </c>
      <c r="H209" s="159">
        <v>156.05379103544067</v>
      </c>
      <c r="I209" s="160">
        <v>1.038476043305095</v>
      </c>
      <c r="J209" s="159">
        <v>159.92</v>
      </c>
      <c r="K209" s="160">
        <v>2.69</v>
      </c>
      <c r="L209" s="161">
        <v>160.74</v>
      </c>
      <c r="M209" s="160">
        <v>0.9198193474801549</v>
      </c>
      <c r="N209" s="160">
        <v>0.9198193474801549</v>
      </c>
      <c r="O209" s="160">
        <v>0.9198193474801549</v>
      </c>
      <c r="P209" s="160">
        <v>0.9198193474801549</v>
      </c>
      <c r="Q209" s="162">
        <v>1.0</v>
      </c>
    </row>
    <row r="210">
      <c r="A210" s="54">
        <v>45446.959710104165</v>
      </c>
      <c r="B210" s="158">
        <v>1.0882</v>
      </c>
      <c r="C210" s="159">
        <v>154.21</v>
      </c>
      <c r="D210" s="160">
        <v>1.0973864023452113</v>
      </c>
      <c r="E210" s="160">
        <v>2.7</v>
      </c>
      <c r="F210" s="160">
        <v>1.3255026866772193</v>
      </c>
      <c r="G210" s="159">
        <v>63538.344054401765</v>
      </c>
      <c r="H210" s="159">
        <v>152.097040985113</v>
      </c>
      <c r="I210" s="160">
        <v>1.0062488513140966</v>
      </c>
      <c r="J210" s="159">
        <v>154.21</v>
      </c>
      <c r="K210" s="160">
        <v>2.7</v>
      </c>
      <c r="L210" s="161">
        <v>154.27</v>
      </c>
      <c r="M210" s="160">
        <v>0.9189487226612755</v>
      </c>
      <c r="N210" s="160">
        <v>0.9189487226612755</v>
      </c>
      <c r="O210" s="160">
        <v>0.9189487226612755</v>
      </c>
      <c r="P210" s="160">
        <v>0.9189487226612755</v>
      </c>
      <c r="Q210" s="162">
        <v>1.0</v>
      </c>
    </row>
    <row r="211">
      <c r="A211" s="54">
        <v>45445.95969243055</v>
      </c>
      <c r="B211" s="158">
        <v>1.08497</v>
      </c>
      <c r="C211" s="159">
        <v>151.62</v>
      </c>
      <c r="D211" s="160">
        <v>1.0945415547964263</v>
      </c>
      <c r="E211" s="160">
        <v>2.7</v>
      </c>
      <c r="F211" s="160">
        <v>1.2898266997539196</v>
      </c>
      <c r="G211" s="159">
        <v>62591.8974718195</v>
      </c>
      <c r="H211" s="159">
        <v>149.83455763753838</v>
      </c>
      <c r="I211" s="160">
        <v>0.9797505921822722</v>
      </c>
      <c r="J211" s="159">
        <v>151.62</v>
      </c>
      <c r="K211" s="160">
        <v>2.7</v>
      </c>
      <c r="L211" s="161">
        <v>152.04</v>
      </c>
      <c r="M211" s="160">
        <v>0.9216844705383559</v>
      </c>
      <c r="N211" s="160">
        <v>0.9216844705383559</v>
      </c>
      <c r="O211" s="160">
        <v>0.9216844705383559</v>
      </c>
      <c r="P211" s="160">
        <v>0.9216844705383559</v>
      </c>
      <c r="Q211" s="162">
        <v>1.0</v>
      </c>
    </row>
    <row r="212">
      <c r="A212" s="54">
        <v>45444.95969236111</v>
      </c>
      <c r="B212" s="158">
        <v>1.0850899999999999</v>
      </c>
      <c r="C212" s="159">
        <v>155.63</v>
      </c>
      <c r="D212" s="160">
        <f>(D213+D211)/2</f>
        <v>1.095718569</v>
      </c>
      <c r="E212" s="160">
        <v>2.7</v>
      </c>
      <c r="F212" s="160">
        <v>1.312459078450147</v>
      </c>
      <c r="G212" s="159">
        <v>62558.21083965386</v>
      </c>
      <c r="H212" s="159">
        <v>153.7476154051738</v>
      </c>
      <c r="I212" s="160">
        <v>1.0137407956943665</v>
      </c>
      <c r="J212" s="159">
        <v>155.63</v>
      </c>
      <c r="K212" s="160">
        <v>2.7</v>
      </c>
      <c r="L212" s="161">
        <v>156.48</v>
      </c>
      <c r="M212" s="160">
        <v>0.9215825415403331</v>
      </c>
      <c r="N212" s="160">
        <v>0.9215825415403331</v>
      </c>
      <c r="O212" s="160">
        <v>0.9215825415403331</v>
      </c>
      <c r="P212" s="160">
        <v>0.9215825415403331</v>
      </c>
      <c r="Q212" s="162">
        <v>1.0</v>
      </c>
    </row>
    <row r="213">
      <c r="A213" s="54">
        <v>45443.95970040509</v>
      </c>
      <c r="B213" s="158">
        <v>1.0844200000000002</v>
      </c>
      <c r="C213" s="159">
        <v>154.45</v>
      </c>
      <c r="D213" s="160">
        <v>1.0968955839780548</v>
      </c>
      <c r="E213" s="160">
        <v>2.69</v>
      </c>
      <c r="F213" s="160">
        <v>1.33978887575361</v>
      </c>
      <c r="G213" s="159">
        <v>62482.34447907637</v>
      </c>
      <c r="H213" s="159">
        <v>153.36862101399825</v>
      </c>
      <c r="I213" s="160">
        <v>1.0143671271278656</v>
      </c>
      <c r="J213" s="159">
        <v>154.45</v>
      </c>
      <c r="K213" s="160">
        <v>2.69</v>
      </c>
      <c r="L213" s="161">
        <v>155.26</v>
      </c>
      <c r="M213" s="160">
        <v>0.922151933752605</v>
      </c>
      <c r="N213" s="160">
        <v>0.922151933752605</v>
      </c>
      <c r="O213" s="160">
        <v>0.922151933752605</v>
      </c>
      <c r="P213" s="160">
        <v>0.922151933752605</v>
      </c>
      <c r="Q213" s="162">
        <v>1.0</v>
      </c>
    </row>
    <row r="214">
      <c r="A214" s="54">
        <v>45442.95970677084</v>
      </c>
      <c r="B214" s="158">
        <v>1.08385</v>
      </c>
      <c r="C214" s="159">
        <v>156.05</v>
      </c>
      <c r="D214" s="160">
        <v>1.0973989263585773</v>
      </c>
      <c r="E214" s="160">
        <v>2.68</v>
      </c>
      <c r="F214" s="160">
        <v>1.3467930609437928</v>
      </c>
      <c r="G214" s="159">
        <v>63050.93232458366</v>
      </c>
      <c r="H214" s="159">
        <v>153.85523827097845</v>
      </c>
      <c r="I214" s="160">
        <v>1.018591133459427</v>
      </c>
      <c r="J214" s="159">
        <v>156.05</v>
      </c>
      <c r="K214" s="160">
        <v>2.68</v>
      </c>
      <c r="L214" s="161">
        <v>156.7</v>
      </c>
      <c r="M214" s="160">
        <v>0.9226368962494811</v>
      </c>
      <c r="N214" s="160">
        <v>0.9226368962494811</v>
      </c>
      <c r="O214" s="160">
        <v>0.9226368962494811</v>
      </c>
      <c r="P214" s="160">
        <v>0.9226368962494811</v>
      </c>
      <c r="Q214" s="162">
        <v>1.0</v>
      </c>
    </row>
    <row r="215">
      <c r="A215" s="54">
        <v>45441.95849975695</v>
      </c>
      <c r="B215" s="158">
        <v>1.0811</v>
      </c>
      <c r="C215" s="159">
        <v>158.02</v>
      </c>
      <c r="D215" s="160">
        <v>1.0964015263203013</v>
      </c>
      <c r="E215" s="160">
        <v>2.72</v>
      </c>
      <c r="F215" s="160">
        <v>1.3317350487183333</v>
      </c>
      <c r="G215" s="159">
        <v>62522.56313014522</v>
      </c>
      <c r="H215" s="159">
        <v>156.4665618351679</v>
      </c>
      <c r="I215" s="160">
        <v>1.0600314494496346</v>
      </c>
      <c r="J215" s="159">
        <v>158.02</v>
      </c>
      <c r="K215" s="160">
        <v>2.72</v>
      </c>
      <c r="L215" s="161">
        <v>158.67</v>
      </c>
      <c r="M215" s="160">
        <v>0.9249838127832763</v>
      </c>
      <c r="N215" s="160">
        <v>0.9249838127832763</v>
      </c>
      <c r="O215" s="160">
        <v>0.9249838127832763</v>
      </c>
      <c r="P215" s="160">
        <v>0.9249838127832763</v>
      </c>
      <c r="Q215" s="162">
        <v>1.0</v>
      </c>
    </row>
    <row r="216">
      <c r="A216" s="54">
        <v>45440.95969377315</v>
      </c>
      <c r="B216" s="158">
        <v>1.08628</v>
      </c>
      <c r="C216" s="159">
        <v>157.79</v>
      </c>
      <c r="D216" s="160">
        <v>1.0970001993500709</v>
      </c>
      <c r="E216" s="160">
        <v>2.68</v>
      </c>
      <c r="F216" s="160">
        <v>1.3397682062281826</v>
      </c>
      <c r="G216" s="159">
        <v>62969.27127444121</v>
      </c>
      <c r="H216" s="159">
        <v>155.3153882976765</v>
      </c>
      <c r="I216" s="160">
        <v>1.066023493022057</v>
      </c>
      <c r="J216" s="159">
        <v>157.79</v>
      </c>
      <c r="K216" s="160">
        <v>2.68</v>
      </c>
      <c r="L216" s="161">
        <v>158.43</v>
      </c>
      <c r="M216" s="160">
        <v>0.9205729646131753</v>
      </c>
      <c r="N216" s="160">
        <v>0.9205729646131753</v>
      </c>
      <c r="O216" s="160">
        <v>0.9205729646131753</v>
      </c>
      <c r="P216" s="160">
        <v>0.9205729646131753</v>
      </c>
      <c r="Q216" s="162">
        <v>1.0</v>
      </c>
    </row>
    <row r="217">
      <c r="A217" s="54">
        <v>45439.95969913194</v>
      </c>
      <c r="B217" s="158">
        <v>1.08578</v>
      </c>
      <c r="C217" s="159">
        <v>158.89</v>
      </c>
      <c r="D217" s="160">
        <v>1.0971213100608983</v>
      </c>
      <c r="E217" s="160">
        <v>2.66</v>
      </c>
      <c r="F217" s="160">
        <v>1.3414447518776365</v>
      </c>
      <c r="G217" s="159">
        <v>63935.91703660042</v>
      </c>
      <c r="H217" s="159">
        <v>156.59525870802557</v>
      </c>
      <c r="I217" s="160">
        <v>1.0794083515997717</v>
      </c>
      <c r="J217" s="159">
        <v>158.89</v>
      </c>
      <c r="K217" s="160">
        <v>2.66</v>
      </c>
      <c r="L217" s="161">
        <v>159.52</v>
      </c>
      <c r="M217" s="160">
        <v>0.9209968870305218</v>
      </c>
      <c r="N217" s="160">
        <v>0.9209968870305218</v>
      </c>
      <c r="O217" s="160">
        <v>0.9209968870305218</v>
      </c>
      <c r="P217" s="160">
        <v>0.9209968870305218</v>
      </c>
      <c r="Q217" s="162">
        <v>1.0</v>
      </c>
    </row>
    <row r="218">
      <c r="A218" s="54">
        <v>45438.95969724537</v>
      </c>
      <c r="B218" s="158">
        <v>1.0846900000000002</v>
      </c>
      <c r="C218" s="159">
        <v>152.36</v>
      </c>
      <c r="D218" s="160">
        <v>1.0955650951221456</v>
      </c>
      <c r="E218" s="160">
        <v>2.69</v>
      </c>
      <c r="F218" s="160">
        <v>1.3217380439813677</v>
      </c>
      <c r="G218" s="159">
        <v>63370.20346827203</v>
      </c>
      <c r="H218" s="159">
        <v>150.34802570319627</v>
      </c>
      <c r="I218" s="160">
        <v>1.0270215453263143</v>
      </c>
      <c r="J218" s="159">
        <v>152.36</v>
      </c>
      <c r="K218" s="160">
        <v>2.69</v>
      </c>
      <c r="L218" s="161">
        <v>152.96</v>
      </c>
      <c r="M218" s="160">
        <v>0.921922392572993</v>
      </c>
      <c r="N218" s="160">
        <v>0.921922392572993</v>
      </c>
      <c r="O218" s="160">
        <v>0.921922392572993</v>
      </c>
      <c r="P218" s="160">
        <v>0.921922392572993</v>
      </c>
      <c r="Q218" s="162">
        <v>1.0</v>
      </c>
    </row>
    <row r="219">
      <c r="A219" s="54">
        <v>45437.95972034722</v>
      </c>
      <c r="B219" s="158">
        <v>1.0848</v>
      </c>
      <c r="C219" s="159">
        <v>156.47</v>
      </c>
      <c r="D219" s="160">
        <v>1.0938043887683861</v>
      </c>
      <c r="E219" s="160">
        <v>2.68</v>
      </c>
      <c r="F219" s="160">
        <v>1.3036942782861909</v>
      </c>
      <c r="G219" s="159">
        <v>63897.419800884956</v>
      </c>
      <c r="H219" s="159">
        <v>154.30862831858408</v>
      </c>
      <c r="I219" s="160">
        <v>1.0693215339233038</v>
      </c>
      <c r="J219" s="159">
        <v>156.47</v>
      </c>
      <c r="K219" s="160">
        <v>2.68</v>
      </c>
      <c r="L219" s="161">
        <v>157.02</v>
      </c>
      <c r="M219" s="160">
        <v>0.9218289085545723</v>
      </c>
      <c r="N219" s="160">
        <v>0.9218289085545723</v>
      </c>
      <c r="O219" s="160">
        <v>0.9218289085545723</v>
      </c>
      <c r="P219" s="160">
        <v>0.9218289085545723</v>
      </c>
      <c r="Q219" s="162">
        <v>1.0</v>
      </c>
    </row>
    <row r="220">
      <c r="A220" s="54">
        <v>45436.95968693287</v>
      </c>
      <c r="B220" s="158">
        <v>1.08521</v>
      </c>
      <c r="C220" s="159">
        <v>155.87</v>
      </c>
      <c r="D220" s="160">
        <v>1.0933087137406623</v>
      </c>
      <c r="E220" s="160">
        <v>2.7</v>
      </c>
      <c r="F220" s="160">
        <v>1.3044596364545205</v>
      </c>
      <c r="G220" s="159">
        <v>63583.71559421678</v>
      </c>
      <c r="H220" s="159">
        <v>154.00521558039458</v>
      </c>
      <c r="I220" s="160">
        <v>1.0385086757401794</v>
      </c>
      <c r="J220" s="159">
        <v>155.87</v>
      </c>
      <c r="K220" s="160">
        <v>2.7</v>
      </c>
      <c r="L220" s="161">
        <v>156.49</v>
      </c>
      <c r="M220" s="160">
        <v>0.9214806350844537</v>
      </c>
      <c r="N220" s="160">
        <v>0.9214806350844537</v>
      </c>
      <c r="O220" s="160">
        <v>0.9214806350844537</v>
      </c>
      <c r="P220" s="160">
        <v>0.9214806350844537</v>
      </c>
      <c r="Q220" s="162">
        <v>1.0</v>
      </c>
    </row>
    <row r="221">
      <c r="A221" s="54">
        <v>45435.95969011574</v>
      </c>
      <c r="B221" s="158">
        <v>1.0816400000000002</v>
      </c>
      <c r="C221" s="159">
        <v>163.43</v>
      </c>
      <c r="D221" s="160">
        <v>1.0940708206889884</v>
      </c>
      <c r="E221" s="160">
        <v>2.71</v>
      </c>
      <c r="F221" s="160">
        <v>1.325395282999593</v>
      </c>
      <c r="G221" s="159">
        <v>62926.4718390592</v>
      </c>
      <c r="H221" s="159">
        <v>165.19451943345288</v>
      </c>
      <c r="I221" s="160">
        <v>1.0983321622721052</v>
      </c>
      <c r="J221" s="159">
        <v>163.43</v>
      </c>
      <c r="K221" s="160">
        <v>2.71</v>
      </c>
      <c r="L221" s="161">
        <v>164.52</v>
      </c>
      <c r="M221" s="160">
        <v>0.9245220221145667</v>
      </c>
      <c r="N221" s="160">
        <v>0.9245220221145667</v>
      </c>
      <c r="O221" s="160">
        <v>0.9245220221145667</v>
      </c>
      <c r="P221" s="160">
        <v>0.9245220221145667</v>
      </c>
      <c r="Q221" s="162">
        <v>1.0</v>
      </c>
    </row>
    <row r="222">
      <c r="A222" s="54">
        <v>45434.959709965275</v>
      </c>
      <c r="B222" s="158">
        <v>1.0843900000000002</v>
      </c>
      <c r="C222" s="159">
        <v>165.13</v>
      </c>
      <c r="D222" s="160">
        <v>1.093821282845225</v>
      </c>
      <c r="E222" s="160">
        <v>2.7</v>
      </c>
      <c r="F222" s="160">
        <v>1.316750947698042</v>
      </c>
      <c r="G222" s="159">
        <v>64286.97977664861</v>
      </c>
      <c r="H222" s="159">
        <v>166.11366759191802</v>
      </c>
      <c r="I222" s="160">
        <v>1.1204455961416095</v>
      </c>
      <c r="J222" s="159">
        <v>165.13</v>
      </c>
      <c r="K222" s="160">
        <v>2.7</v>
      </c>
      <c r="L222" s="161">
        <v>165.87</v>
      </c>
      <c r="M222" s="160">
        <v>0.9221774453840407</v>
      </c>
      <c r="N222" s="160">
        <v>0.9221774453840407</v>
      </c>
      <c r="O222" s="160">
        <v>0.9221774453840407</v>
      </c>
      <c r="P222" s="160">
        <v>0.9221774453840407</v>
      </c>
      <c r="Q222" s="162">
        <v>1.0</v>
      </c>
    </row>
    <row r="223">
      <c r="A223" s="54">
        <v>45433.95977231482</v>
      </c>
      <c r="B223" s="158">
        <v>1.08519</v>
      </c>
      <c r="C223" s="159">
        <v>165.34</v>
      </c>
      <c r="D223" s="160">
        <v>1.0706250639876593</v>
      </c>
      <c r="E223" s="160">
        <v>2.71</v>
      </c>
      <c r="F223" s="160">
        <v>1.3278967549260035</v>
      </c>
      <c r="G223" s="159">
        <v>64477.8167878436</v>
      </c>
      <c r="H223" s="159">
        <v>164.27445885052387</v>
      </c>
      <c r="I223" s="160">
        <v>1.105797141514389</v>
      </c>
      <c r="J223" s="159">
        <v>165.34</v>
      </c>
      <c r="K223" s="160">
        <v>2.71</v>
      </c>
      <c r="L223" s="161">
        <v>166.5</v>
      </c>
      <c r="M223" s="160">
        <v>0.9214976179286576</v>
      </c>
      <c r="N223" s="160">
        <v>0.9214976179286576</v>
      </c>
      <c r="O223" s="160">
        <v>0.9214976179286576</v>
      </c>
      <c r="P223" s="160">
        <v>0.9214976179286576</v>
      </c>
      <c r="Q223" s="162">
        <v>1.0</v>
      </c>
    </row>
    <row r="224">
      <c r="A224" s="54">
        <v>45432.959695983795</v>
      </c>
      <c r="B224" s="158">
        <v>1.0865799999999999</v>
      </c>
      <c r="C224" s="159">
        <v>172.56</v>
      </c>
      <c r="D224" s="160">
        <v>1.0696180914450328</v>
      </c>
      <c r="E224" s="160">
        <v>2.59</v>
      </c>
      <c r="F224" s="160">
        <v>1.3118876574910823</v>
      </c>
      <c r="G224" s="159">
        <v>64297.70656555431</v>
      </c>
      <c r="H224" s="159">
        <v>166.565738371772</v>
      </c>
      <c r="I224" s="160">
        <v>1.1513188168381527</v>
      </c>
      <c r="J224" s="159">
        <v>172.56</v>
      </c>
      <c r="K224" s="160">
        <v>2.59</v>
      </c>
      <c r="L224" s="161">
        <v>173.73</v>
      </c>
      <c r="M224" s="160">
        <v>0.9203187984317769</v>
      </c>
      <c r="N224" s="160">
        <v>0.9203187984317769</v>
      </c>
      <c r="O224" s="160">
        <v>0.9203187984317769</v>
      </c>
      <c r="P224" s="160">
        <v>0.9203187984317769</v>
      </c>
      <c r="Q224" s="162">
        <v>1.0</v>
      </c>
    </row>
    <row r="225">
      <c r="A225" s="54">
        <v>45431.95973969907</v>
      </c>
      <c r="B225" s="158">
        <v>1.08674</v>
      </c>
      <c r="C225" s="159">
        <v>159.04</v>
      </c>
      <c r="D225" s="160">
        <v>1.0639595817278387</v>
      </c>
      <c r="E225" s="160">
        <v>2.61</v>
      </c>
      <c r="F225" s="160">
        <v>1.1975038502867819</v>
      </c>
      <c r="G225" s="159">
        <v>61085.338806011365</v>
      </c>
      <c r="H225" s="159">
        <v>156.50049235696343</v>
      </c>
      <c r="I225" s="160">
        <v>1.0804244393112525</v>
      </c>
      <c r="J225" s="159">
        <v>159.04</v>
      </c>
      <c r="K225" s="160">
        <v>2.61</v>
      </c>
      <c r="L225" s="161">
        <v>159.97</v>
      </c>
      <c r="M225" s="160">
        <v>0.9201833005134622</v>
      </c>
      <c r="N225" s="160">
        <v>0.9201833005134622</v>
      </c>
      <c r="O225" s="160">
        <v>0.9201833005134622</v>
      </c>
      <c r="P225" s="160">
        <v>0.9201833005134622</v>
      </c>
      <c r="Q225" s="162">
        <v>1.0</v>
      </c>
    </row>
    <row r="226">
      <c r="A226" s="54">
        <v>45430.959697384256</v>
      </c>
      <c r="B226" s="158">
        <v>1.0876</v>
      </c>
      <c r="C226" s="159">
        <v>159.86</v>
      </c>
      <c r="D226" s="160">
        <v>1.065179403039949</v>
      </c>
      <c r="E226" s="160">
        <v>2.6</v>
      </c>
      <c r="F226" s="160">
        <v>1.218698397428712</v>
      </c>
      <c r="G226" s="159">
        <v>61628.22933519636</v>
      </c>
      <c r="H226" s="159">
        <v>158.50584644800708</v>
      </c>
      <c r="I226" s="160">
        <v>1.1380350051478159</v>
      </c>
      <c r="J226" s="159">
        <v>159.86</v>
      </c>
      <c r="K226" s="160">
        <v>2.6</v>
      </c>
      <c r="L226" s="161">
        <v>160.62</v>
      </c>
      <c r="M226" s="160">
        <v>0.9194556822361163</v>
      </c>
      <c r="N226" s="160">
        <v>0.9194556822361163</v>
      </c>
      <c r="O226" s="160">
        <v>0.9194556822361163</v>
      </c>
      <c r="P226" s="160">
        <v>0.9194556822361163</v>
      </c>
      <c r="Q226" s="162">
        <v>1.0</v>
      </c>
    </row>
    <row r="227">
      <c r="A227" s="54">
        <v>45429.959708124996</v>
      </c>
      <c r="B227" s="158">
        <v>1.0884800000000001</v>
      </c>
      <c r="C227" s="159">
        <v>156.89</v>
      </c>
      <c r="D227" s="160">
        <v>1.0651904348229975</v>
      </c>
      <c r="E227" s="160">
        <v>2.54</v>
      </c>
      <c r="F227" s="160">
        <v>1.2198815009587864</v>
      </c>
      <c r="G227" s="159">
        <v>61471.65588710862</v>
      </c>
      <c r="H227" s="159">
        <v>154.09653829193002</v>
      </c>
      <c r="I227" s="160">
        <v>1.108885785682787</v>
      </c>
      <c r="J227" s="159">
        <v>156.89</v>
      </c>
      <c r="K227" s="160">
        <v>2.54</v>
      </c>
      <c r="L227" s="161">
        <v>157.69</v>
      </c>
      <c r="M227" s="160">
        <v>0.9187123327943554</v>
      </c>
      <c r="N227" s="160">
        <v>0.9187123327943554</v>
      </c>
      <c r="O227" s="160">
        <v>0.9187123327943554</v>
      </c>
      <c r="P227" s="160">
        <v>0.9187123327943554</v>
      </c>
      <c r="Q227" s="162">
        <v>1.0</v>
      </c>
    </row>
    <row r="228">
      <c r="A228" s="54">
        <v>45428.959705914356</v>
      </c>
      <c r="B228" s="158">
        <v>1.08677</v>
      </c>
      <c r="C228" s="159">
        <v>146.83</v>
      </c>
      <c r="D228" s="160">
        <v>1.0619498201895743</v>
      </c>
      <c r="E228" s="160">
        <v>2.55</v>
      </c>
      <c r="F228" s="160">
        <v>1.1610201460680825</v>
      </c>
      <c r="G228" s="159">
        <v>60214.63511138511</v>
      </c>
      <c r="H228" s="159">
        <v>146.26461900862188</v>
      </c>
      <c r="I228" s="160">
        <v>1.0397784259778977</v>
      </c>
      <c r="J228" s="159">
        <v>146.83</v>
      </c>
      <c r="K228" s="160">
        <v>2.55</v>
      </c>
      <c r="L228" s="161">
        <v>147.95</v>
      </c>
      <c r="M228" s="160">
        <v>0.9201578990954847</v>
      </c>
      <c r="N228" s="160">
        <v>0.9201578990954847</v>
      </c>
      <c r="O228" s="160">
        <v>0.9201578990954847</v>
      </c>
      <c r="P228" s="160">
        <v>0.9201578990954847</v>
      </c>
      <c r="Q228" s="162">
        <v>1.0</v>
      </c>
    </row>
    <row r="229">
      <c r="A229" s="54">
        <v>45427.95970702547</v>
      </c>
      <c r="B229" s="158">
        <v>1.08619</v>
      </c>
      <c r="C229" s="159">
        <v>144.92</v>
      </c>
      <c r="D229" s="160">
        <v>1.0630957484424628</v>
      </c>
      <c r="E229" s="160">
        <v>2.45</v>
      </c>
      <c r="F229" s="160">
        <v>1.1784654050420784</v>
      </c>
      <c r="G229" s="159">
        <v>60425.53562897358</v>
      </c>
      <c r="H229" s="159">
        <v>143.07724817169526</v>
      </c>
      <c r="I229" s="160">
        <v>1.0482892947704971</v>
      </c>
      <c r="J229" s="159">
        <v>144.92</v>
      </c>
      <c r="K229" s="160">
        <v>2.45</v>
      </c>
      <c r="L229" s="161">
        <v>143.06</v>
      </c>
      <c r="M229" s="160">
        <v>0.9206492418453494</v>
      </c>
      <c r="N229" s="160">
        <v>0.9206492418453494</v>
      </c>
      <c r="O229" s="160">
        <v>0.9206492418453494</v>
      </c>
      <c r="P229" s="160">
        <v>0.9206492418453494</v>
      </c>
      <c r="Q229" s="162">
        <v>1.0</v>
      </c>
    </row>
    <row r="230">
      <c r="A230" s="54">
        <v>45426.95969979167</v>
      </c>
      <c r="B230" s="158">
        <v>1.08198</v>
      </c>
      <c r="C230" s="159">
        <v>132.48</v>
      </c>
      <c r="D230" s="160">
        <v>1.0601339489390122</v>
      </c>
      <c r="E230" s="160">
        <v>2.49</v>
      </c>
      <c r="F230" s="160">
        <v>1.1190331117589511</v>
      </c>
      <c r="G230" s="159">
        <v>56988.35838000703</v>
      </c>
      <c r="H230" s="159">
        <v>132.43498031386903</v>
      </c>
      <c r="I230" s="160">
        <v>0.9436403630381338</v>
      </c>
      <c r="J230" s="159">
        <v>132.48</v>
      </c>
      <c r="K230" s="160">
        <v>2.49</v>
      </c>
      <c r="L230" s="161">
        <v>133.12</v>
      </c>
      <c r="M230" s="160">
        <v>0.9242315015064974</v>
      </c>
      <c r="N230" s="160">
        <v>0.9242315015064974</v>
      </c>
      <c r="O230" s="160">
        <v>0.9242315015064974</v>
      </c>
      <c r="P230" s="160">
        <v>0.9242315015064974</v>
      </c>
      <c r="Q230" s="162">
        <v>1.0</v>
      </c>
    </row>
    <row r="231">
      <c r="A231" s="54">
        <v>45425.95969133102</v>
      </c>
      <c r="B231" s="158">
        <v>1.0789600000000001</v>
      </c>
      <c r="C231" s="159">
        <v>136.94</v>
      </c>
      <c r="D231" s="160">
        <v>1.061228587325237</v>
      </c>
      <c r="E231" s="160">
        <v>2.47</v>
      </c>
      <c r="F231" s="160">
        <v>1.146381572625176</v>
      </c>
      <c r="G231" s="159">
        <v>57956.57855712908</v>
      </c>
      <c r="H231" s="159">
        <v>136.14777192852375</v>
      </c>
      <c r="I231" s="160">
        <v>0.9907688885593533</v>
      </c>
      <c r="J231" s="159">
        <v>136.94</v>
      </c>
      <c r="K231" s="160">
        <v>2.47</v>
      </c>
      <c r="L231" s="161">
        <v>137.72</v>
      </c>
      <c r="M231" s="160">
        <v>0.9268184177355971</v>
      </c>
      <c r="N231" s="160">
        <v>0.9268184177355971</v>
      </c>
      <c r="O231" s="160">
        <v>0.9268184177355971</v>
      </c>
      <c r="P231" s="160">
        <v>0.9268184177355971</v>
      </c>
      <c r="Q231" s="162">
        <v>1.0</v>
      </c>
    </row>
    <row r="232">
      <c r="A232" s="54">
        <v>45424.95970699074</v>
      </c>
      <c r="B232" s="158">
        <v>1.07734</v>
      </c>
      <c r="C232" s="159">
        <v>133.95</v>
      </c>
      <c r="D232" s="160">
        <v>1.0585918388565343</v>
      </c>
      <c r="E232" s="160">
        <v>2.48</v>
      </c>
      <c r="F232" s="160">
        <v>1.147303394734912</v>
      </c>
      <c r="G232" s="159">
        <v>56914.101397887396</v>
      </c>
      <c r="H232" s="159">
        <v>133.43512725787588</v>
      </c>
      <c r="I232" s="160">
        <v>0.9829765904913954</v>
      </c>
      <c r="J232" s="159">
        <v>133.95</v>
      </c>
      <c r="K232" s="160">
        <v>2.48</v>
      </c>
      <c r="L232" s="161">
        <v>134.86</v>
      </c>
      <c r="M232" s="160">
        <v>0.9282120778955576</v>
      </c>
      <c r="N232" s="160">
        <v>0.9282120778955576</v>
      </c>
      <c r="O232" s="160">
        <v>0.9282120778955576</v>
      </c>
      <c r="P232" s="160">
        <v>0.9282120778955576</v>
      </c>
      <c r="Q232" s="162">
        <v>1.0</v>
      </c>
    </row>
    <row r="233">
      <c r="A233" s="54">
        <v>45423.95972658564</v>
      </c>
      <c r="B233" s="158">
        <v>1.0778699999999999</v>
      </c>
      <c r="C233" s="159">
        <v>136.2</v>
      </c>
      <c r="D233" s="160">
        <v>1.0586826577601292</v>
      </c>
      <c r="E233" s="160">
        <v>2.49</v>
      </c>
      <c r="F233" s="160">
        <v>1.149441070333352</v>
      </c>
      <c r="G233" s="159">
        <v>56685.56690509988</v>
      </c>
      <c r="H233" s="159">
        <v>134.9995825099502</v>
      </c>
      <c r="I233" s="160">
        <v>0.9824932505775279</v>
      </c>
      <c r="J233" s="159">
        <v>136.2</v>
      </c>
      <c r="K233" s="160">
        <v>2.49</v>
      </c>
      <c r="L233" s="161">
        <v>136.92</v>
      </c>
      <c r="M233" s="160">
        <v>0.9277556662677319</v>
      </c>
      <c r="N233" s="160">
        <v>0.9277556662677319</v>
      </c>
      <c r="O233" s="160">
        <v>0.9277556662677319</v>
      </c>
      <c r="P233" s="160">
        <v>0.9277556662677319</v>
      </c>
      <c r="Q233" s="162">
        <v>1.0</v>
      </c>
    </row>
    <row r="234">
      <c r="A234" s="54">
        <v>45422.95969822917</v>
      </c>
      <c r="B234" s="158">
        <v>1.07724</v>
      </c>
      <c r="C234" s="159">
        <v>136.18</v>
      </c>
      <c r="D234" s="160">
        <v>1.058193286919481</v>
      </c>
      <c r="E234" s="160">
        <v>2.52</v>
      </c>
      <c r="F234" s="160">
        <v>1.1411261185479373</v>
      </c>
      <c r="G234" s="159">
        <v>56362.293453640785</v>
      </c>
      <c r="H234" s="159">
        <v>135.92328543314397</v>
      </c>
      <c r="I234" s="160">
        <v>0.9672867698934314</v>
      </c>
      <c r="J234" s="159">
        <v>136.18</v>
      </c>
      <c r="K234" s="160">
        <v>2.52</v>
      </c>
      <c r="L234" s="161">
        <v>136.83</v>
      </c>
      <c r="M234" s="160">
        <v>0.928298243659723</v>
      </c>
      <c r="N234" s="160">
        <v>0.928298243659723</v>
      </c>
      <c r="O234" s="160">
        <v>0.928298243659723</v>
      </c>
      <c r="P234" s="160">
        <v>0.928298243659723</v>
      </c>
      <c r="Q234" s="162">
        <v>1.0</v>
      </c>
    </row>
    <row r="235">
      <c r="A235" s="54">
        <v>45421.95970061343</v>
      </c>
      <c r="B235" s="158">
        <v>1.07823</v>
      </c>
      <c r="C235" s="159">
        <v>141.85</v>
      </c>
      <c r="D235" s="160">
        <v>1.0600407749172225</v>
      </c>
      <c r="E235" s="160">
        <v>2.47</v>
      </c>
      <c r="F235" s="160">
        <v>1.1767280315687099</v>
      </c>
      <c r="G235" s="159">
        <v>58023.39296810514</v>
      </c>
      <c r="H235" s="159">
        <v>139.3329809038888</v>
      </c>
      <c r="I235" s="160">
        <v>1.0062788087884773</v>
      </c>
      <c r="J235" s="159">
        <v>141.85</v>
      </c>
      <c r="K235" s="160">
        <v>2.47</v>
      </c>
      <c r="L235" s="161">
        <v>142.54</v>
      </c>
      <c r="M235" s="160">
        <v>0.9274459067174907</v>
      </c>
      <c r="N235" s="160">
        <v>0.9274459067174907</v>
      </c>
      <c r="O235" s="160">
        <v>0.9274459067174907</v>
      </c>
      <c r="P235" s="160">
        <v>0.9274459067174907</v>
      </c>
      <c r="Q235" s="162">
        <v>1.0</v>
      </c>
    </row>
    <row r="236">
      <c r="A236" s="54">
        <v>45420.959704340275</v>
      </c>
      <c r="B236" s="158">
        <v>1.0743900000000002</v>
      </c>
      <c r="C236" s="159">
        <v>132.05</v>
      </c>
      <c r="D236" s="160">
        <v>1.0589674596568588</v>
      </c>
      <c r="E236" s="160">
        <v>2.49</v>
      </c>
      <c r="F236" s="160">
        <v>1.1521630294155658</v>
      </c>
      <c r="G236" s="159">
        <v>57411.48372564896</v>
      </c>
      <c r="H236" s="159">
        <v>131.29775965896926</v>
      </c>
      <c r="I236" s="160">
        <v>0.950306685654185</v>
      </c>
      <c r="J236" s="159">
        <v>132.05</v>
      </c>
      <c r="K236" s="160">
        <v>2.49</v>
      </c>
      <c r="L236" s="161">
        <v>133.03</v>
      </c>
      <c r="M236" s="160">
        <v>0.9307607107288786</v>
      </c>
      <c r="N236" s="160">
        <v>0.9307607107288786</v>
      </c>
      <c r="O236" s="160">
        <v>0.9307607107288786</v>
      </c>
      <c r="P236" s="160">
        <v>0.9307607107288786</v>
      </c>
      <c r="Q236" s="162">
        <v>1.0</v>
      </c>
    </row>
    <row r="237">
      <c r="A237" s="54">
        <v>45419.95969797454</v>
      </c>
      <c r="B237" s="158">
        <v>1.07527</v>
      </c>
      <c r="C237" s="159">
        <v>139.28</v>
      </c>
      <c r="D237" s="160">
        <v>1.0488875729789806</v>
      </c>
      <c r="E237" s="160">
        <v>2.51</v>
      </c>
      <c r="F237" s="160">
        <v>1.1839369789649483</v>
      </c>
      <c r="G237" s="159">
        <v>58592.94688775842</v>
      </c>
      <c r="H237" s="159">
        <v>140.2457057297237</v>
      </c>
      <c r="I237" s="160">
        <v>1.0378788583332559</v>
      </c>
      <c r="J237" s="159">
        <v>139.28</v>
      </c>
      <c r="K237" s="160">
        <v>2.51</v>
      </c>
      <c r="L237" s="161">
        <v>140.04</v>
      </c>
      <c r="M237" s="160">
        <v>0.9299989770011253</v>
      </c>
      <c r="N237" s="160">
        <v>0.9299989770011253</v>
      </c>
      <c r="O237" s="160">
        <v>0.9299989770011253</v>
      </c>
      <c r="P237" s="160">
        <v>0.9299989770011253</v>
      </c>
      <c r="Q237" s="162">
        <v>1.0</v>
      </c>
    </row>
    <row r="238">
      <c r="A238" s="54">
        <v>45418.95970091435</v>
      </c>
      <c r="B238" s="158">
        <v>1.07679</v>
      </c>
      <c r="C238" s="159">
        <v>143.06</v>
      </c>
      <c r="D238" s="160">
        <v>1.049529607674626</v>
      </c>
      <c r="E238" s="160">
        <v>2.48</v>
      </c>
      <c r="F238" s="160">
        <v>1.201418223719667</v>
      </c>
      <c r="G238" s="159">
        <v>59164.04498555893</v>
      </c>
      <c r="H238" s="159">
        <v>144.40420137631293</v>
      </c>
      <c r="I238" s="160">
        <v>1.0587022539213775</v>
      </c>
      <c r="J238" s="159">
        <v>143.06</v>
      </c>
      <c r="K238" s="160">
        <v>2.48</v>
      </c>
      <c r="L238" s="161">
        <v>144.06</v>
      </c>
      <c r="M238" s="160">
        <v>0.9286861876503312</v>
      </c>
      <c r="N238" s="160">
        <v>0.9286861876503312</v>
      </c>
      <c r="O238" s="160">
        <v>0.9286861876503312</v>
      </c>
      <c r="P238" s="160">
        <v>0.9286861876503312</v>
      </c>
      <c r="Q238" s="162">
        <v>1.0</v>
      </c>
    </row>
    <row r="239">
      <c r="A239" s="54">
        <v>45417.959699803236</v>
      </c>
      <c r="B239" s="158">
        <v>1.07627</v>
      </c>
      <c r="C239" s="159">
        <v>136.0</v>
      </c>
      <c r="D239" s="160">
        <f>(D240+D238)/2</f>
        <v>1.049693908</v>
      </c>
      <c r="E239" s="160">
        <v>2.48</v>
      </c>
      <c r="F239" s="160">
        <v>1.2032988104533622</v>
      </c>
      <c r="G239" s="159">
        <v>59146.283925037395</v>
      </c>
      <c r="H239" s="159">
        <v>135.3275665028292</v>
      </c>
      <c r="I239" s="160">
        <v>0.9839538405790368</v>
      </c>
      <c r="J239" s="159">
        <v>136.0</v>
      </c>
      <c r="K239" s="160">
        <v>2.48</v>
      </c>
      <c r="L239" s="161">
        <v>136.72</v>
      </c>
      <c r="M239" s="160">
        <v>0.929134882510894</v>
      </c>
      <c r="N239" s="160">
        <v>0.929134882510894</v>
      </c>
      <c r="O239" s="160">
        <v>0.929134882510894</v>
      </c>
      <c r="P239" s="160">
        <v>0.929134882510894</v>
      </c>
      <c r="Q239" s="162">
        <v>1.0</v>
      </c>
    </row>
    <row r="240">
      <c r="A240" s="54">
        <v>45416.95969826389</v>
      </c>
      <c r="B240" s="158">
        <v>1.07641</v>
      </c>
      <c r="C240" s="159">
        <v>136.85</v>
      </c>
      <c r="D240" s="160">
        <v>1.0498582085262163</v>
      </c>
      <c r="E240" s="160">
        <v>2.46</v>
      </c>
      <c r="F240" s="160">
        <v>1.2097489798692411</v>
      </c>
      <c r="G240" s="159">
        <v>59390.76095539803</v>
      </c>
      <c r="H240" s="159">
        <v>136.17116154625094</v>
      </c>
      <c r="I240" s="160">
        <v>0.9996191042446652</v>
      </c>
      <c r="J240" s="159">
        <v>136.85</v>
      </c>
      <c r="K240" s="160">
        <v>2.46</v>
      </c>
      <c r="L240" s="161">
        <v>137.54</v>
      </c>
      <c r="M240" s="160">
        <v>0.9290140374021051</v>
      </c>
      <c r="N240" s="160">
        <v>0.9290140374021051</v>
      </c>
      <c r="O240" s="160">
        <v>0.9290140374021051</v>
      </c>
      <c r="P240" s="160">
        <v>0.9290140374021051</v>
      </c>
      <c r="Q240" s="162">
        <v>1.0</v>
      </c>
    </row>
    <row r="241">
      <c r="A241" s="54">
        <v>45415.95969923611</v>
      </c>
      <c r="B241" s="158">
        <v>1.07667</v>
      </c>
      <c r="C241" s="159">
        <v>134.36</v>
      </c>
      <c r="D241" s="160">
        <v>1.0496474406925043</v>
      </c>
      <c r="E241" s="160">
        <v>2.41</v>
      </c>
      <c r="F241" s="160">
        <v>1.2043208815202802</v>
      </c>
      <c r="G241" s="159">
        <v>58206.14858777527</v>
      </c>
      <c r="H241" s="159">
        <v>133.06212674264168</v>
      </c>
      <c r="I241" s="160">
        <v>0.9882322345751252</v>
      </c>
      <c r="J241" s="159">
        <v>134.36</v>
      </c>
      <c r="K241" s="160">
        <v>2.41</v>
      </c>
      <c r="L241" s="161">
        <v>135.18</v>
      </c>
      <c r="M241" s="160">
        <v>0.9287896941495537</v>
      </c>
      <c r="N241" s="160">
        <v>0.9287896941495537</v>
      </c>
      <c r="O241" s="160">
        <v>0.9287896941495537</v>
      </c>
      <c r="P241" s="160">
        <v>0.9287896941495537</v>
      </c>
      <c r="Q241" s="162">
        <v>1.0</v>
      </c>
    </row>
    <row r="242">
      <c r="A242" s="54">
        <v>45414.95971609953</v>
      </c>
      <c r="B242" s="158">
        <v>1.07248</v>
      </c>
      <c r="C242" s="159">
        <v>129.54</v>
      </c>
      <c r="D242" s="160">
        <v>1.0475168765541272</v>
      </c>
      <c r="E242" s="160">
        <v>2.41</v>
      </c>
      <c r="F242" s="160">
        <v>1.1536620626725627</v>
      </c>
      <c r="G242" s="159">
        <v>55277.348761748464</v>
      </c>
      <c r="H242" s="159">
        <v>127.8214978367895</v>
      </c>
      <c r="I242" s="160">
        <v>0.9454721766373265</v>
      </c>
      <c r="J242" s="159">
        <v>129.54</v>
      </c>
      <c r="K242" s="160">
        <v>2.41</v>
      </c>
      <c r="L242" s="161">
        <v>130.46</v>
      </c>
      <c r="M242" s="160">
        <v>0.9324183201551544</v>
      </c>
      <c r="N242" s="160">
        <v>0.9324183201551544</v>
      </c>
      <c r="O242" s="160">
        <v>0.9324183201551544</v>
      </c>
      <c r="P242" s="160">
        <v>0.9324183201551544</v>
      </c>
      <c r="Q242" s="162">
        <v>1.0</v>
      </c>
    </row>
    <row r="243">
      <c r="A243" s="54">
        <v>45413.95969517361</v>
      </c>
      <c r="B243" s="158">
        <v>1.06984</v>
      </c>
      <c r="C243" s="159">
        <v>125.36</v>
      </c>
      <c r="D243" s="160">
        <v>1.045827169979354</v>
      </c>
      <c r="E243" s="160">
        <v>2.39</v>
      </c>
      <c r="F243" s="160">
        <v>1.112797988935542</v>
      </c>
      <c r="G243" s="159">
        <v>54085.035145442314</v>
      </c>
      <c r="H243" s="159">
        <v>124.55226949824274</v>
      </c>
      <c r="I243" s="160">
        <v>0.8870485306214013</v>
      </c>
      <c r="J243" s="159">
        <v>125.36</v>
      </c>
      <c r="K243" s="160">
        <v>2.39</v>
      </c>
      <c r="L243" s="161">
        <v>126.32</v>
      </c>
      <c r="M243" s="160">
        <v>0.9347192103492111</v>
      </c>
      <c r="N243" s="160">
        <v>0.9347192103492111</v>
      </c>
      <c r="O243" s="160">
        <v>0.9347192103492111</v>
      </c>
      <c r="P243" s="160">
        <v>0.9347192103492111</v>
      </c>
      <c r="Q243" s="162">
        <v>1.0</v>
      </c>
    </row>
    <row r="244">
      <c r="A244" s="54">
        <v>45412.95971059028</v>
      </c>
      <c r="B244" s="158">
        <v>1.06725</v>
      </c>
      <c r="C244" s="159">
        <v>118.91</v>
      </c>
      <c r="D244" s="160">
        <v>1.0458564758533377</v>
      </c>
      <c r="E244" s="160">
        <v>2.43</v>
      </c>
      <c r="F244" s="160">
        <v>1.1103935996444225</v>
      </c>
      <c r="G244" s="159">
        <v>56365.57976106816</v>
      </c>
      <c r="H244" s="159">
        <v>117.6228624970719</v>
      </c>
      <c r="I244" s="160">
        <v>0.8460997891777934</v>
      </c>
      <c r="J244" s="159">
        <v>118.91</v>
      </c>
      <c r="K244" s="160">
        <v>2.43</v>
      </c>
      <c r="L244" s="161">
        <v>119.95</v>
      </c>
      <c r="M244" s="160">
        <v>0.9369875849144998</v>
      </c>
      <c r="N244" s="160">
        <v>0.9369875849144998</v>
      </c>
      <c r="O244" s="160">
        <v>0.9369875849144998</v>
      </c>
      <c r="P244" s="160">
        <v>0.9369875849144998</v>
      </c>
      <c r="Q244" s="162">
        <v>1.0</v>
      </c>
    </row>
    <row r="245">
      <c r="A245" s="54">
        <v>45411.959696527774</v>
      </c>
      <c r="B245" s="158">
        <v>1.0720399999999999</v>
      </c>
      <c r="C245" s="159">
        <v>127.11189869453256</v>
      </c>
      <c r="D245" s="160">
        <v>1.048106751510589</v>
      </c>
      <c r="E245" s="160">
        <v>2.41</v>
      </c>
      <c r="F245" s="160">
        <v>1.1682927429152645</v>
      </c>
      <c r="G245" s="159">
        <v>58848.08589231746</v>
      </c>
      <c r="H245" s="159">
        <v>125.73598000074627</v>
      </c>
      <c r="I245" s="160">
        <v>0.9076153874855417</v>
      </c>
      <c r="J245" s="159">
        <v>127.11189869453256</v>
      </c>
      <c r="K245" s="160">
        <v>2.41</v>
      </c>
      <c r="L245" s="161">
        <v>130.73</v>
      </c>
      <c r="M245" s="160">
        <v>0.9328010148875043</v>
      </c>
      <c r="N245" s="160">
        <v>0.9328010148875043</v>
      </c>
      <c r="O245" s="160">
        <v>0.9328010148875043</v>
      </c>
      <c r="P245" s="160">
        <v>0.9328010148875043</v>
      </c>
      <c r="Q245" s="162">
        <v>1.0</v>
      </c>
    </row>
    <row r="246">
      <c r="A246" s="54">
        <v>45410.95970349537</v>
      </c>
      <c r="B246" s="158">
        <v>1.06941</v>
      </c>
      <c r="C246" s="159">
        <v>133.36536</v>
      </c>
      <c r="D246" s="160">
        <v>1.0485530215841015</v>
      </c>
      <c r="E246" s="160">
        <v>2.44</v>
      </c>
      <c r="F246" s="160">
        <v>1.17644128441507</v>
      </c>
      <c r="G246" s="159">
        <v>59420.15971423495</v>
      </c>
      <c r="H246" s="159">
        <v>132.0831112482584</v>
      </c>
      <c r="I246" s="160">
        <v>0.9603426188272037</v>
      </c>
      <c r="J246" s="159">
        <v>133.36536</v>
      </c>
      <c r="K246" s="160">
        <v>2.44</v>
      </c>
      <c r="L246" s="161">
        <v>129.65</v>
      </c>
      <c r="M246" s="160">
        <v>0.9350950524120777</v>
      </c>
      <c r="N246" s="160">
        <v>0.9350950524120777</v>
      </c>
      <c r="O246" s="160">
        <v>0.9350950524120777</v>
      </c>
      <c r="P246" s="160">
        <v>0.9350950524120777</v>
      </c>
      <c r="Q246" s="162">
        <v>1.0</v>
      </c>
    </row>
    <row r="247">
      <c r="A247" s="54">
        <v>45409.9597</v>
      </c>
      <c r="B247" s="158">
        <v>1.0699</v>
      </c>
      <c r="C247" s="159">
        <v>131.5469</v>
      </c>
      <c r="D247" s="160">
        <v>1.0480738675688048</v>
      </c>
      <c r="E247" s="160">
        <v>2.42</v>
      </c>
      <c r="F247" s="160">
        <v>1.1678948558800635</v>
      </c>
      <c r="G247" s="159">
        <v>58902.249742966625</v>
      </c>
      <c r="H247" s="159">
        <v>118.2559117674549</v>
      </c>
      <c r="I247" s="160">
        <v>0.9384054584540611</v>
      </c>
      <c r="J247" s="159">
        <v>131.5469</v>
      </c>
      <c r="K247" s="160">
        <v>2.42</v>
      </c>
      <c r="L247" s="161">
        <v>133.37</v>
      </c>
      <c r="M247" s="160">
        <v>0.9346667912889054</v>
      </c>
      <c r="N247" s="160">
        <v>0.9346667912889054</v>
      </c>
      <c r="O247" s="160">
        <v>0.9346667912889054</v>
      </c>
      <c r="P247" s="160">
        <v>0.9346667912889054</v>
      </c>
      <c r="Q247" s="162">
        <v>1.0</v>
      </c>
    </row>
    <row r="248">
      <c r="A248" s="54">
        <v>45408.95970490741</v>
      </c>
      <c r="B248" s="158">
        <v>1.07055</v>
      </c>
      <c r="C248" s="159">
        <v>136.86748</v>
      </c>
      <c r="D248" s="160">
        <v>1.047738454110342</v>
      </c>
      <c r="E248" s="160">
        <v>2.43</v>
      </c>
      <c r="F248" s="160">
        <v>1.158978284635001</v>
      </c>
      <c r="G248" s="159">
        <v>59540.762225024526</v>
      </c>
      <c r="H248" s="159">
        <v>132.5636355144552</v>
      </c>
      <c r="I248" s="160">
        <v>0.916351408154687</v>
      </c>
      <c r="J248" s="159">
        <v>136.86748</v>
      </c>
      <c r="K248" s="160">
        <v>2.43</v>
      </c>
      <c r="L248" s="161">
        <v>131.55</v>
      </c>
      <c r="M248" s="160">
        <v>0.9340992947550325</v>
      </c>
      <c r="N248" s="160">
        <v>0.9340992947550325</v>
      </c>
      <c r="O248" s="160">
        <v>0.9340992947550325</v>
      </c>
      <c r="P248" s="160">
        <v>0.9340992947550325</v>
      </c>
      <c r="Q248" s="162">
        <v>1.0</v>
      </c>
    </row>
    <row r="249">
      <c r="A249" s="54">
        <v>45407.95969855324</v>
      </c>
      <c r="B249" s="158">
        <v>1.07276</v>
      </c>
      <c r="C249" s="159">
        <v>138.42265</v>
      </c>
      <c r="D249" s="160">
        <v>1.0483210523381585</v>
      </c>
      <c r="E249" s="160">
        <v>2.43</v>
      </c>
      <c r="F249" s="160">
        <v>1.1714793628837112</v>
      </c>
      <c r="G249" s="159">
        <v>59971.239606249306</v>
      </c>
      <c r="H249" s="159">
        <v>137.14996830605168</v>
      </c>
      <c r="I249" s="160">
        <v>0.9881054476304114</v>
      </c>
      <c r="J249" s="159">
        <v>138.42265</v>
      </c>
      <c r="K249" s="160">
        <v>2.43</v>
      </c>
      <c r="L249" s="161">
        <v>136.87</v>
      </c>
      <c r="M249" s="160">
        <v>0.9321749505947277</v>
      </c>
      <c r="N249" s="160">
        <v>0.9321749505947277</v>
      </c>
      <c r="O249" s="160">
        <v>0.9321749505947277</v>
      </c>
      <c r="P249" s="160">
        <v>0.9321749505947277</v>
      </c>
      <c r="Q249" s="162">
        <v>1.0</v>
      </c>
    </row>
    <row r="250">
      <c r="A250" s="54">
        <v>45406.95969638889</v>
      </c>
      <c r="B250" s="158">
        <v>1.06918</v>
      </c>
      <c r="C250" s="159">
        <v>146.38875</v>
      </c>
      <c r="D250" s="160">
        <v>1.0482394048239332</v>
      </c>
      <c r="E250" s="160">
        <v>2.44</v>
      </c>
      <c r="F250" s="160">
        <v>1.1709204677797191</v>
      </c>
      <c r="G250" s="159">
        <v>60180.56267419892</v>
      </c>
      <c r="H250" s="159">
        <v>140.04283656634055</v>
      </c>
      <c r="I250" s="160">
        <v>1.0297611253483978</v>
      </c>
      <c r="J250" s="159">
        <v>146.38875</v>
      </c>
      <c r="K250" s="160">
        <v>2.44</v>
      </c>
      <c r="L250" s="161">
        <v>138.42</v>
      </c>
      <c r="M250" s="160">
        <v>0.9352962083091715</v>
      </c>
      <c r="N250" s="160">
        <v>0.9352962083091715</v>
      </c>
      <c r="O250" s="160">
        <v>0.9352962083091715</v>
      </c>
      <c r="P250" s="160">
        <v>0.9352962083091715</v>
      </c>
      <c r="Q250" s="162">
        <v>1.0</v>
      </c>
    </row>
    <row r="251">
      <c r="A251" s="54">
        <v>45405.95968979166</v>
      </c>
      <c r="B251" s="158">
        <v>1.07054</v>
      </c>
      <c r="C251" s="159">
        <v>148.69502</v>
      </c>
      <c r="D251" s="160">
        <v>1.0468166433381736</v>
      </c>
      <c r="E251" s="160">
        <v>2.43</v>
      </c>
      <c r="F251" s="160">
        <v>1.1863304088957254</v>
      </c>
      <c r="G251" s="159">
        <v>61949.25364769181</v>
      </c>
      <c r="H251" s="159">
        <v>145.9431688680479</v>
      </c>
      <c r="I251" s="160">
        <v>1.093840491714462</v>
      </c>
      <c r="J251" s="159">
        <v>148.69502</v>
      </c>
      <c r="K251" s="160">
        <v>2.43</v>
      </c>
      <c r="L251" s="161">
        <v>146.39</v>
      </c>
      <c r="M251" s="160">
        <v>0.9341080202514619</v>
      </c>
      <c r="N251" s="160">
        <v>0.9341080202514619</v>
      </c>
      <c r="O251" s="160">
        <v>0.9341080202514619</v>
      </c>
      <c r="P251" s="160">
        <v>0.9341080202514619</v>
      </c>
      <c r="Q251" s="162">
        <v>1.0</v>
      </c>
    </row>
    <row r="252">
      <c r="A252" s="54">
        <v>45404.95969679398</v>
      </c>
      <c r="B252" s="158">
        <v>1.06561</v>
      </c>
      <c r="C252" s="159">
        <v>149.38295</v>
      </c>
      <c r="D252" s="160">
        <v>1.074589532260215</v>
      </c>
      <c r="E252" s="160">
        <v>2.42</v>
      </c>
      <c r="F252" s="160">
        <v>1.189049254999221</v>
      </c>
      <c r="G252" s="159">
        <v>62603.29388800781</v>
      </c>
      <c r="H252" s="159">
        <v>145.96991394600278</v>
      </c>
      <c r="I252" s="160">
        <v>1.1054701063240773</v>
      </c>
      <c r="J252" s="159">
        <v>149.38295</v>
      </c>
      <c r="K252" s="160">
        <v>2.42</v>
      </c>
      <c r="L252" s="161">
        <v>148.7</v>
      </c>
      <c r="M252" s="160">
        <v>0.9384296318540555</v>
      </c>
      <c r="N252" s="160">
        <v>0.9384296318540555</v>
      </c>
      <c r="O252" s="160">
        <v>0.9384296318540555</v>
      </c>
      <c r="P252" s="160">
        <v>0.9384296318540555</v>
      </c>
      <c r="Q252" s="162">
        <v>1.0</v>
      </c>
    </row>
    <row r="253">
      <c r="A253" s="54">
        <v>45403.95970252315</v>
      </c>
      <c r="B253" s="158">
        <v>1.06494</v>
      </c>
      <c r="C253" s="159">
        <v>157.24078351832028</v>
      </c>
      <c r="D253" s="160">
        <v>1.046755456692186</v>
      </c>
      <c r="E253" s="160">
        <v>2.42</v>
      </c>
      <c r="F253" s="160">
        <v>1.1828793050585291</v>
      </c>
      <c r="G253" s="159">
        <v>60382.86945743422</v>
      </c>
      <c r="H253" s="159">
        <v>137.94486074332826</v>
      </c>
      <c r="I253" s="160">
        <v>1.0798730444907694</v>
      </c>
      <c r="J253" s="159">
        <v>157.24078351832028</v>
      </c>
      <c r="K253" s="160">
        <v>2.42</v>
      </c>
      <c r="L253" s="161">
        <v>149.38</v>
      </c>
      <c r="M253" s="160">
        <v>0.9390200386876256</v>
      </c>
      <c r="N253" s="160">
        <v>0.9390200386876256</v>
      </c>
      <c r="O253" s="160">
        <v>0.9390200386876256</v>
      </c>
      <c r="P253" s="160">
        <v>0.9390200386876256</v>
      </c>
      <c r="Q253" s="162">
        <v>1.0</v>
      </c>
    </row>
    <row r="254">
      <c r="A254" s="54">
        <v>45402.959792256945</v>
      </c>
      <c r="B254" s="158">
        <v>1.0658800000000002</v>
      </c>
      <c r="C254" s="159">
        <v>158.61353998573944</v>
      </c>
      <c r="D254" s="160">
        <v>1.047417329423599</v>
      </c>
      <c r="E254" s="160">
        <v>2.4</v>
      </c>
      <c r="F254" s="160">
        <v>1.1996558005306224</v>
      </c>
      <c r="G254" s="159">
        <v>60594.57818891431</v>
      </c>
      <c r="H254" s="159">
        <v>141.1453446917101</v>
      </c>
      <c r="I254" s="160">
        <v>1.1033136938492136</v>
      </c>
      <c r="J254" s="159">
        <v>158.61353998573944</v>
      </c>
      <c r="K254" s="160">
        <v>2.4</v>
      </c>
      <c r="L254" s="159">
        <v>141.1453446917101</v>
      </c>
      <c r="M254" s="160">
        <v>0.9381919165384469</v>
      </c>
      <c r="N254" s="160">
        <v>0.9381919165384469</v>
      </c>
      <c r="O254" s="160">
        <v>0.9381919165384469</v>
      </c>
      <c r="P254" s="160">
        <v>0.9381919165384469</v>
      </c>
      <c r="Q254" s="162">
        <v>1.0</v>
      </c>
    </row>
    <row r="255">
      <c r="A255" s="54">
        <v>45401.959698715276</v>
      </c>
      <c r="B255" s="158">
        <v>1.06424</v>
      </c>
      <c r="C255" s="159">
        <v>152.3321807111178</v>
      </c>
      <c r="D255" s="160">
        <v>1.0450473507627274</v>
      </c>
      <c r="E255" s="160">
        <v>2.39</v>
      </c>
      <c r="F255" s="160">
        <v>1.145084492024111</v>
      </c>
      <c r="G255" s="159">
        <v>60404.329850409675</v>
      </c>
      <c r="H255" s="159">
        <v>135.62260392392693</v>
      </c>
      <c r="I255" s="160">
        <v>0.999774486957829</v>
      </c>
      <c r="J255" s="159">
        <v>152.3321807111178</v>
      </c>
      <c r="K255" s="160">
        <v>2.39</v>
      </c>
      <c r="L255" s="159">
        <v>135.62260392392693</v>
      </c>
      <c r="M255" s="160">
        <v>0.9396376757122453</v>
      </c>
      <c r="N255" s="160">
        <v>0.9396376757122453</v>
      </c>
      <c r="O255" s="160">
        <v>0.9396376757122453</v>
      </c>
      <c r="P255" s="160">
        <v>0.9396376757122453</v>
      </c>
      <c r="Q255" s="162">
        <v>1.0</v>
      </c>
    </row>
    <row r="256">
      <c r="A256" s="54">
        <v>45400.95975115741</v>
      </c>
      <c r="B256" s="158">
        <v>1.06597</v>
      </c>
      <c r="C256" s="159">
        <v>147.4187828925767</v>
      </c>
      <c r="D256" s="160">
        <v>1.045371905299148</v>
      </c>
      <c r="E256" s="160">
        <v>2.35</v>
      </c>
      <c r="F256" s="160">
        <v>1.1497118043088173</v>
      </c>
      <c r="G256" s="159">
        <v>59293.16303460697</v>
      </c>
      <c r="H256" s="159">
        <v>130.38734673583684</v>
      </c>
      <c r="I256" s="160">
        <v>0.9418651556798033</v>
      </c>
      <c r="J256" s="159">
        <v>147.4187828925767</v>
      </c>
      <c r="K256" s="160">
        <v>2.35</v>
      </c>
      <c r="L256" s="159">
        <v>130.38734673583684</v>
      </c>
      <c r="M256" s="160">
        <v>0.9381127048603618</v>
      </c>
      <c r="N256" s="160">
        <v>0.9381127048603618</v>
      </c>
      <c r="O256" s="160">
        <v>0.9381127048603618</v>
      </c>
      <c r="P256" s="160">
        <v>0.9381127048603618</v>
      </c>
      <c r="Q256" s="162">
        <v>1.0</v>
      </c>
    </row>
    <row r="257">
      <c r="A257" s="54">
        <v>45399.959697893515</v>
      </c>
      <c r="B257" s="158">
        <v>1.06722</v>
      </c>
      <c r="C257" s="159">
        <v>141.69711961919754</v>
      </c>
      <c r="D257" s="160">
        <v>1.0447089154411844</v>
      </c>
      <c r="E257" s="160">
        <v>2.35</v>
      </c>
      <c r="F257" s="160">
        <v>1.1312918083330616</v>
      </c>
      <c r="G257" s="159">
        <v>57160.089765933924</v>
      </c>
      <c r="H257" s="159">
        <v>126.15393264743912</v>
      </c>
      <c r="I257" s="160">
        <v>0.8985963531418076</v>
      </c>
      <c r="J257" s="159">
        <v>141.69711961919754</v>
      </c>
      <c r="K257" s="160">
        <v>2.35</v>
      </c>
      <c r="L257" s="159">
        <v>126.15393264743912</v>
      </c>
      <c r="M257" s="160">
        <v>0.937013924026911</v>
      </c>
      <c r="N257" s="160">
        <v>0.937013924026911</v>
      </c>
      <c r="O257" s="160">
        <v>0.937013924026911</v>
      </c>
      <c r="P257" s="160">
        <v>0.937013924026911</v>
      </c>
      <c r="Q257" s="162">
        <v>1.0</v>
      </c>
    </row>
    <row r="258">
      <c r="A258" s="54">
        <v>45398.95974569445</v>
      </c>
      <c r="B258" s="158">
        <v>1.06192</v>
      </c>
      <c r="C258" s="159">
        <v>126.78732861232486</v>
      </c>
      <c r="D258" s="160">
        <v>1.0472450533128388</v>
      </c>
      <c r="E258" s="160">
        <v>2.37</v>
      </c>
      <c r="F258" s="160">
        <v>1.1969778280042942</v>
      </c>
      <c r="G258" s="159">
        <v>60351.23643965647</v>
      </c>
      <c r="H258" s="159">
        <v>129.457962935061</v>
      </c>
      <c r="I258" s="160">
        <v>0.9172065692330872</v>
      </c>
      <c r="J258" s="159">
        <v>126.78732861232486</v>
      </c>
      <c r="K258" s="160">
        <v>2.37</v>
      </c>
      <c r="L258" s="159">
        <v>129.457962935061</v>
      </c>
      <c r="M258" s="160">
        <v>0.9416905228265783</v>
      </c>
      <c r="N258" s="160">
        <v>0.9416905228265783</v>
      </c>
      <c r="O258" s="160">
        <v>0.9416905228265783</v>
      </c>
      <c r="P258" s="160">
        <v>0.9416905228265783</v>
      </c>
      <c r="Q258" s="162">
        <v>1.0</v>
      </c>
    </row>
    <row r="259">
      <c r="A259" s="54">
        <v>45397.95970703704</v>
      </c>
      <c r="B259" s="158">
        <v>1.06223</v>
      </c>
      <c r="C259" s="159">
        <v>145.8130536701091</v>
      </c>
      <c r="D259" s="160">
        <v>1.0457063448124042</v>
      </c>
      <c r="E259" s="160">
        <v>2.4</v>
      </c>
      <c r="F259" s="160">
        <v>1.1677067560804628</v>
      </c>
      <c r="G259" s="159">
        <v>59703.435225892696</v>
      </c>
      <c r="H259" s="159">
        <v>129.94172636811237</v>
      </c>
      <c r="I259" s="160">
        <v>0.9555369364450259</v>
      </c>
      <c r="J259" s="159">
        <v>145.8130536701091</v>
      </c>
      <c r="K259" s="160">
        <v>2.4</v>
      </c>
      <c r="L259" s="159">
        <v>129.94172636811237</v>
      </c>
      <c r="M259" s="160">
        <v>0.9414157009310601</v>
      </c>
      <c r="N259" s="160">
        <v>0.9414157009310601</v>
      </c>
      <c r="O259" s="160">
        <v>0.9414157009310601</v>
      </c>
      <c r="P259" s="160">
        <v>0.9414157009310601</v>
      </c>
      <c r="Q259" s="162">
        <v>1.0</v>
      </c>
    </row>
    <row r="260">
      <c r="A260" s="54">
        <v>45396.95969416667</v>
      </c>
      <c r="B260" s="158">
        <v>1.06481</v>
      </c>
      <c r="C260" s="159">
        <v>149.0040476704764</v>
      </c>
      <c r="D260" s="160">
        <v>1.0467338025969029</v>
      </c>
      <c r="E260" s="160">
        <v>2.17</v>
      </c>
      <c r="F260" s="160">
        <v>1.1874538583139151</v>
      </c>
      <c r="G260" s="159">
        <v>60000.17092251199</v>
      </c>
      <c r="H260" s="159">
        <v>132.77580037753214</v>
      </c>
      <c r="I260" s="160">
        <v>0.943830354711169</v>
      </c>
      <c r="J260" s="159">
        <v>149.0040476704764</v>
      </c>
      <c r="K260" s="160">
        <v>2.17</v>
      </c>
      <c r="L260" s="159">
        <v>132.77580037753214</v>
      </c>
      <c r="M260" s="160">
        <v>0.9391346813046458</v>
      </c>
      <c r="N260" s="160">
        <v>0.9391346813046458</v>
      </c>
      <c r="O260" s="160">
        <v>0.9391346813046458</v>
      </c>
      <c r="P260" s="160">
        <v>0.9391346813046458</v>
      </c>
      <c r="Q260" s="162">
        <v>1.0</v>
      </c>
    </row>
    <row r="261">
      <c r="A261" s="54">
        <v>45395.959698819446</v>
      </c>
      <c r="B261" s="158">
        <v>1.06522</v>
      </c>
      <c r="C261" s="159">
        <v>136.92195039522352</v>
      </c>
      <c r="D261" s="160">
        <v>1.0449269104421095</v>
      </c>
      <c r="E261" s="160">
        <v>2.37</v>
      </c>
      <c r="F261" s="160">
        <v>1.1424292411959782</v>
      </c>
      <c r="G261" s="159">
        <v>58461.76752220198</v>
      </c>
      <c r="H261" s="159">
        <v>116.30085803871499</v>
      </c>
      <c r="I261" s="160">
        <v>0.8148551472935168</v>
      </c>
      <c r="J261" s="159">
        <v>136.92195039522352</v>
      </c>
      <c r="K261" s="160">
        <v>2.37</v>
      </c>
      <c r="L261" s="159">
        <v>116.30085803871499</v>
      </c>
      <c r="M261" s="160">
        <v>0.9387732111676461</v>
      </c>
      <c r="N261" s="160">
        <v>0.9387732111676461</v>
      </c>
      <c r="O261" s="160">
        <v>0.9387732111676461</v>
      </c>
      <c r="P261" s="160">
        <v>0.9387732111676461</v>
      </c>
      <c r="Q261" s="162">
        <v>1.0</v>
      </c>
    </row>
    <row r="262">
      <c r="A262" s="54">
        <v>45394.95970920139</v>
      </c>
      <c r="B262" s="158">
        <v>1.06423</v>
      </c>
      <c r="C262" s="159">
        <v>159.7032596337258</v>
      </c>
      <c r="D262" s="160">
        <v>1.0486908076132506</v>
      </c>
      <c r="E262" s="160">
        <v>2.39</v>
      </c>
      <c r="F262" s="160">
        <v>1.2374317241351211</v>
      </c>
      <c r="G262" s="159">
        <v>63076.64696541161</v>
      </c>
      <c r="H262" s="159">
        <v>142.09710306982512</v>
      </c>
      <c r="I262" s="160">
        <v>0.99132706275899</v>
      </c>
      <c r="J262" s="159">
        <v>159.7032596337258</v>
      </c>
      <c r="K262" s="160">
        <v>2.39</v>
      </c>
      <c r="L262" s="159">
        <v>142.09710306982512</v>
      </c>
      <c r="M262" s="160">
        <v>0.9396465049848247</v>
      </c>
      <c r="N262" s="160">
        <v>0.9396465049848247</v>
      </c>
      <c r="O262" s="160">
        <v>0.9396465049848247</v>
      </c>
      <c r="P262" s="160">
        <v>0.9396465049848247</v>
      </c>
      <c r="Q262" s="162">
        <v>1.0</v>
      </c>
    </row>
    <row r="263">
      <c r="A263" s="54">
        <v>45393.95970064815</v>
      </c>
      <c r="B263" s="158">
        <v>1.07178</v>
      </c>
      <c r="C263" s="159">
        <v>180.1610405120454</v>
      </c>
      <c r="D263" s="160">
        <f>(D264+D262)/2</f>
        <v>1.050328173</v>
      </c>
      <c r="E263" s="160">
        <v>2.36</v>
      </c>
      <c r="F263" s="160">
        <v>1.3313892252037451</v>
      </c>
      <c r="G263" s="159">
        <v>65086.90589486648</v>
      </c>
      <c r="H263" s="159">
        <v>160.5105525387673</v>
      </c>
      <c r="I263" s="160">
        <v>1.172815316576163</v>
      </c>
      <c r="J263" s="159">
        <v>180.1610405120454</v>
      </c>
      <c r="K263" s="160">
        <v>2.36</v>
      </c>
      <c r="L263" s="159">
        <v>160.5105525387673</v>
      </c>
      <c r="M263" s="160">
        <v>0.9330273003788091</v>
      </c>
      <c r="N263" s="160">
        <v>0.9330273003788091</v>
      </c>
      <c r="O263" s="160">
        <v>0.9330273003788091</v>
      </c>
      <c r="P263" s="160">
        <v>0.9330273003788091</v>
      </c>
      <c r="Q263" s="162">
        <v>1.0</v>
      </c>
    </row>
    <row r="264">
      <c r="A264" s="54">
        <v>45392.959699687504</v>
      </c>
      <c r="B264" s="158">
        <v>1.0731</v>
      </c>
      <c r="C264" s="159">
        <v>180.0027956388035</v>
      </c>
      <c r="D264" s="160">
        <v>1.0519655375697163</v>
      </c>
      <c r="E264" s="160">
        <v>2.35</v>
      </c>
      <c r="F264" s="160">
        <v>1.3244754244223094</v>
      </c>
      <c r="G264" s="159">
        <v>64970.58522038953</v>
      </c>
      <c r="H264" s="159">
        <v>160.7082284968782</v>
      </c>
      <c r="I264" s="160">
        <v>1.2626968595657442</v>
      </c>
      <c r="J264" s="159">
        <v>180.0027956388035</v>
      </c>
      <c r="K264" s="160">
        <v>2.35</v>
      </c>
      <c r="L264" s="159">
        <v>160.7082284968782</v>
      </c>
      <c r="M264" s="160">
        <v>0.9318796011555307</v>
      </c>
      <c r="N264" s="160">
        <v>0.9318796011555307</v>
      </c>
      <c r="O264" s="160">
        <v>0.9318796011555307</v>
      </c>
      <c r="P264" s="160">
        <v>0.9318796011555307</v>
      </c>
      <c r="Q264" s="162">
        <v>1.0</v>
      </c>
    </row>
    <row r="265">
      <c r="A265" s="54">
        <v>45391.95969701389</v>
      </c>
      <c r="B265" s="158">
        <v>1.08587</v>
      </c>
      <c r="C265" s="159">
        <v>179.660548684465</v>
      </c>
      <c r="D265" s="160">
        <v>1.0504110760723882</v>
      </c>
      <c r="E265" s="160">
        <v>2.33</v>
      </c>
      <c r="F265" s="160">
        <v>1.2841651770755986</v>
      </c>
      <c r="G265" s="159">
        <v>63586.75071601574</v>
      </c>
      <c r="H265" s="159">
        <v>160.22452043062248</v>
      </c>
      <c r="I265" s="160">
        <v>1.2414009043439824</v>
      </c>
      <c r="J265" s="159">
        <v>179.660548684465</v>
      </c>
      <c r="K265" s="160">
        <v>2.33</v>
      </c>
      <c r="L265" s="159">
        <v>160.22452043062248</v>
      </c>
      <c r="M265" s="160">
        <v>0.9209205521839632</v>
      </c>
      <c r="N265" s="160">
        <v>0.9209205521839632</v>
      </c>
      <c r="O265" s="160">
        <v>0.9209205521839632</v>
      </c>
      <c r="P265" s="160">
        <v>0.9209205521839632</v>
      </c>
      <c r="Q265" s="162">
        <v>1.0</v>
      </c>
    </row>
    <row r="266">
      <c r="A266" s="54">
        <v>45390.95969769676</v>
      </c>
      <c r="B266" s="158">
        <v>1.08596</v>
      </c>
      <c r="C266" s="159">
        <v>187.08147629746952</v>
      </c>
      <c r="D266" s="160">
        <v>1.0514662689805077</v>
      </c>
      <c r="E266" s="160">
        <v>2.33</v>
      </c>
      <c r="F266" s="160">
        <v>1.3103848178314579</v>
      </c>
      <c r="G266" s="159">
        <v>65905.9293159969</v>
      </c>
      <c r="H266" s="159">
        <v>166.2298795535747</v>
      </c>
      <c r="I266" s="160">
        <v>1.3315407565656192</v>
      </c>
      <c r="J266" s="159">
        <v>187.08147629746952</v>
      </c>
      <c r="K266" s="160">
        <v>2.33</v>
      </c>
      <c r="L266" s="159">
        <v>166.2298795535747</v>
      </c>
      <c r="M266" s="160">
        <v>0.9208442299900549</v>
      </c>
      <c r="N266" s="160">
        <v>0.9208442299900549</v>
      </c>
      <c r="O266" s="160">
        <v>0.9208442299900549</v>
      </c>
      <c r="P266" s="160">
        <v>0.9208442299900549</v>
      </c>
      <c r="Q266" s="162">
        <v>1.0</v>
      </c>
    </row>
    <row r="267">
      <c r="A267" s="54">
        <v>45389.959697997685</v>
      </c>
      <c r="B267" s="158">
        <v>1.0838299999999998</v>
      </c>
      <c r="C267" s="159">
        <v>183.7834346714891</v>
      </c>
      <c r="D267" s="160">
        <v>1.0492105370902354</v>
      </c>
      <c r="E267" s="160">
        <v>2.33</v>
      </c>
      <c r="F267" s="160">
        <v>1.2486131956140263</v>
      </c>
      <c r="G267" s="159">
        <v>63861.6471217811</v>
      </c>
      <c r="H267" s="159">
        <v>162.38801288024877</v>
      </c>
      <c r="I267" s="160">
        <v>1.2732624120018823</v>
      </c>
      <c r="J267" s="159">
        <v>183.7834346714891</v>
      </c>
      <c r="K267" s="160">
        <v>2.33</v>
      </c>
      <c r="L267" s="159">
        <v>162.38801288024877</v>
      </c>
      <c r="M267" s="160">
        <v>0.9226539217404944</v>
      </c>
      <c r="N267" s="160">
        <v>0.9226539217404944</v>
      </c>
      <c r="O267" s="160">
        <v>0.9226539217404944</v>
      </c>
      <c r="P267" s="160">
        <v>0.9226539217404944</v>
      </c>
      <c r="Q267" s="162">
        <v>1.0</v>
      </c>
    </row>
    <row r="268">
      <c r="A268" s="54">
        <v>45388.959708344904</v>
      </c>
      <c r="B268" s="158">
        <v>1.08414</v>
      </c>
      <c r="C268" s="159">
        <v>183.65709225745752</v>
      </c>
      <c r="D268" s="160">
        <f>(D270+D267)/2</f>
        <v>1.048575467</v>
      </c>
      <c r="E268" s="160">
        <v>2.31</v>
      </c>
      <c r="F268" s="160">
        <v>1.2269218418112513</v>
      </c>
      <c r="G268" s="159">
        <v>63061.64701975758</v>
      </c>
      <c r="H268" s="159">
        <v>163.93823675909013</v>
      </c>
      <c r="I268" s="160">
        <v>1.307949157857841</v>
      </c>
      <c r="J268" s="159">
        <v>183.65709225745752</v>
      </c>
      <c r="K268" s="160">
        <v>2.31</v>
      </c>
      <c r="L268" s="159">
        <v>163.93823675909013</v>
      </c>
      <c r="M268" s="160">
        <v>0.9223900972199162</v>
      </c>
      <c r="N268" s="160">
        <v>0.9223900972199162</v>
      </c>
      <c r="O268" s="160">
        <v>0.9223900972199162</v>
      </c>
      <c r="P268" s="160">
        <v>0.9223900972199162</v>
      </c>
      <c r="Q268" s="162">
        <v>1.0</v>
      </c>
    </row>
    <row r="269">
      <c r="A269" s="54">
        <v>45387.959696261576</v>
      </c>
      <c r="B269" s="158">
        <v>1.0837999999999999</v>
      </c>
      <c r="C269" s="159">
        <v>180.4530356154272</v>
      </c>
      <c r="D269" s="160">
        <f>(D270+D268)/2</f>
        <v>1.048257932</v>
      </c>
      <c r="E269" s="160">
        <v>2.32</v>
      </c>
      <c r="F269" s="160">
        <v>1.2260709366606202</v>
      </c>
      <c r="G269" s="159">
        <v>62217.93042996864</v>
      </c>
      <c r="H269" s="159">
        <v>161.5445654179738</v>
      </c>
      <c r="I269" s="160">
        <v>1.2566894260933754</v>
      </c>
      <c r="J269" s="159">
        <v>180.4530356154272</v>
      </c>
      <c r="K269" s="160">
        <v>2.32</v>
      </c>
      <c r="L269" s="159">
        <v>161.5445654179738</v>
      </c>
      <c r="M269" s="160">
        <v>0.9226794611551948</v>
      </c>
      <c r="N269" s="160">
        <v>0.9226794611551948</v>
      </c>
      <c r="O269" s="160">
        <v>0.9226794611551948</v>
      </c>
      <c r="P269" s="160">
        <v>0.9226794611551948</v>
      </c>
      <c r="Q269" s="162">
        <v>1.0</v>
      </c>
    </row>
    <row r="270">
      <c r="A270" s="54">
        <v>45386.95973177083</v>
      </c>
      <c r="B270" s="158">
        <v>1.08566</v>
      </c>
      <c r="C270" s="159">
        <v>187.70609583110732</v>
      </c>
      <c r="D270" s="160">
        <v>1.0479403970498502</v>
      </c>
      <c r="E270" s="160">
        <v>2.3</v>
      </c>
      <c r="F270" s="160">
        <v>1.225861180750548</v>
      </c>
      <c r="G270" s="159">
        <v>62263.32277140173</v>
      </c>
      <c r="H270" s="159">
        <v>167.35349925391006</v>
      </c>
      <c r="I270" s="160">
        <v>1.342961884936352</v>
      </c>
      <c r="J270" s="159">
        <v>187.70609583110732</v>
      </c>
      <c r="K270" s="160">
        <v>2.3</v>
      </c>
      <c r="L270" s="159">
        <v>167.35349925391006</v>
      </c>
      <c r="M270" s="160">
        <v>0.921098686513273</v>
      </c>
      <c r="N270" s="160">
        <v>0.921098686513273</v>
      </c>
      <c r="O270" s="160">
        <v>0.921098686513273</v>
      </c>
      <c r="P270" s="160">
        <v>0.921098686513273</v>
      </c>
      <c r="Q270" s="162">
        <v>1.0</v>
      </c>
    </row>
    <row r="271">
      <c r="A271" s="54">
        <v>45385.959702106484</v>
      </c>
      <c r="B271" s="158">
        <v>1.0830499999999998</v>
      </c>
      <c r="C271" s="159">
        <v>191.29587738331566</v>
      </c>
      <c r="D271" s="160">
        <v>1.0472608207732428</v>
      </c>
      <c r="E271" s="160">
        <v>2.31</v>
      </c>
      <c r="F271" s="160">
        <v>1.2111537142675317</v>
      </c>
      <c r="G271" s="159">
        <v>61126.269331979136</v>
      </c>
      <c r="H271" s="159">
        <v>170.32177646461386</v>
      </c>
      <c r="I271" s="160">
        <v>1.4708462213194222</v>
      </c>
      <c r="J271" s="159">
        <v>191.29587738331566</v>
      </c>
      <c r="K271" s="160">
        <v>2.31</v>
      </c>
      <c r="L271" s="159">
        <v>170.32177646461386</v>
      </c>
      <c r="M271" s="160">
        <v>0.9233184063524308</v>
      </c>
      <c r="N271" s="160">
        <v>0.9233184063524308</v>
      </c>
      <c r="O271" s="160">
        <v>0.9233184063524308</v>
      </c>
      <c r="P271" s="160">
        <v>0.9233184063524308</v>
      </c>
      <c r="Q271" s="162">
        <v>1.0</v>
      </c>
    </row>
    <row r="272">
      <c r="A272" s="54">
        <v>45384.95937534722</v>
      </c>
      <c r="B272" s="158">
        <v>1.07781</v>
      </c>
      <c r="C272" s="159">
        <v>190.95295089115893</v>
      </c>
      <c r="D272" s="160">
        <v>1.0460459603202634</v>
      </c>
      <c r="E272" s="160">
        <v>2.35</v>
      </c>
      <c r="F272" s="160">
        <v>1.1871727427832086</v>
      </c>
      <c r="G272" s="159">
        <v>61000.22452936975</v>
      </c>
      <c r="H272" s="159">
        <v>170.45397611823978</v>
      </c>
      <c r="I272" s="160">
        <v>1.4817082788246538</v>
      </c>
      <c r="J272" s="159">
        <v>190.95295089115893</v>
      </c>
      <c r="K272" s="160">
        <v>2.35</v>
      </c>
      <c r="L272" s="159">
        <v>170.45397611823978</v>
      </c>
      <c r="M272" s="160">
        <v>0.927807312977241</v>
      </c>
      <c r="N272" s="160">
        <v>0.927807312977241</v>
      </c>
      <c r="O272" s="160">
        <v>0.927807312977241</v>
      </c>
      <c r="P272" s="160">
        <v>0.927807312977241</v>
      </c>
      <c r="Q272" s="162">
        <v>1.0</v>
      </c>
    </row>
    <row r="273">
      <c r="A273" s="54">
        <v>45383.95972571759</v>
      </c>
      <c r="B273" s="158">
        <v>1.0745799999999999</v>
      </c>
      <c r="C273" s="159">
        <v>200.80682685328222</v>
      </c>
      <c r="D273" s="160">
        <f>(D275+D272)/2</f>
        <v>1.04637315</v>
      </c>
      <c r="E273" s="160">
        <v>2.36</v>
      </c>
      <c r="F273" s="160">
        <v>1.214925036173947</v>
      </c>
      <c r="G273" s="159">
        <v>65042.085279830266</v>
      </c>
      <c r="H273" s="159">
        <v>179.4301029239331</v>
      </c>
      <c r="I273" s="160">
        <v>1.5447895922127717</v>
      </c>
      <c r="J273" s="159">
        <v>200.80682685328222</v>
      </c>
      <c r="K273" s="160">
        <v>2.36</v>
      </c>
      <c r="L273" s="159">
        <v>179.4301029239331</v>
      </c>
      <c r="M273" s="160">
        <v>0.9305961398872119</v>
      </c>
      <c r="N273" s="160">
        <v>0.9305961398872119</v>
      </c>
      <c r="O273" s="160">
        <v>0.9305961398872119</v>
      </c>
      <c r="P273" s="160">
        <v>0.9305961398872119</v>
      </c>
      <c r="Q273" s="162">
        <v>1.0</v>
      </c>
    </row>
    <row r="274">
      <c r="A274" s="54">
        <v>45382.95970521991</v>
      </c>
      <c r="B274" s="158">
        <v>1.0809300000000002</v>
      </c>
      <c r="C274" s="159">
        <v>206.83022952457603</v>
      </c>
      <c r="D274" s="160">
        <f>(D275+D273)/2</f>
        <v>1.046536745</v>
      </c>
      <c r="E274" s="160">
        <v>2.35</v>
      </c>
      <c r="F274" s="160">
        <v>1.2429522516424558</v>
      </c>
      <c r="G274" s="159">
        <v>65708.00514371882</v>
      </c>
      <c r="H274" s="159">
        <v>183.97306023516782</v>
      </c>
      <c r="I274" s="160">
        <v>1.519062288954881</v>
      </c>
      <c r="J274" s="159">
        <v>206.83022952457603</v>
      </c>
      <c r="K274" s="160">
        <v>2.35</v>
      </c>
      <c r="L274" s="159">
        <v>183.97306023516782</v>
      </c>
      <c r="M274" s="160">
        <v>0.9251292868178327</v>
      </c>
      <c r="N274" s="160">
        <v>0.9251292868178327</v>
      </c>
      <c r="O274" s="160">
        <v>0.9251292868178327</v>
      </c>
      <c r="P274" s="160">
        <v>0.9251292868178327</v>
      </c>
      <c r="Q274" s="162">
        <v>1.0</v>
      </c>
    </row>
    <row r="275">
      <c r="A275" s="54">
        <v>45381.959697893515</v>
      </c>
      <c r="B275" s="158">
        <v>1.0794300000000001</v>
      </c>
      <c r="C275" s="159">
        <v>203.26098033221237</v>
      </c>
      <c r="D275" s="160">
        <v>1.0467003396093653</v>
      </c>
      <c r="E275" s="160">
        <v>2.33</v>
      </c>
      <c r="F275" s="160">
        <v>1.2125697903324901</v>
      </c>
      <c r="G275" s="159">
        <v>64830.04548696997</v>
      </c>
      <c r="H275" s="159">
        <v>181.6958950557238</v>
      </c>
      <c r="I275" s="160">
        <v>1.3988864493297386</v>
      </c>
      <c r="J275" s="159">
        <v>203.26098033221237</v>
      </c>
      <c r="K275" s="160">
        <v>2.33</v>
      </c>
      <c r="L275" s="159">
        <v>181.6958950557238</v>
      </c>
      <c r="M275" s="160">
        <v>0.9264148671057872</v>
      </c>
      <c r="N275" s="160">
        <v>0.9264148671057872</v>
      </c>
      <c r="O275" s="160">
        <v>0.9264148671057872</v>
      </c>
      <c r="P275" s="160">
        <v>0.9264148671057872</v>
      </c>
      <c r="Q275" s="162">
        <v>1.0</v>
      </c>
    </row>
    <row r="276">
      <c r="A276" s="54">
        <v>45380.95970049768</v>
      </c>
      <c r="B276" s="158">
        <v>1.07996</v>
      </c>
      <c r="C276" s="159">
        <v>199.22311937479165</v>
      </c>
      <c r="D276" s="160">
        <v>1.0468129606458343</v>
      </c>
      <c r="E276" s="160">
        <v>2.35</v>
      </c>
      <c r="F276" s="160">
        <v>1.214390720348772</v>
      </c>
      <c r="G276" s="159">
        <v>64820.45631319678</v>
      </c>
      <c r="H276" s="159">
        <v>177.97696210970776</v>
      </c>
      <c r="I276" s="160">
        <v>1.2352309344790549</v>
      </c>
      <c r="J276" s="159">
        <v>199.22311937479165</v>
      </c>
      <c r="K276" s="160">
        <v>2.35</v>
      </c>
      <c r="L276" s="159">
        <v>177.97696210970776</v>
      </c>
      <c r="M276" s="160">
        <v>0.9259602207489166</v>
      </c>
      <c r="N276" s="160">
        <v>0.9259602207489166</v>
      </c>
      <c r="O276" s="160">
        <v>0.9259602207489166</v>
      </c>
      <c r="P276" s="160">
        <v>0.9259602207489166</v>
      </c>
      <c r="Q276" s="162">
        <v>1.0</v>
      </c>
    </row>
    <row r="277">
      <c r="A277" s="54">
        <v>45379.95969923611</v>
      </c>
      <c r="B277" s="158">
        <v>1.0788900000000001</v>
      </c>
      <c r="C277" s="159">
        <v>196.9162750604788</v>
      </c>
      <c r="D277" s="160">
        <v>1.0481538899458696</v>
      </c>
      <c r="E277" s="160">
        <v>2.33</v>
      </c>
      <c r="F277" s="160">
        <v>1.2493089582605084</v>
      </c>
      <c r="G277" s="159">
        <v>65903.86508355809</v>
      </c>
      <c r="H277" s="159">
        <v>175.9280371492923</v>
      </c>
      <c r="I277" s="160">
        <v>1.2206990518032421</v>
      </c>
      <c r="J277" s="159">
        <v>196.9162750604788</v>
      </c>
      <c r="K277" s="160">
        <v>2.33</v>
      </c>
      <c r="L277" s="159">
        <v>175.9280371492923</v>
      </c>
      <c r="M277" s="160">
        <v>0.9268785511034489</v>
      </c>
      <c r="N277" s="160">
        <v>0.9268785511034489</v>
      </c>
      <c r="O277" s="160">
        <v>0.9268785511034489</v>
      </c>
      <c r="P277" s="160">
        <v>0.9268785511034489</v>
      </c>
      <c r="Q277" s="162">
        <v>1.0</v>
      </c>
    </row>
    <row r="278">
      <c r="A278" s="54">
        <v>45378.95971149305</v>
      </c>
      <c r="B278" s="158">
        <v>1.0826900000000002</v>
      </c>
      <c r="C278" s="159">
        <v>193.06911488976527</v>
      </c>
      <c r="D278" s="160">
        <v>1.047427274772014</v>
      </c>
      <c r="E278" s="160">
        <v>2.34</v>
      </c>
      <c r="F278" s="160">
        <v>1.2318399958589992</v>
      </c>
      <c r="G278" s="159">
        <v>64254.88459300445</v>
      </c>
      <c r="H278" s="159">
        <v>172.4972060331212</v>
      </c>
      <c r="I278" s="160">
        <v>1.2182619216950372</v>
      </c>
      <c r="J278" s="159">
        <v>193.06911488976527</v>
      </c>
      <c r="K278" s="160">
        <v>2.34</v>
      </c>
      <c r="L278" s="159">
        <v>172.4972060331212</v>
      </c>
      <c r="M278" s="160">
        <v>0.9236254144769046</v>
      </c>
      <c r="N278" s="160">
        <v>0.9236254144769046</v>
      </c>
      <c r="O278" s="160">
        <v>0.9236254144769046</v>
      </c>
      <c r="P278" s="160">
        <v>0.9236254144769046</v>
      </c>
      <c r="Q278" s="162">
        <v>1.0</v>
      </c>
    </row>
    <row r="279">
      <c r="A279" s="54">
        <v>45377.95971855324</v>
      </c>
      <c r="B279" s="158">
        <v>1.08317</v>
      </c>
      <c r="C279" s="159">
        <v>198.52377743105885</v>
      </c>
      <c r="D279" s="160">
        <v>1.0493289319570291</v>
      </c>
      <c r="E279" s="160">
        <v>2.32</v>
      </c>
      <c r="F279" s="160">
        <v>1.283735545555813</v>
      </c>
      <c r="G279" s="159">
        <v>64913.73468615268</v>
      </c>
      <c r="H279" s="159">
        <v>177.39782305639926</v>
      </c>
      <c r="I279" s="160">
        <v>1.2518810528356583</v>
      </c>
      <c r="J279" s="159">
        <v>198.52377743105885</v>
      </c>
      <c r="K279" s="160">
        <v>2.32</v>
      </c>
      <c r="L279" s="159">
        <v>177.39782305639926</v>
      </c>
      <c r="M279" s="160">
        <v>0.923216115660515</v>
      </c>
      <c r="N279" s="160">
        <v>0.923216115660515</v>
      </c>
      <c r="O279" s="160">
        <v>0.923216115660515</v>
      </c>
      <c r="P279" s="160">
        <v>0.923216115660515</v>
      </c>
      <c r="Q279" s="162">
        <v>1.0</v>
      </c>
    </row>
    <row r="280">
      <c r="A280" s="54">
        <v>45376.95969960648</v>
      </c>
      <c r="B280" s="158">
        <v>1.08395</v>
      </c>
      <c r="C280" s="159">
        <v>196.97403016744315</v>
      </c>
      <c r="D280" s="160">
        <v>1.0485785218964838</v>
      </c>
      <c r="E280" s="160">
        <v>2.32</v>
      </c>
      <c r="F280" s="160">
        <v>1.2690890559066008</v>
      </c>
      <c r="G280" s="159">
        <v>65116.09299321925</v>
      </c>
      <c r="H280" s="159">
        <v>174.21836800590432</v>
      </c>
      <c r="I280" s="160">
        <v>1.237141934591079</v>
      </c>
      <c r="J280" s="159">
        <v>196.97403016744315</v>
      </c>
      <c r="K280" s="160">
        <v>2.32</v>
      </c>
      <c r="L280" s="159">
        <v>174.21836800590432</v>
      </c>
      <c r="M280" s="160">
        <v>0.9225517782185525</v>
      </c>
      <c r="N280" s="160">
        <v>0.9225517782185525</v>
      </c>
      <c r="O280" s="160">
        <v>0.9225517782185525</v>
      </c>
      <c r="P280" s="160">
        <v>0.9225517782185525</v>
      </c>
      <c r="Q280" s="162">
        <v>1.0</v>
      </c>
    </row>
    <row r="281">
      <c r="A281" s="54">
        <v>45375.95975462963</v>
      </c>
      <c r="B281" s="158">
        <v>1.08083</v>
      </c>
      <c r="C281" s="159">
        <v>191.08092854565476</v>
      </c>
      <c r="D281" s="160">
        <v>1.04925610091784</v>
      </c>
      <c r="E281" s="160">
        <v>2.28</v>
      </c>
      <c r="F281" s="160">
        <v>1.2861114203669775</v>
      </c>
      <c r="G281" s="159">
        <v>62033.341043457345</v>
      </c>
      <c r="H281" s="159">
        <v>170.55318597744326</v>
      </c>
      <c r="I281" s="160">
        <v>1.2092558496710861</v>
      </c>
      <c r="J281" s="159">
        <v>191.08092854565476</v>
      </c>
      <c r="K281" s="160">
        <v>2.28</v>
      </c>
      <c r="L281" s="159">
        <v>170.55318597744326</v>
      </c>
      <c r="M281" s="160">
        <v>0.9252148811561486</v>
      </c>
      <c r="N281" s="160">
        <v>0.9252148811561486</v>
      </c>
      <c r="O281" s="160">
        <v>0.9252148811561486</v>
      </c>
      <c r="P281" s="160">
        <v>0.9252148811561486</v>
      </c>
      <c r="Q281" s="162">
        <v>1.0</v>
      </c>
    </row>
    <row r="282">
      <c r="A282" s="54">
        <v>45374.95969052083</v>
      </c>
      <c r="B282" s="158">
        <v>1.08211</v>
      </c>
      <c r="C282" s="159">
        <v>180.50105811793628</v>
      </c>
      <c r="D282" s="160">
        <v>1.047544976699816</v>
      </c>
      <c r="E282" s="160">
        <v>2.3</v>
      </c>
      <c r="F282" s="160">
        <v>1.2390047540355789</v>
      </c>
      <c r="G282" s="159">
        <v>60051.49661309848</v>
      </c>
      <c r="H282" s="159">
        <v>161.53256138470212</v>
      </c>
      <c r="I282" s="160">
        <v>1.0913862731145634</v>
      </c>
      <c r="J282" s="159">
        <v>180.50105811793628</v>
      </c>
      <c r="K282" s="160">
        <v>2.3</v>
      </c>
      <c r="L282" s="159">
        <v>161.53256138470212</v>
      </c>
      <c r="M282" s="160">
        <v>0.9241204683442534</v>
      </c>
      <c r="N282" s="160">
        <v>0.9241204683442534</v>
      </c>
      <c r="O282" s="160">
        <v>0.9241204683442534</v>
      </c>
      <c r="P282" s="160">
        <v>0.9241204683442534</v>
      </c>
      <c r="Q282" s="162">
        <v>1.0</v>
      </c>
    </row>
    <row r="283">
      <c r="A283" s="54">
        <v>45373.95970439815</v>
      </c>
      <c r="B283" s="158">
        <v>1.08035</v>
      </c>
      <c r="C283" s="159">
        <v>176.06331281529137</v>
      </c>
      <c r="D283" s="160">
        <v>1.0456771194008103</v>
      </c>
      <c r="E283" s="160">
        <v>2.35</v>
      </c>
      <c r="F283" s="160">
        <v>1.1911537817454252</v>
      </c>
      <c r="G283" s="159">
        <v>58493.9593650206</v>
      </c>
      <c r="H283" s="159">
        <v>157.58504188457448</v>
      </c>
      <c r="I283" s="160">
        <v>1.1070486416439118</v>
      </c>
      <c r="J283" s="159">
        <v>176.06331281529137</v>
      </c>
      <c r="K283" s="160">
        <v>2.35</v>
      </c>
      <c r="L283" s="159">
        <v>157.58504188457448</v>
      </c>
      <c r="M283" s="160">
        <v>0.9256259545517657</v>
      </c>
      <c r="N283" s="160">
        <v>0.9256259545517657</v>
      </c>
      <c r="O283" s="160">
        <v>0.9256259545517657</v>
      </c>
      <c r="P283" s="160">
        <v>0.9256259545517657</v>
      </c>
      <c r="Q283" s="162">
        <v>1.0</v>
      </c>
    </row>
    <row r="284">
      <c r="A284" s="54">
        <v>45372.959698692124</v>
      </c>
      <c r="B284" s="158">
        <v>1.08596</v>
      </c>
      <c r="C284" s="159">
        <v>182.92846882021436</v>
      </c>
      <c r="D284" s="160">
        <v>1.0471037421339298</v>
      </c>
      <c r="E284" s="160">
        <v>2.32</v>
      </c>
      <c r="F284" s="160">
        <v>1.2291456872268407</v>
      </c>
      <c r="G284" s="159">
        <v>60179.99742163615</v>
      </c>
      <c r="H284" s="159">
        <v>164.11470035728757</v>
      </c>
      <c r="I284" s="160">
        <v>1.1298758701977973</v>
      </c>
      <c r="J284" s="159">
        <v>182.92846882021436</v>
      </c>
      <c r="K284" s="160">
        <v>2.32</v>
      </c>
      <c r="L284" s="159">
        <v>164.11470035728757</v>
      </c>
      <c r="M284" s="160">
        <v>0.9208442299900549</v>
      </c>
      <c r="N284" s="160">
        <v>0.9208442299900549</v>
      </c>
      <c r="O284" s="160">
        <v>0.9208442299900549</v>
      </c>
      <c r="P284" s="160">
        <v>0.9208442299900549</v>
      </c>
      <c r="Q284" s="162">
        <v>1.0</v>
      </c>
    </row>
    <row r="285">
      <c r="A285" s="54">
        <v>45371.95972625</v>
      </c>
      <c r="B285" s="158">
        <v>1.0911199999999999</v>
      </c>
      <c r="C285" s="159">
        <v>194.19495564190925</v>
      </c>
      <c r="D285" s="160">
        <v>1.0472467228882265</v>
      </c>
      <c r="E285" s="160">
        <v>2.23</v>
      </c>
      <c r="F285" s="160">
        <v>1.2374021534729913</v>
      </c>
      <c r="G285" s="159">
        <v>61805.11309480168</v>
      </c>
      <c r="H285" s="159">
        <v>173.95795146271723</v>
      </c>
      <c r="I285" s="160">
        <v>1.2170980277146421</v>
      </c>
      <c r="J285" s="159">
        <v>194.19495564190925</v>
      </c>
      <c r="K285" s="160">
        <v>2.23</v>
      </c>
      <c r="L285" s="159">
        <v>173.95795146271723</v>
      </c>
      <c r="M285" s="160">
        <v>0.9164894787007847</v>
      </c>
      <c r="N285" s="160">
        <v>0.9164894787007847</v>
      </c>
      <c r="O285" s="160">
        <v>0.9164894787007847</v>
      </c>
      <c r="P285" s="160">
        <v>0.9164894787007847</v>
      </c>
      <c r="Q285" s="162">
        <v>1.0</v>
      </c>
    </row>
    <row r="286">
      <c r="A286" s="54">
        <v>45370.95973466436</v>
      </c>
      <c r="B286" s="158">
        <v>1.0863</v>
      </c>
      <c r="C286" s="159">
        <v>172.97707815520573</v>
      </c>
      <c r="D286" s="160">
        <v>1.0429716336793668</v>
      </c>
      <c r="E286" s="160">
        <v>2.23</v>
      </c>
      <c r="F286" s="160">
        <v>1.1171009696678726</v>
      </c>
      <c r="G286" s="159">
        <v>57727.415999263554</v>
      </c>
      <c r="H286" s="159">
        <v>155.13025867624043</v>
      </c>
      <c r="I286" s="160">
        <v>1.0475927460185952</v>
      </c>
      <c r="J286" s="159">
        <v>172.97707815520573</v>
      </c>
      <c r="K286" s="160">
        <v>2.23</v>
      </c>
      <c r="L286" s="159">
        <v>155.13025867624043</v>
      </c>
      <c r="M286" s="160">
        <v>0.9205560158335634</v>
      </c>
      <c r="N286" s="160">
        <v>0.9205560158335634</v>
      </c>
      <c r="O286" s="160">
        <v>0.9205560158335634</v>
      </c>
      <c r="P286" s="160">
        <v>0.9205560158335634</v>
      </c>
      <c r="Q286" s="162">
        <v>1.0</v>
      </c>
    </row>
    <row r="287">
      <c r="A287" s="54">
        <v>45369.95970075231</v>
      </c>
      <c r="B287" s="158">
        <v>1.08698</v>
      </c>
      <c r="C287" s="159">
        <v>201.42964911957898</v>
      </c>
      <c r="D287" s="160">
        <v>1.0464185681644165</v>
      </c>
      <c r="E287" s="160">
        <v>2.23</v>
      </c>
      <c r="F287" s="160">
        <v>1.2095881385845462</v>
      </c>
      <c r="G287" s="159">
        <v>62275.69320502677</v>
      </c>
      <c r="H287" s="159">
        <v>180.52034076063956</v>
      </c>
      <c r="I287" s="160">
        <v>1.2658926567186146</v>
      </c>
      <c r="J287" s="159">
        <v>201.42964911957898</v>
      </c>
      <c r="K287" s="160">
        <v>2.23</v>
      </c>
      <c r="L287" s="159">
        <v>180.52034076063956</v>
      </c>
      <c r="M287" s="160">
        <v>0.9199801284292258</v>
      </c>
      <c r="N287" s="160">
        <v>0.9199801284292258</v>
      </c>
      <c r="O287" s="160">
        <v>0.9199801284292258</v>
      </c>
      <c r="P287" s="160">
        <v>0.9199801284292258</v>
      </c>
      <c r="Q287" s="162">
        <v>1.0</v>
      </c>
    </row>
    <row r="288">
      <c r="A288" s="54">
        <v>45368.95970363426</v>
      </c>
      <c r="B288" s="158">
        <v>1.08854</v>
      </c>
      <c r="C288" s="159">
        <v>204.75315560291767</v>
      </c>
      <c r="D288" s="160">
        <v>1.0495650822764606</v>
      </c>
      <c r="E288" s="160">
        <v>2.21</v>
      </c>
      <c r="F288" s="160">
        <v>1.3069750753039118</v>
      </c>
      <c r="G288" s="159">
        <v>62929.7921987249</v>
      </c>
      <c r="H288" s="159">
        <v>184.36897128263547</v>
      </c>
      <c r="I288" s="160">
        <v>1.248461241663145</v>
      </c>
      <c r="J288" s="159">
        <v>204.75315560291767</v>
      </c>
      <c r="K288" s="160">
        <v>2.21</v>
      </c>
      <c r="L288" s="159">
        <v>184.36897128263547</v>
      </c>
      <c r="M288" s="160">
        <v>0.9186616936446983</v>
      </c>
      <c r="N288" s="160">
        <v>0.9186616936446983</v>
      </c>
      <c r="O288" s="160">
        <v>0.9186616936446983</v>
      </c>
      <c r="P288" s="160">
        <v>0.9186616936446983</v>
      </c>
      <c r="Q288" s="162">
        <v>1.0</v>
      </c>
    </row>
    <row r="289">
      <c r="A289" s="54">
        <v>45367.95969657408</v>
      </c>
      <c r="B289" s="158">
        <v>1.08933</v>
      </c>
      <c r="C289" s="159">
        <v>183.85337776431385</v>
      </c>
      <c r="D289" s="160">
        <v>1.0476314754196139</v>
      </c>
      <c r="E289" s="160">
        <v>2.22</v>
      </c>
      <c r="F289" s="160">
        <v>1.2567556641477513</v>
      </c>
      <c r="G289" s="159">
        <v>59876.42863044257</v>
      </c>
      <c r="H289" s="159">
        <v>162.93685109195562</v>
      </c>
      <c r="I289" s="160">
        <v>1.156674286029027</v>
      </c>
      <c r="J289" s="159">
        <v>183.85337776431385</v>
      </c>
      <c r="K289" s="160">
        <v>2.22</v>
      </c>
      <c r="L289" s="159">
        <v>162.93685109195562</v>
      </c>
      <c r="M289" s="160">
        <v>0.9179954651024025</v>
      </c>
      <c r="N289" s="160">
        <v>0.9179954651024025</v>
      </c>
      <c r="O289" s="160">
        <v>0.9179954651024025</v>
      </c>
      <c r="P289" s="160">
        <v>0.9179954651024025</v>
      </c>
      <c r="Q289" s="162">
        <v>1.0</v>
      </c>
    </row>
    <row r="290">
      <c r="A290" s="54">
        <v>45366.95971256944</v>
      </c>
      <c r="B290" s="158">
        <v>1.0884800000000001</v>
      </c>
      <c r="C290" s="159">
        <v>187.21703660149933</v>
      </c>
      <c r="D290" s="160">
        <v>1.0498940221190016</v>
      </c>
      <c r="E290" s="160">
        <v>2.22</v>
      </c>
      <c r="F290" s="160">
        <v>1.3224077957062323</v>
      </c>
      <c r="G290" s="159">
        <v>63836.70531383213</v>
      </c>
      <c r="H290" s="159">
        <v>167.81291342054973</v>
      </c>
      <c r="I290" s="160">
        <v>1.0813244156989563</v>
      </c>
      <c r="J290" s="159">
        <v>187.21703660149933</v>
      </c>
      <c r="K290" s="160">
        <v>2.22</v>
      </c>
      <c r="L290" s="159">
        <v>167.81291342054973</v>
      </c>
      <c r="M290" s="160">
        <v>0.9187123327943554</v>
      </c>
      <c r="N290" s="160">
        <v>0.9187123327943554</v>
      </c>
      <c r="O290" s="160">
        <v>0.9187123327943554</v>
      </c>
      <c r="P290" s="160">
        <v>0.9187123327943554</v>
      </c>
      <c r="Q290" s="162">
        <v>1.0</v>
      </c>
    </row>
    <row r="291">
      <c r="A291" s="54">
        <v>45365.95975041667</v>
      </c>
      <c r="B291" s="158">
        <v>1.08853</v>
      </c>
      <c r="C291" s="159">
        <v>177.29690500032154</v>
      </c>
      <c r="D291" s="160">
        <v>1.0512960297353702</v>
      </c>
      <c r="E291" s="160">
        <v>2.2</v>
      </c>
      <c r="F291" s="160">
        <v>1.3530943183407806</v>
      </c>
      <c r="G291" s="159">
        <v>65748.91459123773</v>
      </c>
      <c r="H291" s="159">
        <v>158.68097342287305</v>
      </c>
      <c r="I291" s="160">
        <v>0.8470138627323087</v>
      </c>
      <c r="J291" s="159">
        <v>177.29690500032154</v>
      </c>
      <c r="K291" s="160">
        <v>2.2</v>
      </c>
      <c r="L291" s="159">
        <v>158.68097342287305</v>
      </c>
      <c r="M291" s="160">
        <v>0.9186701331153023</v>
      </c>
      <c r="N291" s="160">
        <v>0.9186701331153023</v>
      </c>
      <c r="O291" s="160">
        <v>0.9186701331153023</v>
      </c>
      <c r="P291" s="160">
        <v>0.9186701331153023</v>
      </c>
      <c r="Q291" s="162">
        <v>1.0</v>
      </c>
    </row>
    <row r="292">
      <c r="A292" s="54">
        <v>45364.95970479166</v>
      </c>
      <c r="B292" s="158">
        <v>1.09578</v>
      </c>
      <c r="C292" s="159">
        <v>166.05705524831626</v>
      </c>
      <c r="D292" s="160">
        <v>1.0542274127688873</v>
      </c>
      <c r="E292" s="160">
        <v>2.22</v>
      </c>
      <c r="F292" s="160">
        <v>1.428865543034131</v>
      </c>
      <c r="G292" s="159">
        <v>66642.71021555421</v>
      </c>
      <c r="H292" s="159">
        <v>149.04269105112343</v>
      </c>
      <c r="I292" s="160">
        <v>0.8450601398090858</v>
      </c>
      <c r="J292" s="159">
        <v>166.05705524831626</v>
      </c>
      <c r="K292" s="160">
        <v>2.22</v>
      </c>
      <c r="L292" s="159">
        <v>149.04269105112343</v>
      </c>
      <c r="M292" s="160">
        <v>0.9125919436383216</v>
      </c>
      <c r="N292" s="160">
        <v>0.9125919436383216</v>
      </c>
      <c r="O292" s="160">
        <v>0.9125919436383216</v>
      </c>
      <c r="P292" s="160">
        <v>0.9125919436383216</v>
      </c>
      <c r="Q292" s="162">
        <v>1.0</v>
      </c>
    </row>
    <row r="293">
      <c r="A293" s="54">
        <v>45363.95970003473</v>
      </c>
      <c r="B293" s="158">
        <v>1.09178</v>
      </c>
      <c r="C293" s="159">
        <v>150.8847936397443</v>
      </c>
      <c r="D293" s="160">
        <v>1.0513140487312709</v>
      </c>
      <c r="E293" s="160">
        <v>2.24</v>
      </c>
      <c r="F293" s="160">
        <v>1.3592823611834162</v>
      </c>
      <c r="G293" s="159">
        <v>65228.74022238912</v>
      </c>
      <c r="H293" s="159">
        <v>135.9486343402517</v>
      </c>
      <c r="I293" s="160">
        <v>0.741907710344575</v>
      </c>
      <c r="J293" s="159">
        <v>150.8847936397443</v>
      </c>
      <c r="K293" s="160">
        <v>2.24</v>
      </c>
      <c r="L293" s="159">
        <v>135.9486343402517</v>
      </c>
      <c r="M293" s="160">
        <v>0.9159354448698456</v>
      </c>
      <c r="N293" s="160">
        <v>0.9159354448698456</v>
      </c>
      <c r="O293" s="160">
        <v>0.9159354448698456</v>
      </c>
      <c r="P293" s="160">
        <v>0.9159354448698456</v>
      </c>
      <c r="Q293" s="162">
        <v>1.0</v>
      </c>
    </row>
    <row r="294">
      <c r="A294" s="54">
        <v>45362.95974736111</v>
      </c>
      <c r="B294" s="158">
        <v>1.09256</v>
      </c>
      <c r="C294" s="159">
        <v>150.68096946620778</v>
      </c>
      <c r="D294" s="160">
        <v>1.0510509373568586</v>
      </c>
      <c r="E294" s="160">
        <v>2.27</v>
      </c>
      <c r="F294" s="160">
        <v>1.34913748194782</v>
      </c>
      <c r="G294" s="159">
        <v>66416.1922457348</v>
      </c>
      <c r="H294" s="159">
        <v>135.0799956066486</v>
      </c>
      <c r="I294" s="160">
        <v>0.6946986893168339</v>
      </c>
      <c r="J294" s="159">
        <v>150.68096946620778</v>
      </c>
      <c r="K294" s="160">
        <v>2.27</v>
      </c>
      <c r="L294" s="159">
        <v>135.0799956066486</v>
      </c>
      <c r="M294" s="160">
        <v>0.9152815406018892</v>
      </c>
      <c r="N294" s="160">
        <v>0.9152815406018892</v>
      </c>
      <c r="O294" s="160">
        <v>0.9152815406018892</v>
      </c>
      <c r="P294" s="160">
        <v>0.9152815406018892</v>
      </c>
      <c r="Q294" s="162">
        <v>1.0</v>
      </c>
    </row>
    <row r="295">
      <c r="A295" s="54">
        <v>45361.959702430555</v>
      </c>
      <c r="B295" s="158">
        <v>1.0924200000000002</v>
      </c>
      <c r="C295" s="159">
        <v>144.90489006059937</v>
      </c>
      <c r="D295" s="160">
        <v>1.0472890169162552</v>
      </c>
      <c r="E295" s="160">
        <v>2.27</v>
      </c>
      <c r="F295" s="160">
        <v>1.2973108275872098</v>
      </c>
      <c r="G295" s="159">
        <v>63735.34171838669</v>
      </c>
      <c r="H295" s="159">
        <v>129.99487376650004</v>
      </c>
      <c r="I295" s="160">
        <v>0.5849398582962596</v>
      </c>
      <c r="J295" s="159">
        <v>144.90489006059937</v>
      </c>
      <c r="K295" s="160">
        <v>2.27</v>
      </c>
      <c r="L295" s="159">
        <v>129.99487376650004</v>
      </c>
      <c r="M295" s="160">
        <v>0.9153988392742717</v>
      </c>
      <c r="N295" s="160">
        <v>0.9153988392742717</v>
      </c>
      <c r="O295" s="160">
        <v>0.9153988392742717</v>
      </c>
      <c r="P295" s="160">
        <v>0.9153988392742717</v>
      </c>
      <c r="Q295" s="162">
        <v>1.0</v>
      </c>
    </row>
    <row r="296">
      <c r="A296" s="54">
        <v>45360.959720011575</v>
      </c>
      <c r="B296" s="158">
        <v>1.09403</v>
      </c>
      <c r="C296" s="159">
        <v>148.03707393764338</v>
      </c>
      <c r="D296" s="160">
        <v>1.0479049676540013</v>
      </c>
      <c r="E296" s="160">
        <v>2.29</v>
      </c>
      <c r="F296" s="160">
        <v>1.3138816786640677</v>
      </c>
      <c r="G296" s="159">
        <v>62669.380181530665</v>
      </c>
      <c r="H296" s="159">
        <v>132.73676224600786</v>
      </c>
      <c r="I296" s="160">
        <v>0.6699999085948283</v>
      </c>
      <c r="J296" s="159">
        <v>148.03707393764338</v>
      </c>
      <c r="K296" s="160">
        <v>2.29</v>
      </c>
      <c r="L296" s="159">
        <v>132.73676224600786</v>
      </c>
      <c r="M296" s="160">
        <v>0.9140517170461504</v>
      </c>
      <c r="N296" s="160">
        <v>0.9140517170461504</v>
      </c>
      <c r="O296" s="160">
        <v>0.9140517170461504</v>
      </c>
      <c r="P296" s="160">
        <v>0.9140517170461504</v>
      </c>
      <c r="Q296" s="162">
        <v>1.0</v>
      </c>
    </row>
    <row r="297">
      <c r="A297" s="54">
        <v>45359.95970622685</v>
      </c>
      <c r="B297" s="158">
        <v>1.09608</v>
      </c>
      <c r="C297" s="159">
        <v>146.93270564192397</v>
      </c>
      <c r="D297" s="160">
        <v>1.047764939784672</v>
      </c>
      <c r="E297" s="160">
        <v>2.27</v>
      </c>
      <c r="F297" s="160">
        <v>1.3139463680046986</v>
      </c>
      <c r="G297" s="159">
        <v>62534.16265236115</v>
      </c>
      <c r="H297" s="159">
        <v>131.85077731552443</v>
      </c>
      <c r="I297" s="160">
        <v>0.6568863586599518</v>
      </c>
      <c r="J297" s="159">
        <v>146.93270564192397</v>
      </c>
      <c r="K297" s="160">
        <v>2.27</v>
      </c>
      <c r="L297" s="159">
        <v>131.85077731552443</v>
      </c>
      <c r="M297" s="160">
        <v>0.9123421648054887</v>
      </c>
      <c r="N297" s="160">
        <v>0.9123421648054887</v>
      </c>
      <c r="O297" s="160">
        <v>0.9123421648054887</v>
      </c>
      <c r="P297" s="160">
        <v>0.9123421648054887</v>
      </c>
      <c r="Q297" s="162">
        <v>1.0</v>
      </c>
    </row>
    <row r="298">
      <c r="A298" s="54">
        <v>45358.959756157405</v>
      </c>
      <c r="B298" s="158">
        <v>1.0929200000000001</v>
      </c>
      <c r="C298" s="159">
        <v>147.7912381510083</v>
      </c>
      <c r="D298" s="160">
        <v>1.0477655011077447</v>
      </c>
      <c r="E298" s="160">
        <v>2.19</v>
      </c>
      <c r="F298" s="160">
        <v>1.3153454843992605</v>
      </c>
      <c r="G298" s="159">
        <v>61891.14024814258</v>
      </c>
      <c r="H298" s="159">
        <v>131.4039453939904</v>
      </c>
      <c r="I298" s="160">
        <v>0.6908099403433005</v>
      </c>
      <c r="J298" s="159">
        <v>147.7912381510083</v>
      </c>
      <c r="K298" s="160">
        <v>2.19</v>
      </c>
      <c r="L298" s="159">
        <v>131.4039453939904</v>
      </c>
      <c r="M298" s="160">
        <v>0.914980053434835</v>
      </c>
      <c r="N298" s="160">
        <v>0.914980053434835</v>
      </c>
      <c r="O298" s="160">
        <v>0.914980053434835</v>
      </c>
      <c r="P298" s="160">
        <v>0.914980053434835</v>
      </c>
      <c r="Q298" s="162">
        <v>1.0</v>
      </c>
    </row>
    <row r="299">
      <c r="A299" s="54">
        <v>45357.959692731485</v>
      </c>
      <c r="B299" s="158">
        <v>1.0886600000000002</v>
      </c>
      <c r="C299" s="159">
        <v>129.05039222530448</v>
      </c>
      <c r="D299" s="160">
        <v>1.0481621790794788</v>
      </c>
      <c r="E299" s="160">
        <v>2.17</v>
      </c>
      <c r="F299" s="160">
        <v>1.3200716197219056</v>
      </c>
      <c r="G299" s="159">
        <v>60866.48264839342</v>
      </c>
      <c r="H299" s="159">
        <v>115.8809913104183</v>
      </c>
      <c r="I299" s="160">
        <v>0.5171495232671356</v>
      </c>
      <c r="J299" s="159">
        <v>129.05039222530448</v>
      </c>
      <c r="K299" s="160">
        <v>2.17</v>
      </c>
      <c r="L299" s="159">
        <v>115.8809913104183</v>
      </c>
      <c r="M299" s="160">
        <v>0.918560432090827</v>
      </c>
      <c r="N299" s="160">
        <v>0.918560432090827</v>
      </c>
      <c r="O299" s="160">
        <v>0.918560432090827</v>
      </c>
      <c r="P299" s="160">
        <v>0.918560432090827</v>
      </c>
      <c r="Q299" s="162">
        <v>1.0</v>
      </c>
    </row>
    <row r="300">
      <c r="A300" s="54">
        <v>45356.95970025463</v>
      </c>
      <c r="B300" s="158">
        <v>1.0866300000000002</v>
      </c>
      <c r="C300" s="159">
        <v>124.95881762881567</v>
      </c>
      <c r="D300" s="160">
        <v>1.0444166699375974</v>
      </c>
      <c r="E300" s="160">
        <v>2.27</v>
      </c>
      <c r="F300" s="160">
        <v>1.2351449291225713</v>
      </c>
      <c r="G300" s="159">
        <v>58505.65785962102</v>
      </c>
      <c r="H300" s="159">
        <v>112.27280675114802</v>
      </c>
      <c r="I300" s="160">
        <v>0.5107534303304713</v>
      </c>
      <c r="J300" s="159">
        <v>124.95881762881567</v>
      </c>
      <c r="K300" s="160">
        <v>2.27</v>
      </c>
      <c r="L300" s="159">
        <v>112.27280675114802</v>
      </c>
      <c r="M300" s="160">
        <v>0.9202764510458941</v>
      </c>
      <c r="N300" s="160">
        <v>0.9202764510458941</v>
      </c>
      <c r="O300" s="160">
        <v>0.9202764510458941</v>
      </c>
      <c r="P300" s="160">
        <v>0.9202764510458941</v>
      </c>
      <c r="Q300" s="162">
        <v>1.0</v>
      </c>
    </row>
    <row r="301">
      <c r="A301" s="54">
        <v>45355.959706423615</v>
      </c>
      <c r="B301" s="158">
        <v>1.08534</v>
      </c>
      <c r="C301" s="159">
        <v>134.1469032745499</v>
      </c>
      <c r="D301" s="160">
        <v>1.0490961534147367</v>
      </c>
      <c r="E301" s="160">
        <v>2.2</v>
      </c>
      <c r="F301" s="160">
        <v>1.3636921526463044</v>
      </c>
      <c r="G301" s="159">
        <v>62678.67580665967</v>
      </c>
      <c r="H301" s="159">
        <v>120.47284721838318</v>
      </c>
      <c r="I301" s="160">
        <v>0.5491366760646433</v>
      </c>
      <c r="J301" s="159">
        <v>134.1469032745499</v>
      </c>
      <c r="K301" s="160">
        <v>2.2</v>
      </c>
      <c r="L301" s="159">
        <v>120.47284721838318</v>
      </c>
      <c r="M301" s="160">
        <v>0.9213702618534284</v>
      </c>
      <c r="N301" s="160">
        <v>0.9213702618534284</v>
      </c>
      <c r="O301" s="160">
        <v>0.9213702618534284</v>
      </c>
      <c r="P301" s="160">
        <v>0.9213702618534284</v>
      </c>
      <c r="Q301" s="162">
        <v>1.0</v>
      </c>
    </row>
    <row r="302">
      <c r="A302" s="54">
        <v>45354.95969021991</v>
      </c>
      <c r="B302" s="158">
        <v>1.08398</v>
      </c>
      <c r="C302" s="159">
        <v>134.5781287477629</v>
      </c>
      <c r="D302" s="160">
        <v>1.0464965322284272</v>
      </c>
      <c r="E302" s="160">
        <v>2.17</v>
      </c>
      <c r="F302" s="160">
        <v>1.2764264655532667</v>
      </c>
      <c r="G302" s="159">
        <v>58282.60669016034</v>
      </c>
      <c r="H302" s="159">
        <v>120.68765106367277</v>
      </c>
      <c r="I302" s="160">
        <v>0.5848816398826547</v>
      </c>
      <c r="J302" s="159">
        <v>134.5781287477629</v>
      </c>
      <c r="K302" s="160">
        <v>2.17</v>
      </c>
      <c r="L302" s="159">
        <v>120.68765106367277</v>
      </c>
      <c r="M302" s="160">
        <v>0.9225262458716951</v>
      </c>
      <c r="N302" s="160">
        <v>0.9225262458716951</v>
      </c>
      <c r="O302" s="160">
        <v>0.9225262458716951</v>
      </c>
      <c r="P302" s="160">
        <v>0.9225262458716951</v>
      </c>
      <c r="Q302" s="162">
        <v>1.0</v>
      </c>
    </row>
    <row r="303">
      <c r="A303" s="54">
        <v>45353.959955266204</v>
      </c>
      <c r="B303" s="158">
        <v>1.0840999999999998</v>
      </c>
      <c r="C303" s="159">
        <v>131.88082280232453</v>
      </c>
      <c r="D303" s="160">
        <v>1.04633333677489</v>
      </c>
      <c r="E303" s="160">
        <v>2.14</v>
      </c>
      <c r="F303" s="160">
        <v>1.2809781963458724</v>
      </c>
      <c r="G303" s="159">
        <v>57303.0338529656</v>
      </c>
      <c r="H303" s="159">
        <v>118.45955170187254</v>
      </c>
      <c r="I303" s="160">
        <v>0.5497647818466932</v>
      </c>
      <c r="J303" s="159">
        <v>131.88082280232453</v>
      </c>
      <c r="K303" s="160">
        <v>2.14</v>
      </c>
      <c r="L303" s="159">
        <v>118.45955170187254</v>
      </c>
      <c r="M303" s="160">
        <v>0.9224241306152571</v>
      </c>
      <c r="N303" s="160">
        <v>0.9224241306152571</v>
      </c>
      <c r="O303" s="160">
        <v>0.9224241306152571</v>
      </c>
      <c r="P303" s="160">
        <v>0.9224241306152571</v>
      </c>
      <c r="Q303" s="162">
        <v>1.0</v>
      </c>
    </row>
    <row r="304">
      <c r="A304" s="54">
        <v>45352.95970101852</v>
      </c>
      <c r="B304" s="158">
        <v>1.0836199999999998</v>
      </c>
      <c r="C304" s="159">
        <v>134.2795444897658</v>
      </c>
      <c r="D304" s="160">
        <v>1.0471843912765435</v>
      </c>
      <c r="E304" s="160">
        <v>2.15</v>
      </c>
      <c r="F304" s="160">
        <v>1.3059324555068477</v>
      </c>
      <c r="G304" s="159">
        <v>57835.369409940766</v>
      </c>
      <c r="H304" s="159">
        <v>120.57270999058713</v>
      </c>
      <c r="I304" s="160">
        <v>0.5656964618593234</v>
      </c>
      <c r="J304" s="159">
        <v>134.2795444897658</v>
      </c>
      <c r="K304" s="160">
        <v>2.15</v>
      </c>
      <c r="L304" s="159">
        <v>120.57270999058713</v>
      </c>
      <c r="M304" s="160">
        <v>0.9228327273398426</v>
      </c>
      <c r="N304" s="160">
        <v>0.9228327273398426</v>
      </c>
      <c r="O304" s="160">
        <v>0.9228327273398426</v>
      </c>
      <c r="P304" s="160">
        <v>0.9228327273398426</v>
      </c>
      <c r="Q304" s="162">
        <v>1.0</v>
      </c>
    </row>
    <row r="305">
      <c r="A305" s="54">
        <v>45351.95969280093</v>
      </c>
      <c r="B305" s="158">
        <v>1.08055</v>
      </c>
      <c r="C305" s="159">
        <v>127.10286428207858</v>
      </c>
      <c r="D305" s="160">
        <v>1.04530335860211</v>
      </c>
      <c r="E305" s="160">
        <v>2.1</v>
      </c>
      <c r="F305" s="160">
        <v>1.2711718717223452</v>
      </c>
      <c r="G305" s="159">
        <v>56633.90403035492</v>
      </c>
      <c r="H305" s="159">
        <v>114.41488131044376</v>
      </c>
      <c r="I305" s="160">
        <v>0.49974549997686374</v>
      </c>
      <c r="J305" s="159">
        <v>127.10286428207858</v>
      </c>
      <c r="K305" s="160">
        <v>2.1</v>
      </c>
      <c r="L305" s="159">
        <v>114.41488131044376</v>
      </c>
      <c r="M305" s="160">
        <v>0.9254546295867846</v>
      </c>
      <c r="N305" s="160">
        <v>0.9254546295867846</v>
      </c>
      <c r="O305" s="160">
        <v>0.9254546295867846</v>
      </c>
      <c r="P305" s="160">
        <v>0.9254546295867846</v>
      </c>
      <c r="Q305" s="162">
        <v>1.0</v>
      </c>
    </row>
    <row r="306">
      <c r="A306" s="54">
        <v>45350.9597046875</v>
      </c>
      <c r="B306" s="158">
        <v>1.08389</v>
      </c>
      <c r="C306" s="159">
        <v>118.97240494884167</v>
      </c>
      <c r="D306" s="160">
        <v>1.0432441265183685</v>
      </c>
      <c r="E306" s="160">
        <v>2.05</v>
      </c>
      <c r="F306" s="160">
        <v>1.2044330163429868</v>
      </c>
      <c r="G306" s="159">
        <v>56501.57027004585</v>
      </c>
      <c r="H306" s="159">
        <v>106.91490833940713</v>
      </c>
      <c r="I306" s="160">
        <v>0.46775964350625987</v>
      </c>
      <c r="J306" s="159">
        <v>118.97240494884167</v>
      </c>
      <c r="K306" s="160">
        <v>2.05</v>
      </c>
      <c r="L306" s="159">
        <v>106.91490833940713</v>
      </c>
      <c r="M306" s="160">
        <v>0.9226028471523863</v>
      </c>
      <c r="N306" s="160">
        <v>0.9226028471523863</v>
      </c>
      <c r="O306" s="160">
        <v>0.9226028471523863</v>
      </c>
      <c r="P306" s="160">
        <v>0.9226028471523863</v>
      </c>
      <c r="Q306" s="162">
        <v>1.0</v>
      </c>
    </row>
    <row r="307">
      <c r="A307" s="54">
        <v>45349.95969034723</v>
      </c>
      <c r="B307" s="158">
        <v>1.0844200000000002</v>
      </c>
      <c r="C307" s="159">
        <v>111.33601372162076</v>
      </c>
      <c r="D307" s="160">
        <v>1.0404416305459114</v>
      </c>
      <c r="E307" s="160">
        <v>2.1</v>
      </c>
      <c r="F307" s="160">
        <v>1.1263027310441986</v>
      </c>
      <c r="G307" s="159">
        <v>52589.817598347494</v>
      </c>
      <c r="H307" s="159">
        <v>100.06547278729643</v>
      </c>
      <c r="I307" s="160">
        <v>0.4647645746113129</v>
      </c>
      <c r="J307" s="159">
        <v>111.33601372162076</v>
      </c>
      <c r="K307" s="160">
        <v>2.1</v>
      </c>
      <c r="L307" s="159">
        <v>100.06547278729643</v>
      </c>
      <c r="M307" s="160">
        <v>0.922151933752605</v>
      </c>
      <c r="N307" s="160">
        <v>0.922151933752605</v>
      </c>
      <c r="O307" s="160">
        <v>0.922151933752605</v>
      </c>
      <c r="P307" s="160">
        <v>0.922151933752605</v>
      </c>
      <c r="Q307" s="162">
        <v>1.0</v>
      </c>
    </row>
    <row r="308">
      <c r="A308" s="54">
        <v>45348.959953784724</v>
      </c>
      <c r="B308" s="158">
        <v>1.0850799999999998</v>
      </c>
      <c r="C308" s="159">
        <v>112.4857153389612</v>
      </c>
      <c r="D308" s="160">
        <v>1.039896428821927</v>
      </c>
      <c r="E308" s="160">
        <v>2.03</v>
      </c>
      <c r="F308" s="160">
        <v>1.1206908277612437</v>
      </c>
      <c r="G308" s="159">
        <v>50355.21251889262</v>
      </c>
      <c r="H308" s="159">
        <v>101.16304788587018</v>
      </c>
      <c r="I308" s="160">
        <v>0.460795517381207</v>
      </c>
      <c r="J308" s="159">
        <v>112.4857153389612</v>
      </c>
      <c r="K308" s="160">
        <v>2.03</v>
      </c>
      <c r="L308" s="159">
        <v>101.16304788587018</v>
      </c>
      <c r="M308" s="160">
        <v>0.921591034762414</v>
      </c>
      <c r="N308" s="160">
        <v>0.921591034762414</v>
      </c>
      <c r="O308" s="160">
        <v>0.921591034762414</v>
      </c>
      <c r="P308" s="160">
        <v>0.921591034762414</v>
      </c>
      <c r="Q308" s="162">
        <v>1.0</v>
      </c>
    </row>
    <row r="309">
      <c r="A309" s="54">
        <v>45347.9597955787</v>
      </c>
      <c r="B309" s="158">
        <v>1.08252</v>
      </c>
      <c r="C309" s="159">
        <v>106.24468831984629</v>
      </c>
      <c r="D309" s="160">
        <v>1.0395561278538827</v>
      </c>
      <c r="E309" s="160">
        <v>2.03</v>
      </c>
      <c r="F309" s="160">
        <v>1.0673754298257492</v>
      </c>
      <c r="G309" s="159">
        <v>47919.122048553385</v>
      </c>
      <c r="H309" s="159">
        <v>95.65088866718398</v>
      </c>
      <c r="I309" s="160">
        <v>0.45819014891179843</v>
      </c>
      <c r="J309" s="159">
        <v>106.24468831984629</v>
      </c>
      <c r="K309" s="160">
        <v>2.03</v>
      </c>
      <c r="L309" s="159">
        <v>95.65088866718398</v>
      </c>
      <c r="M309" s="160">
        <v>0.9237704615157226</v>
      </c>
      <c r="N309" s="160">
        <v>0.9237704615157226</v>
      </c>
      <c r="O309" s="160">
        <v>0.9237704615157226</v>
      </c>
      <c r="P309" s="160">
        <v>0.9237704615157226</v>
      </c>
      <c r="Q309" s="162">
        <v>1.0</v>
      </c>
    </row>
    <row r="310">
      <c r="A310" s="54">
        <v>45346.959759502315</v>
      </c>
      <c r="B310" s="158">
        <v>1.0826</v>
      </c>
      <c r="C310" s="159">
        <v>106.85294661001294</v>
      </c>
      <c r="D310" s="160">
        <v>1.0389165387223807</v>
      </c>
      <c r="E310" s="160">
        <v>2.04</v>
      </c>
      <c r="F310" s="160">
        <v>1.0533212657283761</v>
      </c>
      <c r="G310" s="159">
        <v>47711.64418991317</v>
      </c>
      <c r="H310" s="159">
        <v>96.17217808978386</v>
      </c>
      <c r="I310" s="160">
        <v>0.4544614816183262</v>
      </c>
      <c r="J310" s="159">
        <v>106.85294661001294</v>
      </c>
      <c r="K310" s="160">
        <v>2.04</v>
      </c>
      <c r="L310" s="159">
        <v>96.17217808978386</v>
      </c>
      <c r="M310" s="160">
        <v>0.9237021984112322</v>
      </c>
      <c r="N310" s="160">
        <v>0.9237021984112322</v>
      </c>
      <c r="O310" s="160">
        <v>0.9237021984112322</v>
      </c>
      <c r="P310" s="160">
        <v>0.9237021984112322</v>
      </c>
      <c r="Q310" s="162">
        <v>1.0</v>
      </c>
    </row>
    <row r="311">
      <c r="A311" s="54">
        <v>45345.95976909722</v>
      </c>
      <c r="B311" s="158">
        <v>1.08195</v>
      </c>
      <c r="C311" s="159">
        <v>102.54540413142936</v>
      </c>
      <c r="D311" s="160">
        <v>1.038618064975893</v>
      </c>
      <c r="E311" s="160">
        <v>2.03</v>
      </c>
      <c r="F311" s="160">
        <v>1.046447987344406</v>
      </c>
      <c r="G311" s="159">
        <v>46960.944590785155</v>
      </c>
      <c r="H311" s="159">
        <v>92.2824529784186</v>
      </c>
      <c r="I311" s="160">
        <v>0.44271916447155596</v>
      </c>
      <c r="J311" s="159">
        <v>102.54540413142936</v>
      </c>
      <c r="K311" s="160">
        <v>2.03</v>
      </c>
      <c r="L311" s="159">
        <v>92.2824529784186</v>
      </c>
      <c r="M311" s="160">
        <v>0.9242571283331023</v>
      </c>
      <c r="N311" s="160">
        <v>0.9242571283331023</v>
      </c>
      <c r="O311" s="160">
        <v>0.9242571283331023</v>
      </c>
      <c r="P311" s="160">
        <v>0.9242571283331023</v>
      </c>
      <c r="Q311" s="162">
        <v>1.0</v>
      </c>
    </row>
    <row r="312">
      <c r="A312" s="54">
        <v>45344.95995923611</v>
      </c>
      <c r="B312" s="158">
        <v>1.08216</v>
      </c>
      <c r="C312" s="159">
        <v>105.69971168773564</v>
      </c>
      <c r="D312" s="160">
        <v>1.0394109946695318</v>
      </c>
      <c r="E312" s="160">
        <v>2.04</v>
      </c>
      <c r="F312" s="160">
        <v>1.0695082223949137</v>
      </c>
      <c r="G312" s="159">
        <v>47697.044799290314</v>
      </c>
      <c r="H312" s="159">
        <v>95.11255267243291</v>
      </c>
      <c r="I312" s="160">
        <v>0.4389369409329489</v>
      </c>
      <c r="J312" s="159">
        <v>105.69971168773564</v>
      </c>
      <c r="K312" s="160">
        <v>2.04</v>
      </c>
      <c r="L312" s="159">
        <v>95.11255267243291</v>
      </c>
      <c r="M312" s="160">
        <v>0.9240777703851556</v>
      </c>
      <c r="N312" s="160">
        <v>0.9240777703851556</v>
      </c>
      <c r="O312" s="160">
        <v>0.9240777703851556</v>
      </c>
      <c r="P312" s="160">
        <v>0.9240777703851556</v>
      </c>
      <c r="Q312" s="162">
        <v>1.0</v>
      </c>
    </row>
    <row r="313">
      <c r="A313" s="54">
        <v>45343.959699687504</v>
      </c>
      <c r="B313" s="158">
        <v>1.08138</v>
      </c>
      <c r="C313" s="159">
        <v>107.47470824317077</v>
      </c>
      <c r="D313" s="160">
        <v>1.038239696336972</v>
      </c>
      <c r="E313" s="160">
        <v>2.02</v>
      </c>
      <c r="F313" s="160">
        <v>1.0376281061858181</v>
      </c>
      <c r="G313" s="159">
        <v>47610.05104588581</v>
      </c>
      <c r="H313" s="159">
        <v>96.73102887051729</v>
      </c>
      <c r="I313" s="160">
        <v>0.4374040577780243</v>
      </c>
      <c r="J313" s="159">
        <v>107.47470824317077</v>
      </c>
      <c r="K313" s="160">
        <v>2.02</v>
      </c>
      <c r="L313" s="159">
        <v>96.73102887051729</v>
      </c>
      <c r="M313" s="160">
        <v>0.9247443081987831</v>
      </c>
      <c r="N313" s="160">
        <v>0.9247443081987831</v>
      </c>
      <c r="O313" s="160">
        <v>0.9247443081987831</v>
      </c>
      <c r="P313" s="160">
        <v>0.9247443081987831</v>
      </c>
      <c r="Q313" s="162">
        <v>1.0</v>
      </c>
    </row>
    <row r="314">
      <c r="A314" s="54">
        <v>45342.95994688658</v>
      </c>
      <c r="B314" s="158">
        <v>1.0809300000000002</v>
      </c>
      <c r="C314" s="159">
        <v>111.86293284486504</v>
      </c>
      <c r="D314" s="160">
        <v>1.0381516221715246</v>
      </c>
      <c r="E314" s="160">
        <v>2.0</v>
      </c>
      <c r="F314" s="160">
        <v>1.070051438764323</v>
      </c>
      <c r="G314" s="159">
        <v>48453.59273958535</v>
      </c>
      <c r="H314" s="159">
        <v>100.66886847436928</v>
      </c>
      <c r="I314" s="160">
        <v>0.46904054841664117</v>
      </c>
      <c r="J314" s="159">
        <v>111.86293284486504</v>
      </c>
      <c r="K314" s="160">
        <v>2.0</v>
      </c>
      <c r="L314" s="159">
        <v>100.66886847436928</v>
      </c>
      <c r="M314" s="160">
        <v>0.9251292868178327</v>
      </c>
      <c r="N314" s="160">
        <v>0.9251292868178327</v>
      </c>
      <c r="O314" s="160">
        <v>0.9251292868178327</v>
      </c>
      <c r="P314" s="160">
        <v>0.9251292868178327</v>
      </c>
      <c r="Q314" s="162">
        <v>1.0</v>
      </c>
    </row>
    <row r="315">
      <c r="A315" s="54">
        <v>45341.95968810185</v>
      </c>
      <c r="B315" s="158">
        <v>1.07819</v>
      </c>
      <c r="C315" s="159">
        <v>115.54086014524343</v>
      </c>
      <c r="D315" s="160">
        <v>1.0387967588034603</v>
      </c>
      <c r="E315" s="160">
        <v>1.97</v>
      </c>
      <c r="F315" s="160">
        <v>1.089751507509975</v>
      </c>
      <c r="G315" s="159">
        <v>48323.38085124143</v>
      </c>
      <c r="H315" s="159">
        <v>103.95848598113506</v>
      </c>
      <c r="I315" s="160">
        <v>0.4915645665420752</v>
      </c>
      <c r="J315" s="159">
        <v>115.54086014524343</v>
      </c>
      <c r="K315" s="160">
        <v>1.97</v>
      </c>
      <c r="L315" s="159">
        <v>103.95848598113506</v>
      </c>
      <c r="M315" s="160">
        <v>0.9274803142303305</v>
      </c>
      <c r="N315" s="160">
        <v>0.9274803142303305</v>
      </c>
      <c r="O315" s="160">
        <v>0.9274803142303305</v>
      </c>
      <c r="P315" s="160">
        <v>0.9274803142303305</v>
      </c>
      <c r="Q315" s="162">
        <v>1.0</v>
      </c>
    </row>
    <row r="316">
      <c r="A316" s="54">
        <v>45340.95972532408</v>
      </c>
      <c r="B316" s="158">
        <v>1.07734</v>
      </c>
      <c r="C316" s="159">
        <v>116.20658288005644</v>
      </c>
      <c r="D316" s="160">
        <v>1.036098346154756</v>
      </c>
      <c r="E316" s="160">
        <v>1.96</v>
      </c>
      <c r="F316" s="160">
        <v>1.0847553173410251</v>
      </c>
      <c r="G316" s="159">
        <v>48546.65658009542</v>
      </c>
      <c r="H316" s="159">
        <v>104.64291681363359</v>
      </c>
      <c r="I316" s="160">
        <v>0.5003063099857056</v>
      </c>
      <c r="J316" s="159">
        <v>116.20658288005644</v>
      </c>
      <c r="K316" s="160">
        <v>1.96</v>
      </c>
      <c r="L316" s="159">
        <v>104.64291681363359</v>
      </c>
      <c r="M316" s="160">
        <v>0.9282120778955576</v>
      </c>
      <c r="N316" s="160">
        <v>0.9282120778955576</v>
      </c>
      <c r="O316" s="160">
        <v>0.9282120778955576</v>
      </c>
      <c r="P316" s="160">
        <v>0.9282120778955576</v>
      </c>
      <c r="Q316" s="162">
        <v>1.0</v>
      </c>
    </row>
    <row r="317">
      <c r="A317" s="54">
        <v>45339.959691689815</v>
      </c>
      <c r="B317" s="158">
        <v>1.07763</v>
      </c>
      <c r="C317" s="159">
        <v>112.59616009205385</v>
      </c>
      <c r="D317" s="160">
        <v>1.036098346154756</v>
      </c>
      <c r="E317" s="160">
        <v>1.96</v>
      </c>
      <c r="F317" s="160">
        <v>1.012655945225903</v>
      </c>
      <c r="G317" s="159">
        <v>48124.33395506806</v>
      </c>
      <c r="H317" s="159">
        <v>101.3743121479543</v>
      </c>
      <c r="I317" s="160">
        <v>0.46862095524437886</v>
      </c>
      <c r="J317" s="159">
        <v>112.59616009205385</v>
      </c>
      <c r="K317" s="160">
        <v>1.96</v>
      </c>
      <c r="L317" s="159">
        <v>101.3743121479543</v>
      </c>
      <c r="M317" s="160">
        <v>0.9279622876126313</v>
      </c>
      <c r="N317" s="160">
        <v>0.9279622876126313</v>
      </c>
      <c r="O317" s="160">
        <v>0.9279622876126313</v>
      </c>
      <c r="P317" s="160">
        <v>0.9279622876126313</v>
      </c>
      <c r="Q317" s="162">
        <v>1.0</v>
      </c>
    </row>
    <row r="318">
      <c r="A318" s="54">
        <v>45338.95970489584</v>
      </c>
      <c r="B318" s="158">
        <v>1.07755</v>
      </c>
      <c r="C318" s="159">
        <v>113.11493666187184</v>
      </c>
      <c r="D318" s="160">
        <v>1.0352843591494154</v>
      </c>
      <c r="E318" s="160">
        <v>1.96</v>
      </c>
      <c r="F318" s="160">
        <v>0.9963291458048072</v>
      </c>
      <c r="G318" s="159">
        <v>48340.49649668229</v>
      </c>
      <c r="H318" s="159">
        <v>101.49691429632036</v>
      </c>
      <c r="I318" s="160">
        <v>0.4742239339241799</v>
      </c>
      <c r="J318" s="159">
        <v>113.11493666187184</v>
      </c>
      <c r="K318" s="160">
        <v>1.96</v>
      </c>
      <c r="L318" s="159">
        <v>101.49691429632036</v>
      </c>
      <c r="M318" s="160">
        <v>0.92803118184771</v>
      </c>
      <c r="N318" s="160">
        <v>0.92803118184771</v>
      </c>
      <c r="O318" s="160">
        <v>0.92803118184771</v>
      </c>
      <c r="P318" s="160">
        <v>0.92803118184771</v>
      </c>
      <c r="Q318" s="162">
        <v>1.0</v>
      </c>
    </row>
    <row r="319">
      <c r="A319" s="54">
        <v>45337.95969488426</v>
      </c>
      <c r="B319" s="158">
        <v>1.07625</v>
      </c>
      <c r="C319" s="159">
        <v>110.9472706155633</v>
      </c>
      <c r="D319" s="160">
        <v>1.033875925805397</v>
      </c>
      <c r="E319" s="160">
        <v>1.95</v>
      </c>
      <c r="F319" s="160">
        <v>0.97522</v>
      </c>
      <c r="G319" s="159">
        <v>48081.81091753775</v>
      </c>
      <c r="H319" s="159">
        <v>104.15888501742161</v>
      </c>
      <c r="I319" s="160">
        <v>0.4552845528455285</v>
      </c>
      <c r="J319" s="159">
        <v>110.9472706155633</v>
      </c>
      <c r="K319" s="160">
        <v>1.95</v>
      </c>
      <c r="L319" s="159">
        <v>104.15888501742161</v>
      </c>
      <c r="M319" s="160">
        <v>0.9291521486643438</v>
      </c>
      <c r="N319" s="160">
        <v>0.9291521486643438</v>
      </c>
      <c r="O319" s="160">
        <v>0.9291521486643438</v>
      </c>
      <c r="P319" s="160">
        <v>0.9291521486643438</v>
      </c>
      <c r="Q319" s="162">
        <v>1.0</v>
      </c>
    </row>
    <row r="320">
      <c r="A320" s="54">
        <v>45336.959745949076</v>
      </c>
      <c r="B320" s="158">
        <v>1.07311</v>
      </c>
      <c r="C320" s="159">
        <v>121.2718174278499</v>
      </c>
      <c r="D320" s="160">
        <v>1.033875925805397</v>
      </c>
      <c r="E320" s="160">
        <v>1.95</v>
      </c>
      <c r="F320" s="160">
        <v>0.967412</v>
      </c>
      <c r="G320" s="159">
        <v>48477.124432723576</v>
      </c>
      <c r="H320" s="159">
        <v>109.25161446636412</v>
      </c>
      <c r="I320" s="160">
        <v>0.49761906980645043</v>
      </c>
      <c r="J320" s="159">
        <v>121.2718174278499</v>
      </c>
      <c r="K320" s="160">
        <v>1.95</v>
      </c>
      <c r="L320" s="159">
        <v>109.25161446636412</v>
      </c>
      <c r="M320" s="160">
        <v>0.9318709172405438</v>
      </c>
      <c r="N320" s="160">
        <v>0.9318709172405438</v>
      </c>
      <c r="O320" s="160">
        <v>0.9318709172405438</v>
      </c>
      <c r="P320" s="160">
        <v>0.9318709172405438</v>
      </c>
      <c r="Q320" s="162">
        <v>1.0</v>
      </c>
    </row>
    <row r="321">
      <c r="A321" s="54">
        <v>45335.95979487269</v>
      </c>
      <c r="B321" s="158">
        <v>1.0717</v>
      </c>
      <c r="C321" s="159">
        <v>116.1388448259774</v>
      </c>
      <c r="D321" s="160">
        <v>1.0327041355314668</v>
      </c>
      <c r="E321" s="160">
        <v>1.94</v>
      </c>
      <c r="F321" s="160">
        <v>0.936459</v>
      </c>
      <c r="G321" s="159">
        <v>46344.34076700569</v>
      </c>
      <c r="H321" s="159">
        <v>104.64309041709433</v>
      </c>
      <c r="I321" s="160">
        <v>0.44788653541102913</v>
      </c>
      <c r="J321" s="159">
        <v>116.1388448259774</v>
      </c>
      <c r="K321" s="160">
        <v>1.94</v>
      </c>
      <c r="L321" s="159">
        <v>104.64309041709433</v>
      </c>
      <c r="M321" s="160">
        <v>0.9330969487729774</v>
      </c>
      <c r="N321" s="160">
        <v>0.9330969487729774</v>
      </c>
      <c r="O321" s="160">
        <v>0.9330969487729774</v>
      </c>
      <c r="P321" s="160">
        <v>0.9330969487729774</v>
      </c>
      <c r="Q321" s="162">
        <v>1.0</v>
      </c>
    </row>
    <row r="322">
      <c r="A322" s="54">
        <v>45334.959954942125</v>
      </c>
      <c r="B322" s="158">
        <v>1.07784</v>
      </c>
      <c r="C322" s="159">
        <v>114.8843984264826</v>
      </c>
      <c r="D322" s="160">
        <v>1.032483874972492</v>
      </c>
      <c r="E322" s="160">
        <v>1.93</v>
      </c>
      <c r="F322" s="160">
        <v>0.930152</v>
      </c>
      <c r="G322" s="159">
        <v>46635.54330883991</v>
      </c>
      <c r="H322" s="159">
        <v>103.54690863207898</v>
      </c>
      <c r="I322" s="160">
        <v>0.4713129963630966</v>
      </c>
      <c r="J322" s="159">
        <v>114.8843984264826</v>
      </c>
      <c r="K322" s="160">
        <v>1.93</v>
      </c>
      <c r="L322" s="159">
        <v>103.54690863207898</v>
      </c>
      <c r="M322" s="160">
        <v>0.9277814889037335</v>
      </c>
      <c r="N322" s="160">
        <v>0.9277814889037335</v>
      </c>
      <c r="O322" s="160">
        <v>0.9277814889037335</v>
      </c>
      <c r="P322" s="160">
        <v>0.9277814889037335</v>
      </c>
      <c r="Q322" s="162">
        <v>1.0</v>
      </c>
    </row>
    <row r="323">
      <c r="A323" s="54">
        <v>45333.95971710648</v>
      </c>
      <c r="B323" s="158">
        <v>1.07799</v>
      </c>
      <c r="C323" s="159">
        <v>110.70139797215187</v>
      </c>
      <c r="D323" s="160">
        <v>1.0306549127762075</v>
      </c>
      <c r="E323" s="160">
        <v>1.93</v>
      </c>
      <c r="F323" s="160">
        <v>0.879779</v>
      </c>
      <c r="G323" s="159">
        <v>44714.11237581054</v>
      </c>
      <c r="H323" s="159">
        <v>99.75695507379476</v>
      </c>
      <c r="I323" s="160">
        <v>0.472175066559059</v>
      </c>
      <c r="J323" s="159">
        <v>110.70139797215187</v>
      </c>
      <c r="K323" s="160">
        <v>1.93</v>
      </c>
      <c r="L323" s="159">
        <v>99.75695507379476</v>
      </c>
      <c r="M323" s="160">
        <v>0.9276523900963831</v>
      </c>
      <c r="N323" s="160">
        <v>0.9276523900963831</v>
      </c>
      <c r="O323" s="160">
        <v>0.9276523900963831</v>
      </c>
      <c r="P323" s="160">
        <v>0.9276523900963831</v>
      </c>
      <c r="Q323" s="162">
        <v>1.0</v>
      </c>
    </row>
    <row r="324">
      <c r="A324" s="54">
        <v>45332.95948277778</v>
      </c>
      <c r="B324" s="158">
        <v>1.0783</v>
      </c>
      <c r="C324" s="159">
        <v>112.50115923212464</v>
      </c>
      <c r="D324" s="160">
        <v>1.030417486586611</v>
      </c>
      <c r="E324" s="160">
        <v>1.92</v>
      </c>
      <c r="F324" s="160">
        <v>0.872965</v>
      </c>
      <c r="G324" s="159">
        <v>44385.05146990633</v>
      </c>
      <c r="H324" s="159">
        <v>101.44115737735324</v>
      </c>
      <c r="I324" s="160">
        <v>0.46740239265510525</v>
      </c>
      <c r="J324" s="159">
        <v>112.50115923212464</v>
      </c>
      <c r="K324" s="160">
        <v>1.92</v>
      </c>
      <c r="L324" s="159">
        <v>101.44115737735324</v>
      </c>
      <c r="M324" s="160">
        <v>0.9273856997125104</v>
      </c>
      <c r="N324" s="160">
        <v>0.9273856997125104</v>
      </c>
      <c r="O324" s="160">
        <v>0.9273856997125104</v>
      </c>
      <c r="P324" s="160">
        <v>0.9273856997125104</v>
      </c>
      <c r="Q324" s="162">
        <v>1.0</v>
      </c>
    </row>
    <row r="325">
      <c r="A325" s="54">
        <v>45331.95971361111</v>
      </c>
      <c r="B325" s="158">
        <v>1.07813</v>
      </c>
      <c r="C325" s="154">
        <v>110.98290558652481</v>
      </c>
      <c r="D325" s="155">
        <v>1.019476478890707</v>
      </c>
      <c r="E325" s="160">
        <v>1.91</v>
      </c>
      <c r="F325" s="155">
        <v>0.874917</v>
      </c>
      <c r="G325" s="154">
        <v>43942.61545453702</v>
      </c>
      <c r="H325" s="154">
        <v>100.08255034179551</v>
      </c>
      <c r="I325" s="155">
        <v>0.47767894409765055</v>
      </c>
      <c r="J325" s="154">
        <v>110.98290558652481</v>
      </c>
      <c r="K325" s="160">
        <v>1.91</v>
      </c>
      <c r="L325" s="154">
        <v>100.08255034179551</v>
      </c>
      <c r="M325" s="160">
        <v>0.9275319302867001</v>
      </c>
      <c r="N325" s="160">
        <v>0.9275319302867001</v>
      </c>
      <c r="O325" s="160">
        <v>0.9275319302867001</v>
      </c>
      <c r="P325" s="160">
        <v>0.9275319302867001</v>
      </c>
      <c r="Q325" s="162">
        <v>1.0</v>
      </c>
    </row>
    <row r="326">
      <c r="A326" s="54">
        <v>45330.95972827546</v>
      </c>
      <c r="B326" s="158">
        <v>1.07779</v>
      </c>
      <c r="C326" s="154">
        <v>105.63931749227586</v>
      </c>
      <c r="D326" s="155">
        <v>1.018833446851342</v>
      </c>
      <c r="E326" s="160">
        <v>1.88</v>
      </c>
      <c r="F326" s="155">
        <v>0.862773</v>
      </c>
      <c r="G326" s="154">
        <v>42042.936007942175</v>
      </c>
      <c r="H326" s="154">
        <v>95.26438359977361</v>
      </c>
      <c r="I326" s="155">
        <v>0.4824687555089581</v>
      </c>
      <c r="J326" s="154">
        <v>105.63931749227586</v>
      </c>
      <c r="K326" s="160">
        <v>1.88</v>
      </c>
      <c r="L326" s="154">
        <v>95.26438359977361</v>
      </c>
      <c r="M326" s="160">
        <v>0.9278245298249195</v>
      </c>
      <c r="N326" s="160">
        <v>0.9278245298249195</v>
      </c>
      <c r="O326" s="160">
        <v>0.9278245298249195</v>
      </c>
      <c r="P326" s="160">
        <v>0.9278245298249195</v>
      </c>
      <c r="Q326" s="162">
        <v>1.0</v>
      </c>
    </row>
    <row r="327">
      <c r="A327" s="54">
        <v>45329.95971340278</v>
      </c>
      <c r="B327" s="158">
        <v>1.07648</v>
      </c>
      <c r="C327" s="154">
        <v>103.86258917954814</v>
      </c>
      <c r="D327" s="155">
        <v>1.0354890723126222</v>
      </c>
      <c r="E327" s="160">
        <v>1.86</v>
      </c>
      <c r="F327" s="155">
        <v>0.845804</v>
      </c>
      <c r="G327" s="154">
        <v>41116.51400862069</v>
      </c>
      <c r="H327" s="154">
        <v>93.72677615933411</v>
      </c>
      <c r="I327" s="155">
        <v>0.5155692627824019</v>
      </c>
      <c r="J327" s="154">
        <v>103.86258917954814</v>
      </c>
      <c r="K327" s="160">
        <v>1.86</v>
      </c>
      <c r="L327" s="154">
        <v>93.72677615933411</v>
      </c>
      <c r="M327" s="160">
        <v>0.9289536266349583</v>
      </c>
      <c r="N327" s="160">
        <v>0.9289536266349583</v>
      </c>
      <c r="O327" s="160">
        <v>0.9289536266349583</v>
      </c>
      <c r="P327" s="160">
        <v>0.9289536266349583</v>
      </c>
      <c r="Q327" s="162">
        <v>1.0</v>
      </c>
    </row>
    <row r="328">
      <c r="A328" s="54">
        <v>45328.9597259838</v>
      </c>
      <c r="B328" s="158">
        <v>1.07497</v>
      </c>
      <c r="C328" s="154">
        <v>100.47908313720383</v>
      </c>
      <c r="D328" s="155">
        <v>1.0182827657384876</v>
      </c>
      <c r="E328" s="160">
        <v>1.85</v>
      </c>
      <c r="F328" s="155">
        <v>0.821246</v>
      </c>
      <c r="G328" s="154">
        <v>40272.326669581475</v>
      </c>
      <c r="H328" s="154">
        <v>90.66764653897319</v>
      </c>
      <c r="I328" s="155">
        <v>0.4958277905429919</v>
      </c>
      <c r="J328" s="154">
        <v>100.47908313720383</v>
      </c>
      <c r="K328" s="160">
        <v>1.85</v>
      </c>
      <c r="L328" s="154">
        <v>90.66764653897319</v>
      </c>
      <c r="M328" s="160">
        <v>0.9302585188423863</v>
      </c>
      <c r="N328" s="160">
        <v>0.9302585188423863</v>
      </c>
      <c r="O328" s="160">
        <v>0.9302585188423863</v>
      </c>
      <c r="P328" s="160">
        <v>0.9302585188423863</v>
      </c>
      <c r="Q328" s="162">
        <v>1.0</v>
      </c>
    </row>
    <row r="329">
      <c r="A329" s="54">
        <v>45327.95971106482</v>
      </c>
      <c r="B329" s="158">
        <v>1.07322</v>
      </c>
      <c r="C329" s="154">
        <v>97.67149326326381</v>
      </c>
      <c r="D329" s="155">
        <v>1.017881109887887</v>
      </c>
      <c r="E329" s="160">
        <v>1.91</v>
      </c>
      <c r="F329" s="155">
        <v>0.802418</v>
      </c>
      <c r="G329" s="154">
        <v>39601.98934048937</v>
      </c>
      <c r="H329" s="154">
        <v>88.15340750265555</v>
      </c>
      <c r="I329" s="155">
        <v>0.4929091891690427</v>
      </c>
      <c r="J329" s="154">
        <v>97.67149326326381</v>
      </c>
      <c r="K329" s="160">
        <v>1.91</v>
      </c>
      <c r="L329" s="154">
        <v>88.15340750265555</v>
      </c>
      <c r="M329" s="160">
        <v>0.9317754048564133</v>
      </c>
      <c r="N329" s="160">
        <v>0.9317754048564133</v>
      </c>
      <c r="O329" s="160">
        <v>0.9317754048564133</v>
      </c>
      <c r="P329" s="160">
        <v>0.9317754048564133</v>
      </c>
      <c r="Q329" s="162">
        <v>1.0</v>
      </c>
    </row>
    <row r="330">
      <c r="A330" s="54">
        <v>45326.95972099537</v>
      </c>
      <c r="B330" s="158">
        <v>1.0833499999999998</v>
      </c>
      <c r="C330" s="154">
        <v>97.81418747403887</v>
      </c>
      <c r="D330" s="155">
        <v>1.017734046707274</v>
      </c>
      <c r="E330" s="160">
        <v>1.84</v>
      </c>
      <c r="F330" s="155">
        <v>0.806178</v>
      </c>
      <c r="G330" s="154">
        <v>39363.855632990264</v>
      </c>
      <c r="H330" s="154">
        <v>88.26694973923479</v>
      </c>
      <c r="I330" s="155">
        <v>0.4883001799972309</v>
      </c>
      <c r="J330" s="154">
        <v>97.81418747403887</v>
      </c>
      <c r="K330" s="160">
        <v>1.84</v>
      </c>
      <c r="L330" s="154">
        <v>88.26694973923479</v>
      </c>
      <c r="M330" s="160">
        <v>0.9230627221119677</v>
      </c>
      <c r="N330" s="160">
        <v>0.9230627221119677</v>
      </c>
      <c r="O330" s="160">
        <v>0.9230627221119677</v>
      </c>
      <c r="P330" s="160">
        <v>0.9230627221119677</v>
      </c>
      <c r="Q330" s="162">
        <v>1.0</v>
      </c>
    </row>
    <row r="331">
      <c r="A331" s="54">
        <v>45325.9597110301</v>
      </c>
      <c r="B331" s="158">
        <v>1.08008</v>
      </c>
      <c r="C331" s="154">
        <v>100.44163395304052</v>
      </c>
      <c r="D331" s="155">
        <v>1.017888749495221</v>
      </c>
      <c r="E331" s="160">
        <v>1.84</v>
      </c>
      <c r="F331" s="155">
        <v>0.814407</v>
      </c>
      <c r="G331" s="154">
        <v>39925.197207614256</v>
      </c>
      <c r="H331" s="154">
        <v>90.66180282942004</v>
      </c>
      <c r="I331" s="155">
        <v>0.5305162580549588</v>
      </c>
      <c r="J331" s="154">
        <v>100.44163395304052</v>
      </c>
      <c r="K331" s="160">
        <v>1.84</v>
      </c>
      <c r="L331" s="154">
        <v>90.66180282942004</v>
      </c>
      <c r="M331" s="160">
        <v>0.9258573439004519</v>
      </c>
      <c r="N331" s="160">
        <v>0.9258573439004519</v>
      </c>
      <c r="O331" s="160">
        <v>0.9258573439004519</v>
      </c>
      <c r="P331" s="160">
        <v>0.9258573439004519</v>
      </c>
      <c r="Q331" s="162">
        <v>1.0</v>
      </c>
    </row>
    <row r="332">
      <c r="A332" s="54">
        <v>45324.95971225694</v>
      </c>
      <c r="B332" s="158">
        <v>1.07903</v>
      </c>
      <c r="C332" s="154">
        <v>102.8219789996571</v>
      </c>
      <c r="D332" s="155">
        <v>1.017881786746293</v>
      </c>
      <c r="E332" s="160">
        <v>1.85</v>
      </c>
      <c r="F332" s="155">
        <v>0.818021</v>
      </c>
      <c r="G332" s="154">
        <v>40043.99877667906</v>
      </c>
      <c r="H332" s="154">
        <v>92.87693576638277</v>
      </c>
      <c r="I332" s="155">
        <v>0.5718098662687785</v>
      </c>
      <c r="J332" s="154">
        <v>102.8219789996571</v>
      </c>
      <c r="K332" s="160">
        <v>1.85</v>
      </c>
      <c r="L332" s="154">
        <v>92.87693576638277</v>
      </c>
      <c r="M332" s="160">
        <v>0.9267582921698192</v>
      </c>
      <c r="N332" s="160">
        <v>0.9267582921698192</v>
      </c>
      <c r="O332" s="160">
        <v>0.9267582921698192</v>
      </c>
      <c r="P332" s="160">
        <v>0.9267582921698192</v>
      </c>
      <c r="Q332" s="162">
        <v>1.0</v>
      </c>
    </row>
    <row r="333">
      <c r="A333" s="54">
        <v>45323.959730856484</v>
      </c>
      <c r="B333" s="158">
        <v>1.0850199999999999</v>
      </c>
      <c r="C333" s="154">
        <v>98.37975336860153</v>
      </c>
      <c r="D333" s="155">
        <v>1.0156314207388744</v>
      </c>
      <c r="E333" s="160">
        <v>1.81</v>
      </c>
      <c r="F333" s="155">
        <v>0.818912</v>
      </c>
      <c r="G333" s="154">
        <v>39582.46207443181</v>
      </c>
      <c r="H333" s="154">
        <v>89.43613942600138</v>
      </c>
      <c r="I333" s="155">
        <v>0.5437687784556967</v>
      </c>
      <c r="J333" s="154">
        <v>98.37975336860153</v>
      </c>
      <c r="K333" s="160">
        <v>1.81</v>
      </c>
      <c r="L333" s="154">
        <v>89.43613942600138</v>
      </c>
      <c r="M333" s="160">
        <v>0.9216419973825368</v>
      </c>
      <c r="N333" s="160">
        <v>0.9216419973825368</v>
      </c>
      <c r="O333" s="160">
        <v>0.9216419973825368</v>
      </c>
      <c r="P333" s="160">
        <v>0.9216419973825368</v>
      </c>
      <c r="Q333" s="162">
        <v>1.0</v>
      </c>
    </row>
    <row r="334">
      <c r="A334" s="54">
        <v>45322.95971767361</v>
      </c>
      <c r="B334" s="158">
        <v>1.0851300000000001</v>
      </c>
      <c r="C334" s="154">
        <v>87.83740197027083</v>
      </c>
      <c r="D334" s="155">
        <v>1.0566482904099035</v>
      </c>
      <c r="E334" s="160">
        <v>1.78</v>
      </c>
      <c r="F334" s="155">
        <v>0.808153</v>
      </c>
      <c r="G334" s="154">
        <v>39149.52770635775</v>
      </c>
      <c r="H334" s="154">
        <v>87.83740197027083</v>
      </c>
      <c r="I334" s="155">
        <v>0.610583063780376</v>
      </c>
      <c r="J334" s="154">
        <v>87.83740197027083</v>
      </c>
      <c r="K334" s="160">
        <v>1.78</v>
      </c>
      <c r="L334" s="154">
        <v>87.83740197027083</v>
      </c>
      <c r="M334" s="160">
        <v>0.9215485702173932</v>
      </c>
      <c r="N334" s="160">
        <v>0.9215485702173932</v>
      </c>
      <c r="O334" s="160">
        <v>0.9215485702173932</v>
      </c>
      <c r="P334" s="160">
        <v>0.9215485702173932</v>
      </c>
      <c r="Q334" s="162">
        <v>1.0</v>
      </c>
    </row>
    <row r="335">
      <c r="A335" s="54">
        <v>45321.959755185184</v>
      </c>
      <c r="B335" s="158">
        <v>1.08366</v>
      </c>
      <c r="C335" s="154">
        <v>95.36847350645036</v>
      </c>
      <c r="D335" s="155">
        <v>1.0158961299873563</v>
      </c>
      <c r="E335" s="160">
        <v>1.8</v>
      </c>
      <c r="F335" s="155">
        <v>0.829689</v>
      </c>
      <c r="G335" s="154">
        <v>40056.89330601849</v>
      </c>
      <c r="H335" s="154">
        <v>95.36847350645036</v>
      </c>
      <c r="I335" s="155">
        <v>0.0</v>
      </c>
      <c r="J335" s="154">
        <v>95.36847350645036</v>
      </c>
      <c r="K335" s="160">
        <v>1.8</v>
      </c>
      <c r="L335" s="154">
        <v>95.36847350645036</v>
      </c>
      <c r="M335" s="160">
        <v>0.9227986637875347</v>
      </c>
      <c r="N335" s="160">
        <v>0.9227986637875347</v>
      </c>
      <c r="O335" s="160">
        <v>0.9227986637875347</v>
      </c>
      <c r="P335" s="160">
        <v>0.9227986637875347</v>
      </c>
      <c r="Q335" s="162">
        <v>1.0</v>
      </c>
    </row>
    <row r="336">
      <c r="A336" s="54">
        <v>45320.95972640046</v>
      </c>
      <c r="B336" s="158">
        <v>1.08373</v>
      </c>
      <c r="C336" s="154">
        <v>92.8358539488618</v>
      </c>
      <c r="D336" s="155">
        <v>1.0158224037749393</v>
      </c>
      <c r="E336" s="160">
        <v>1.81</v>
      </c>
      <c r="F336" s="155">
        <v>0.815314</v>
      </c>
      <c r="G336" s="154">
        <v>39802.05770810072</v>
      </c>
      <c r="H336" s="154">
        <v>92.8358539488618</v>
      </c>
      <c r="I336" s="155">
        <v>0.0</v>
      </c>
      <c r="J336" s="154">
        <v>92.8358539488618</v>
      </c>
      <c r="K336" s="160">
        <v>1.81</v>
      </c>
      <c r="L336" s="154">
        <v>92.8358539488618</v>
      </c>
      <c r="M336" s="160">
        <v>0.9227390586216123</v>
      </c>
      <c r="N336" s="160">
        <v>0.9227390586216123</v>
      </c>
      <c r="O336" s="160">
        <v>0.9227390586216123</v>
      </c>
      <c r="P336" s="160">
        <v>0.9227390586216123</v>
      </c>
      <c r="Q336" s="162">
        <v>1.0</v>
      </c>
    </row>
    <row r="337">
      <c r="A337" s="54">
        <v>45319.95972118055</v>
      </c>
      <c r="B337" s="158">
        <v>1.08459</v>
      </c>
      <c r="C337" s="154">
        <v>87.33346241436857</v>
      </c>
      <c r="D337" s="155">
        <v>1.015501627687809</v>
      </c>
      <c r="E337" s="160">
        <v>1.83</v>
      </c>
      <c r="F337" s="155">
        <v>0.794718</v>
      </c>
      <c r="G337" s="154">
        <v>38559.48422906352</v>
      </c>
      <c r="H337" s="154">
        <v>87.33346241436857</v>
      </c>
      <c r="I337" s="155">
        <v>0.0</v>
      </c>
      <c r="J337" s="154">
        <v>87.33346241436857</v>
      </c>
      <c r="K337" s="160">
        <v>1.83</v>
      </c>
      <c r="L337" s="154">
        <v>87.33346241436857</v>
      </c>
      <c r="M337" s="160">
        <v>0.9220073944993039</v>
      </c>
      <c r="N337" s="160">
        <v>0.9220073944993039</v>
      </c>
      <c r="O337" s="160">
        <v>0.9220073944993039</v>
      </c>
      <c r="P337" s="160">
        <v>0.9220073944993039</v>
      </c>
      <c r="Q337" s="162">
        <v>1.0</v>
      </c>
    </row>
    <row r="338">
      <c r="A338" s="54">
        <v>45318.959708993054</v>
      </c>
      <c r="B338" s="158">
        <v>1.0858299999999999</v>
      </c>
      <c r="C338" s="154">
        <v>86.26120110882921</v>
      </c>
      <c r="D338" s="155">
        <v>1.0155979950520007</v>
      </c>
      <c r="E338" s="160">
        <v>1.77</v>
      </c>
      <c r="F338" s="155">
        <v>0.796849</v>
      </c>
      <c r="G338" s="154">
        <v>38790.09697650646</v>
      </c>
      <c r="H338" s="154">
        <v>86.26120110882921</v>
      </c>
      <c r="I338" s="155">
        <v>0.0</v>
      </c>
      <c r="J338" s="154">
        <v>86.26120110882921</v>
      </c>
      <c r="K338" s="160">
        <v>1.77</v>
      </c>
      <c r="L338" s="154">
        <v>86.26120110882921</v>
      </c>
      <c r="M338" s="160">
        <v>0.9209544772201911</v>
      </c>
      <c r="N338" s="160">
        <v>0.9209544772201911</v>
      </c>
      <c r="O338" s="160">
        <v>0.9209544772201911</v>
      </c>
      <c r="P338" s="160">
        <v>0.9209544772201911</v>
      </c>
      <c r="Q338" s="162">
        <v>1.0</v>
      </c>
    </row>
    <row r="339">
      <c r="A339" s="54">
        <v>45317.95974038195</v>
      </c>
      <c r="B339" s="158">
        <v>1.08584</v>
      </c>
      <c r="C339" s="154">
        <v>84.10170927576807</v>
      </c>
      <c r="D339" s="155">
        <v>1.0155632452284737</v>
      </c>
      <c r="E339" s="160">
        <v>1.76</v>
      </c>
      <c r="F339" s="155">
        <v>0.7851</v>
      </c>
      <c r="G339" s="154">
        <v>38296.794186988875</v>
      </c>
      <c r="H339" s="154">
        <v>84.10170927576807</v>
      </c>
      <c r="I339" s="155">
        <v>0.0</v>
      </c>
      <c r="J339" s="154">
        <v>84.10170927576807</v>
      </c>
      <c r="K339" s="160">
        <v>1.76</v>
      </c>
      <c r="L339" s="154">
        <v>84.10170927576807</v>
      </c>
      <c r="M339" s="160">
        <v>0.9209459957268107</v>
      </c>
      <c r="N339" s="160">
        <v>0.9209459957268107</v>
      </c>
      <c r="O339" s="160">
        <v>0.9209459957268107</v>
      </c>
      <c r="P339" s="160">
        <v>0.9209459957268107</v>
      </c>
      <c r="Q339" s="162">
        <v>1.0</v>
      </c>
    </row>
    <row r="340">
      <c r="A340" s="54">
        <v>45316.959713275464</v>
      </c>
      <c r="B340" s="158">
        <v>1.0836400000000002</v>
      </c>
      <c r="C340" s="154">
        <v>80.48429367686684</v>
      </c>
      <c r="D340" s="155">
        <v>1.0149954372081624</v>
      </c>
      <c r="E340" s="160">
        <v>1.76</v>
      </c>
      <c r="F340" s="155">
        <v>0.749347</v>
      </c>
      <c r="G340" s="154">
        <v>36865.292901701665</v>
      </c>
      <c r="H340" s="154">
        <v>80.48429367686684</v>
      </c>
      <c r="I340" s="155">
        <v>0.0</v>
      </c>
      <c r="J340" s="154">
        <v>80.48429367686684</v>
      </c>
      <c r="K340" s="160">
        <v>1.76</v>
      </c>
      <c r="L340" s="154">
        <v>80.48429367686684</v>
      </c>
      <c r="M340" s="160">
        <v>0.9228156952493447</v>
      </c>
      <c r="N340" s="160">
        <v>0.9228156952493447</v>
      </c>
      <c r="O340" s="160">
        <v>0.9228156952493447</v>
      </c>
      <c r="P340" s="160">
        <v>0.9228156952493447</v>
      </c>
      <c r="Q340" s="162">
        <v>1.0</v>
      </c>
    </row>
    <row r="341">
      <c r="A341" s="54">
        <v>45315.95971847222</v>
      </c>
      <c r="B341" s="158">
        <v>1.08877</v>
      </c>
      <c r="C341" s="154">
        <v>80.33101573335048</v>
      </c>
      <c r="D341" s="155">
        <v>1.0149094137987582</v>
      </c>
      <c r="E341" s="160">
        <v>1.62</v>
      </c>
      <c r="F341" s="155">
        <v>0.740619</v>
      </c>
      <c r="G341" s="154">
        <v>36711.83169999174</v>
      </c>
      <c r="H341" s="154">
        <v>80.33101573335048</v>
      </c>
      <c r="I341" s="155">
        <v>0.0</v>
      </c>
      <c r="J341" s="154">
        <v>80.33101573335048</v>
      </c>
      <c r="K341" s="160">
        <v>1.62</v>
      </c>
      <c r="L341" s="154">
        <v>80.33101573335048</v>
      </c>
      <c r="M341" s="160">
        <v>0.9184676286084297</v>
      </c>
      <c r="N341" s="160">
        <v>0.9184676286084297</v>
      </c>
      <c r="O341" s="160">
        <v>0.9184676286084297</v>
      </c>
      <c r="P341" s="160">
        <v>0.9184676286084297</v>
      </c>
      <c r="Q341" s="162">
        <v>1.0</v>
      </c>
    </row>
    <row r="342">
      <c r="A342" s="54">
        <v>45314.95970569445</v>
      </c>
      <c r="B342" s="158">
        <v>1.08449</v>
      </c>
      <c r="C342" s="154">
        <v>76.07262399837713</v>
      </c>
      <c r="D342" s="155">
        <v>1.0148777224652703</v>
      </c>
      <c r="E342" s="160">
        <v>1.7</v>
      </c>
      <c r="F342" s="155">
        <v>0.716362</v>
      </c>
      <c r="G342" s="154">
        <v>36439.85928869792</v>
      </c>
      <c r="H342" s="154">
        <v>76.07262399837713</v>
      </c>
      <c r="I342" s="155">
        <v>0.0</v>
      </c>
      <c r="J342" s="154">
        <v>76.07262399837713</v>
      </c>
      <c r="K342" s="160">
        <v>1.7</v>
      </c>
      <c r="L342" s="154">
        <v>76.07262399837713</v>
      </c>
      <c r="M342" s="160">
        <v>0.9220924121015408</v>
      </c>
      <c r="N342" s="160">
        <v>0.9220924121015408</v>
      </c>
      <c r="O342" s="160">
        <v>0.9220924121015408</v>
      </c>
      <c r="P342" s="160">
        <v>0.9220924121015408</v>
      </c>
      <c r="Q342" s="162">
        <v>1.0</v>
      </c>
    </row>
    <row r="343">
      <c r="A343" s="54">
        <v>45313.95975439815</v>
      </c>
      <c r="B343" s="158">
        <v>1.08855</v>
      </c>
      <c r="C343" s="154">
        <v>77.10899820862616</v>
      </c>
      <c r="D343" s="155">
        <v>1.0149619923773998</v>
      </c>
      <c r="E343" s="160">
        <v>1.72</v>
      </c>
      <c r="F343" s="155">
        <v>0.739877</v>
      </c>
      <c r="G343" s="154">
        <v>36638.99774929953</v>
      </c>
      <c r="H343" s="154">
        <v>77.10899820862616</v>
      </c>
      <c r="I343" s="155">
        <v>0.0</v>
      </c>
      <c r="J343" s="154">
        <v>77.10899820862616</v>
      </c>
      <c r="K343" s="160">
        <v>1.72</v>
      </c>
      <c r="L343" s="154">
        <v>77.10899820862616</v>
      </c>
      <c r="M343" s="160">
        <v>0.9186532543291536</v>
      </c>
      <c r="N343" s="160">
        <v>0.9186532543291536</v>
      </c>
      <c r="O343" s="160">
        <v>0.9186532543291536</v>
      </c>
      <c r="P343" s="160">
        <v>0.9186532543291536</v>
      </c>
      <c r="Q343" s="162">
        <v>1.0</v>
      </c>
    </row>
    <row r="344">
      <c r="A344" s="54">
        <v>45312.959703506946</v>
      </c>
      <c r="B344" s="158">
        <v>1.0893199999999998</v>
      </c>
      <c r="C344" s="154">
        <v>83.94135791135756</v>
      </c>
      <c r="D344" s="155">
        <v>1.0154215786833334</v>
      </c>
      <c r="E344" s="160">
        <v>1.72</v>
      </c>
      <c r="F344" s="155">
        <v>0.784934</v>
      </c>
      <c r="G344" s="154">
        <v>38180.95876326516</v>
      </c>
      <c r="H344" s="154">
        <v>83.94135791135756</v>
      </c>
      <c r="I344" s="155">
        <v>0.0</v>
      </c>
      <c r="J344" s="154">
        <v>83.94135791135756</v>
      </c>
      <c r="K344" s="160">
        <v>1.72</v>
      </c>
      <c r="L344" s="154">
        <v>83.94135791135756</v>
      </c>
      <c r="M344" s="160">
        <v>0.9180038923365036</v>
      </c>
      <c r="N344" s="160">
        <v>0.9180038923365036</v>
      </c>
      <c r="O344" s="160">
        <v>0.9180038923365036</v>
      </c>
      <c r="P344" s="160">
        <v>0.9180038923365036</v>
      </c>
      <c r="Q344" s="162">
        <v>1.0</v>
      </c>
    </row>
    <row r="345">
      <c r="A345" s="54">
        <v>45311.959704375</v>
      </c>
      <c r="B345" s="158">
        <v>1.0906600000000002</v>
      </c>
      <c r="C345" s="154">
        <v>85.28689050666569</v>
      </c>
      <c r="D345" s="155">
        <v>1.016044223026773</v>
      </c>
      <c r="E345" s="160">
        <v>1.71</v>
      </c>
      <c r="F345" s="155">
        <v>0.787302</v>
      </c>
      <c r="G345" s="154">
        <v>38275.09306291602</v>
      </c>
      <c r="H345" s="154">
        <v>85.28689050666569</v>
      </c>
      <c r="I345" s="155">
        <v>0.0</v>
      </c>
      <c r="J345" s="154">
        <v>85.28689050666569</v>
      </c>
      <c r="K345" s="160">
        <v>1.71</v>
      </c>
      <c r="L345" s="154">
        <v>85.28689050666569</v>
      </c>
      <c r="M345" s="160">
        <v>0.9168760200245721</v>
      </c>
      <c r="N345" s="160">
        <v>0.9168760200245721</v>
      </c>
      <c r="O345" s="160">
        <v>0.9168760200245721</v>
      </c>
      <c r="P345" s="160">
        <v>0.9168760200245721</v>
      </c>
      <c r="Q345" s="162">
        <v>1.0</v>
      </c>
    </row>
    <row r="346">
      <c r="A346" s="54">
        <v>45310.95970283565</v>
      </c>
      <c r="B346" s="158">
        <v>1.0888900000000001</v>
      </c>
      <c r="C346" s="154">
        <v>85.76440228122216</v>
      </c>
      <c r="D346" s="155">
        <v>1.0153977138851695</v>
      </c>
      <c r="E346" s="160">
        <v>1.71</v>
      </c>
      <c r="F346" s="155">
        <v>0.793864</v>
      </c>
      <c r="G346" s="154">
        <v>38250.44494852556</v>
      </c>
      <c r="H346" s="154">
        <v>85.76440228122216</v>
      </c>
      <c r="I346" s="155">
        <v>0.0</v>
      </c>
      <c r="J346" s="154">
        <v>85.76440228122216</v>
      </c>
      <c r="K346" s="160">
        <v>1.71</v>
      </c>
      <c r="L346" s="154">
        <v>85.76440228122216</v>
      </c>
      <c r="M346" s="160">
        <v>0.9183664098301939</v>
      </c>
      <c r="N346" s="160">
        <v>0.9183664098301939</v>
      </c>
      <c r="O346" s="160">
        <v>0.9183664098301939</v>
      </c>
      <c r="P346" s="160">
        <v>0.9183664098301939</v>
      </c>
      <c r="Q346" s="162">
        <v>1.0</v>
      </c>
    </row>
    <row r="347">
      <c r="A347" s="54">
        <v>45309.959727928246</v>
      </c>
      <c r="B347" s="158">
        <v>1.08678</v>
      </c>
      <c r="C347" s="154">
        <v>87.00380941864958</v>
      </c>
      <c r="D347" s="155">
        <v>1.0152340124217953</v>
      </c>
      <c r="E347" s="160">
        <v>1.73</v>
      </c>
      <c r="F347" s="155">
        <v>0.776389</v>
      </c>
      <c r="G347" s="154">
        <v>38026.78923057104</v>
      </c>
      <c r="H347" s="154">
        <v>87.00380941864958</v>
      </c>
      <c r="I347" s="155">
        <v>0.0</v>
      </c>
      <c r="J347" s="154">
        <v>87.00380941864958</v>
      </c>
      <c r="K347" s="160">
        <v>1.73</v>
      </c>
      <c r="L347" s="154">
        <v>87.00380941864958</v>
      </c>
      <c r="M347" s="160">
        <v>0.9201494322678002</v>
      </c>
      <c r="N347" s="160">
        <v>0.9201494322678002</v>
      </c>
      <c r="O347" s="160">
        <v>0.9201494322678002</v>
      </c>
      <c r="P347" s="160">
        <v>0.9201494322678002</v>
      </c>
      <c r="Q347" s="162">
        <v>1.0</v>
      </c>
    </row>
    <row r="348">
      <c r="A348" s="54">
        <v>45308.95971361111</v>
      </c>
      <c r="B348" s="158">
        <v>1.08723</v>
      </c>
      <c r="C348" s="154">
        <v>92.83040387038622</v>
      </c>
      <c r="D348" s="155">
        <v>1.0155594862963464</v>
      </c>
      <c r="E348" s="160">
        <v>1.71</v>
      </c>
      <c r="F348" s="155">
        <v>0.810235</v>
      </c>
      <c r="G348" s="154">
        <v>39161.58586499637</v>
      </c>
      <c r="H348" s="154">
        <v>92.83040387038622</v>
      </c>
      <c r="I348" s="155">
        <v>0.0</v>
      </c>
      <c r="J348" s="154">
        <v>92.83040387038622</v>
      </c>
      <c r="K348" s="160">
        <v>1.71</v>
      </c>
      <c r="L348" s="154">
        <v>92.83040387038622</v>
      </c>
      <c r="M348" s="160">
        <v>0.9197685862237062</v>
      </c>
      <c r="N348" s="160">
        <v>0.9197685862237062</v>
      </c>
      <c r="O348" s="160">
        <v>0.9197685862237062</v>
      </c>
      <c r="P348" s="160">
        <v>0.9197685862237062</v>
      </c>
      <c r="Q348" s="162">
        <v>1.0</v>
      </c>
    </row>
    <row r="349">
      <c r="A349" s="54">
        <v>45307.95983096065</v>
      </c>
      <c r="B349" s="158">
        <v>1.08706</v>
      </c>
      <c r="C349" s="154">
        <v>90.23880926535794</v>
      </c>
      <c r="D349" s="155">
        <v>1.0159056513075928</v>
      </c>
      <c r="E349" s="160">
        <v>1.7</v>
      </c>
      <c r="F349" s="155">
        <v>0.828967</v>
      </c>
      <c r="G349" s="154">
        <v>39853.06790793517</v>
      </c>
      <c r="H349" s="154">
        <v>90.23880926535794</v>
      </c>
      <c r="I349" s="155">
        <v>0.0</v>
      </c>
      <c r="J349" s="154">
        <v>90.23880926535794</v>
      </c>
      <c r="K349" s="160">
        <v>1.7</v>
      </c>
      <c r="L349" s="154">
        <v>90.23880926535794</v>
      </c>
      <c r="M349" s="160">
        <v>0.9199124243372032</v>
      </c>
      <c r="N349" s="160">
        <v>0.9199124243372032</v>
      </c>
      <c r="O349" s="160">
        <v>0.9199124243372032</v>
      </c>
      <c r="P349" s="160">
        <v>0.9199124243372032</v>
      </c>
      <c r="Q349" s="162">
        <v>1.0</v>
      </c>
    </row>
    <row r="350">
      <c r="A350" s="54">
        <v>45306.95971469907</v>
      </c>
      <c r="B350" s="158">
        <v>1.09523</v>
      </c>
      <c r="C350" s="154">
        <v>85.86780858815044</v>
      </c>
      <c r="D350" s="155">
        <v>1.0157000478410618</v>
      </c>
      <c r="E350" s="160">
        <v>1.67</v>
      </c>
      <c r="F350" s="155">
        <v>0.812687</v>
      </c>
      <c r="G350" s="154">
        <v>38999.90686887686</v>
      </c>
      <c r="H350" s="154">
        <v>85.86780858815044</v>
      </c>
      <c r="I350" s="155">
        <v>0.0</v>
      </c>
      <c r="J350" s="154">
        <v>85.86780858815044</v>
      </c>
      <c r="K350" s="160">
        <v>1.67</v>
      </c>
      <c r="L350" s="154">
        <v>85.86780858815044</v>
      </c>
      <c r="M350" s="160">
        <v>0.9130502268929814</v>
      </c>
      <c r="N350" s="160">
        <v>0.9130502268929814</v>
      </c>
      <c r="O350" s="160">
        <v>0.9130502268929814</v>
      </c>
      <c r="P350" s="160">
        <v>0.9130502268929814</v>
      </c>
      <c r="Q350" s="162">
        <v>1.0</v>
      </c>
    </row>
    <row r="351">
      <c r="A351" s="54">
        <v>45305.95972368056</v>
      </c>
      <c r="B351" s="158">
        <v>1.09525</v>
      </c>
      <c r="C351" s="154">
        <v>88.17165030814881</v>
      </c>
      <c r="D351" s="155">
        <v>1.0155079393818238</v>
      </c>
      <c r="E351" s="160">
        <v>1.68</v>
      </c>
      <c r="F351" s="155">
        <v>0.81542</v>
      </c>
      <c r="G351" s="154">
        <v>38596.11504222779</v>
      </c>
      <c r="H351" s="154">
        <v>88.17165030814881</v>
      </c>
      <c r="I351" s="155">
        <v>0.0</v>
      </c>
      <c r="J351" s="154">
        <v>88.17165030814881</v>
      </c>
      <c r="K351" s="160">
        <v>1.68</v>
      </c>
      <c r="L351" s="154">
        <v>88.17165030814881</v>
      </c>
      <c r="M351" s="160">
        <v>0.9130335539831088</v>
      </c>
      <c r="N351" s="160">
        <v>0.9130335539831088</v>
      </c>
      <c r="O351" s="160">
        <v>0.9130335539831088</v>
      </c>
      <c r="P351" s="160">
        <v>0.9130335539831088</v>
      </c>
      <c r="Q351" s="162">
        <v>1.0</v>
      </c>
    </row>
    <row r="352">
      <c r="A352" s="54">
        <v>45304.9597134375</v>
      </c>
      <c r="B352" s="158">
        <v>1.0957000000000001</v>
      </c>
      <c r="C352" s="154">
        <v>87.75029661403667</v>
      </c>
      <c r="D352" s="155">
        <v>1.0157244779046095</v>
      </c>
      <c r="E352" s="160">
        <v>1.67</v>
      </c>
      <c r="F352" s="155">
        <v>0.817476</v>
      </c>
      <c r="G352" s="154">
        <v>39233.03915305284</v>
      </c>
      <c r="H352" s="154">
        <v>87.75029661403667</v>
      </c>
      <c r="I352" s="155">
        <v>0.0</v>
      </c>
      <c r="J352" s="154">
        <v>87.75029661403667</v>
      </c>
      <c r="K352" s="160">
        <v>1.67</v>
      </c>
      <c r="L352" s="154">
        <v>87.75029661403667</v>
      </c>
      <c r="M352" s="160">
        <v>0.9126585744273067</v>
      </c>
      <c r="N352" s="160">
        <v>0.9126585744273067</v>
      </c>
      <c r="O352" s="160">
        <v>0.9126585744273067</v>
      </c>
      <c r="P352" s="160">
        <v>0.9126585744273067</v>
      </c>
      <c r="Q352" s="162">
        <v>1.0</v>
      </c>
    </row>
    <row r="353">
      <c r="A353" s="54">
        <v>45303.959716736106</v>
      </c>
      <c r="B353" s="158">
        <v>1.09589</v>
      </c>
      <c r="C353" s="154">
        <v>82.00184325069121</v>
      </c>
      <c r="D353" s="155">
        <v>1.0157232868665877</v>
      </c>
      <c r="E353" s="160">
        <v>1.67</v>
      </c>
      <c r="F353" s="155">
        <v>0.80567</v>
      </c>
      <c r="G353" s="154">
        <v>38864.53202419951</v>
      </c>
      <c r="H353" s="154">
        <v>82.00184325069121</v>
      </c>
      <c r="I353" s="155">
        <v>0.0</v>
      </c>
      <c r="J353" s="154">
        <v>82.00184325069121</v>
      </c>
      <c r="K353" s="160">
        <v>1.67</v>
      </c>
      <c r="L353" s="154">
        <v>82.00184325069121</v>
      </c>
      <c r="M353" s="160">
        <v>0.9125003421876283</v>
      </c>
      <c r="N353" s="160">
        <v>0.9125003421876283</v>
      </c>
      <c r="O353" s="160">
        <v>0.9125003421876283</v>
      </c>
      <c r="P353" s="160">
        <v>0.9125003421876283</v>
      </c>
      <c r="Q353" s="162">
        <v>1.0</v>
      </c>
    </row>
    <row r="354">
      <c r="A354" s="54">
        <v>45302.95971314815</v>
      </c>
      <c r="B354" s="158">
        <v>1.09569</v>
      </c>
      <c r="C354" s="154">
        <v>91.50672179174767</v>
      </c>
      <c r="D354" s="155">
        <v>1.0167975884097717</v>
      </c>
      <c r="E354" s="160">
        <v>1.7</v>
      </c>
      <c r="F354" s="155">
        <v>0.875334</v>
      </c>
      <c r="G354" s="154">
        <v>42387.914464857764</v>
      </c>
      <c r="H354" s="154">
        <v>91.50672179174767</v>
      </c>
      <c r="I354" s="155">
        <v>0.0</v>
      </c>
      <c r="J354" s="154">
        <v>91.50672179174767</v>
      </c>
      <c r="K354" s="160">
        <v>1.7</v>
      </c>
      <c r="L354" s="154">
        <v>91.50672179174767</v>
      </c>
      <c r="M354" s="160">
        <v>0.9126669039600617</v>
      </c>
      <c r="N354" s="160">
        <v>0.9126669039600617</v>
      </c>
      <c r="O354" s="160">
        <v>0.9126669039600617</v>
      </c>
      <c r="P354" s="160">
        <v>0.9126669039600617</v>
      </c>
      <c r="Q354" s="162">
        <v>1.0</v>
      </c>
    </row>
    <row r="355">
      <c r="A355" s="54">
        <v>45301.959742453706</v>
      </c>
      <c r="B355" s="158">
        <v>1.09672</v>
      </c>
      <c r="C355" s="154">
        <v>94.14618134072508</v>
      </c>
      <c r="D355" s="155">
        <v>1.0168364304421347</v>
      </c>
      <c r="E355" s="160">
        <v>1.68</v>
      </c>
      <c r="F355" s="155">
        <v>0.877998</v>
      </c>
      <c r="G355" s="154">
        <v>42736.74228608943</v>
      </c>
      <c r="H355" s="154">
        <v>94.14618134072508</v>
      </c>
      <c r="I355" s="155">
        <v>0.0</v>
      </c>
      <c r="J355" s="154">
        <v>94.14618134072508</v>
      </c>
      <c r="K355" s="160">
        <v>1.68</v>
      </c>
      <c r="L355" s="154">
        <v>94.14618134072508</v>
      </c>
      <c r="M355" s="160">
        <v>0.9118097600116712</v>
      </c>
      <c r="N355" s="160">
        <v>0.9118097600116712</v>
      </c>
      <c r="O355" s="160">
        <v>0.9118097600116712</v>
      </c>
      <c r="P355" s="160">
        <v>0.9118097600116712</v>
      </c>
      <c r="Q355" s="162">
        <v>1.0</v>
      </c>
    </row>
    <row r="356">
      <c r="A356" s="54">
        <v>45300.95972922454</v>
      </c>
      <c r="B356" s="158">
        <v>1.09253</v>
      </c>
      <c r="C356" s="154">
        <v>90.88446083860397</v>
      </c>
      <c r="D356" s="155">
        <v>1.0167300273535054</v>
      </c>
      <c r="E356" s="160">
        <v>1.65</v>
      </c>
      <c r="F356" s="155">
        <v>0.863415</v>
      </c>
      <c r="G356" s="154">
        <v>42257.14534154668</v>
      </c>
      <c r="H356" s="154">
        <v>90.88446083860397</v>
      </c>
      <c r="I356" s="155">
        <v>0.0</v>
      </c>
      <c r="J356" s="154">
        <v>90.88446083860397</v>
      </c>
      <c r="K356" s="160">
        <v>1.65</v>
      </c>
      <c r="L356" s="154">
        <v>90.88446083860397</v>
      </c>
      <c r="M356" s="160">
        <v>0.9153066735009565</v>
      </c>
      <c r="N356" s="160">
        <v>0.9153066735009565</v>
      </c>
      <c r="O356" s="160">
        <v>0.9153066735009565</v>
      </c>
      <c r="P356" s="160">
        <v>0.9153066735009565</v>
      </c>
      <c r="Q356" s="162">
        <v>1.0</v>
      </c>
    </row>
    <row r="357">
      <c r="A357" s="54">
        <v>45299.95970773148</v>
      </c>
      <c r="B357" s="158">
        <v>1.09518</v>
      </c>
      <c r="C357" s="154">
        <v>89.52500958746508</v>
      </c>
      <c r="D357" s="155">
        <v>1.017098221472105</v>
      </c>
      <c r="E357" s="160">
        <v>1.65</v>
      </c>
      <c r="F357" s="155">
        <v>0.881568</v>
      </c>
      <c r="G357" s="154">
        <v>43056.56239157033</v>
      </c>
      <c r="H357" s="154">
        <v>89.52500958746508</v>
      </c>
      <c r="I357" s="155">
        <v>0.0</v>
      </c>
      <c r="J357" s="154">
        <v>89.52500958746508</v>
      </c>
      <c r="K357" s="160">
        <v>1.65</v>
      </c>
      <c r="L357" s="154">
        <v>89.52500958746508</v>
      </c>
      <c r="M357" s="160">
        <v>0.9130919118318449</v>
      </c>
      <c r="N357" s="160">
        <v>0.9130919118318449</v>
      </c>
      <c r="O357" s="160">
        <v>0.9130919118318449</v>
      </c>
      <c r="P357" s="160">
        <v>0.9130919118318449</v>
      </c>
      <c r="Q357" s="162">
        <v>1.0</v>
      </c>
    </row>
    <row r="358">
      <c r="A358" s="54">
        <v>45298.959734641205</v>
      </c>
      <c r="B358" s="158">
        <v>1.09467</v>
      </c>
      <c r="C358" s="154">
        <v>81.2263056446235</v>
      </c>
      <c r="D358" s="155">
        <v>1.0162365089407763</v>
      </c>
      <c r="E358" s="160">
        <v>1.65</v>
      </c>
      <c r="F358" s="155">
        <v>0.820571</v>
      </c>
      <c r="G358" s="154">
        <v>40073.75556103666</v>
      </c>
      <c r="H358" s="154">
        <v>81.2263056446235</v>
      </c>
      <c r="I358" s="155">
        <v>0.0</v>
      </c>
      <c r="J358" s="154">
        <v>81.2263056446235</v>
      </c>
      <c r="K358" s="160">
        <v>1.65</v>
      </c>
      <c r="L358" s="154">
        <v>81.2263056446235</v>
      </c>
      <c r="M358" s="160">
        <v>0.9135173157207195</v>
      </c>
      <c r="N358" s="160">
        <v>0.9135173157207195</v>
      </c>
      <c r="O358" s="160">
        <v>0.9135173157207195</v>
      </c>
      <c r="P358" s="160">
        <v>0.9135173157207195</v>
      </c>
      <c r="Q358" s="162">
        <v>1.0</v>
      </c>
    </row>
    <row r="359">
      <c r="A359" s="54">
        <v>45297.95970831018</v>
      </c>
      <c r="B359" s="158">
        <v>1.09462</v>
      </c>
      <c r="C359" s="154">
        <v>85.35199429939158</v>
      </c>
      <c r="D359" s="155">
        <v>1.0161298412840336</v>
      </c>
      <c r="E359" s="160">
        <v>1.63</v>
      </c>
      <c r="F359" s="155">
        <v>0.820391</v>
      </c>
      <c r="G359" s="154">
        <v>40249.32487986699</v>
      </c>
      <c r="H359" s="154">
        <v>85.35199429939158</v>
      </c>
      <c r="I359" s="155">
        <v>0.0</v>
      </c>
      <c r="J359" s="154">
        <v>85.35199429939158</v>
      </c>
      <c r="K359" s="160">
        <v>1.63</v>
      </c>
      <c r="L359" s="154">
        <v>85.35199429939158</v>
      </c>
      <c r="M359" s="160">
        <v>0.9135590433209699</v>
      </c>
      <c r="N359" s="160">
        <v>0.9135590433209699</v>
      </c>
      <c r="O359" s="160">
        <v>0.9135590433209699</v>
      </c>
      <c r="P359" s="160">
        <v>0.9135590433209699</v>
      </c>
      <c r="Q359" s="162">
        <v>1.0</v>
      </c>
    </row>
    <row r="360">
      <c r="A360" s="54">
        <v>45296.95995010417</v>
      </c>
      <c r="B360" s="158">
        <v>1.0939100000000002</v>
      </c>
      <c r="C360" s="154">
        <v>90.75975171632034</v>
      </c>
      <c r="D360" s="155">
        <v>1.0159536964766893</v>
      </c>
      <c r="E360" s="160">
        <v>1.64</v>
      </c>
      <c r="F360" s="155">
        <v>0.839971</v>
      </c>
      <c r="G360" s="154">
        <v>40274.38363302282</v>
      </c>
      <c r="H360" s="154">
        <v>90.75975171632034</v>
      </c>
      <c r="I360" s="155">
        <v>0.0</v>
      </c>
      <c r="J360" s="154">
        <v>90.75975171632034</v>
      </c>
      <c r="K360" s="160">
        <v>1.64</v>
      </c>
      <c r="L360" s="154">
        <v>90.75975171632034</v>
      </c>
      <c r="M360" s="160">
        <v>0.9141519869093434</v>
      </c>
      <c r="N360" s="160">
        <v>0.9141519869093434</v>
      </c>
      <c r="O360" s="160">
        <v>0.9141519869093434</v>
      </c>
      <c r="P360" s="160">
        <v>0.9141519869093434</v>
      </c>
      <c r="Q360" s="162">
        <v>1.0</v>
      </c>
    </row>
    <row r="361">
      <c r="A361" s="54">
        <v>45295.95971927083</v>
      </c>
      <c r="B361" s="158">
        <v>1.09496</v>
      </c>
      <c r="C361" s="154">
        <v>95.87382187477168</v>
      </c>
      <c r="D361" s="155">
        <v>1.0160270107599534</v>
      </c>
      <c r="E361" s="160">
        <v>1.63</v>
      </c>
      <c r="F361" s="155">
        <v>0.861527</v>
      </c>
      <c r="G361" s="154">
        <v>40612.398626433845</v>
      </c>
      <c r="H361" s="154">
        <v>95.87382187477168</v>
      </c>
      <c r="I361" s="155">
        <v>0.0</v>
      </c>
      <c r="J361" s="154">
        <v>95.87382187477168</v>
      </c>
      <c r="K361" s="160">
        <v>1.63</v>
      </c>
      <c r="L361" s="154">
        <v>95.87382187477168</v>
      </c>
      <c r="M361" s="160">
        <v>0.9132753707898006</v>
      </c>
      <c r="N361" s="160">
        <v>0.9132753707898006</v>
      </c>
      <c r="O361" s="160">
        <v>0.9132753707898006</v>
      </c>
      <c r="P361" s="160">
        <v>0.9132753707898006</v>
      </c>
      <c r="Q361" s="162">
        <v>1.0</v>
      </c>
    </row>
    <row r="362">
      <c r="A362" s="54">
        <v>45294.95973326389</v>
      </c>
      <c r="B362" s="158">
        <v>1.09217</v>
      </c>
      <c r="C362" s="154">
        <v>90.4328080793283</v>
      </c>
      <c r="D362" s="155">
        <v>1.0156063869204484</v>
      </c>
      <c r="E362" s="160">
        <v>1.65</v>
      </c>
      <c r="F362" s="155">
        <v>0.805145</v>
      </c>
      <c r="G362" s="154">
        <v>39363.73641466072</v>
      </c>
      <c r="H362" s="154">
        <v>90.4328080793283</v>
      </c>
      <c r="I362" s="155">
        <v>0.0</v>
      </c>
      <c r="J362" s="154">
        <v>90.4328080793283</v>
      </c>
      <c r="K362" s="160">
        <v>1.65</v>
      </c>
      <c r="L362" s="154">
        <v>90.4328080793283</v>
      </c>
      <c r="M362" s="160">
        <v>0.9156083759854234</v>
      </c>
      <c r="N362" s="160">
        <v>0.9156083759854234</v>
      </c>
      <c r="O362" s="160">
        <v>0.9156083759854234</v>
      </c>
      <c r="P362" s="160">
        <v>0.9156083759854234</v>
      </c>
      <c r="Q362" s="162">
        <v>1.0</v>
      </c>
    </row>
    <row r="363">
      <c r="A363" s="54">
        <v>45293.95970259259</v>
      </c>
      <c r="B363" s="158">
        <v>1.0949</v>
      </c>
      <c r="C363" s="154">
        <v>98.7003379304046</v>
      </c>
      <c r="D363" s="155">
        <v>1.0160558767978367</v>
      </c>
      <c r="E363" s="160">
        <v>1.65</v>
      </c>
      <c r="F363" s="155">
        <v>0.820632</v>
      </c>
      <c r="G363" s="154">
        <v>41209.46661795598</v>
      </c>
      <c r="H363" s="154">
        <v>98.7003379304046</v>
      </c>
      <c r="I363" s="155">
        <v>0.0</v>
      </c>
      <c r="J363" s="154">
        <v>98.7003379304046</v>
      </c>
      <c r="K363" s="160">
        <v>1.65</v>
      </c>
      <c r="L363" s="154">
        <v>98.7003379304046</v>
      </c>
      <c r="M363" s="160">
        <v>0.9133254178463787</v>
      </c>
      <c r="N363" s="160">
        <v>0.9133254178463787</v>
      </c>
      <c r="O363" s="160">
        <v>0.9133254178463787</v>
      </c>
      <c r="P363" s="160">
        <v>0.9133254178463787</v>
      </c>
      <c r="Q363" s="162">
        <v>1.0</v>
      </c>
    </row>
    <row r="364">
      <c r="A364" s="54">
        <v>45292.95969052083</v>
      </c>
      <c r="B364" s="158">
        <v>1.1044100000000001</v>
      </c>
      <c r="C364" s="154">
        <v>97.82689399770011</v>
      </c>
      <c r="D364" s="155">
        <v>1.0154248223896143</v>
      </c>
      <c r="E364" s="160">
        <v>1.6</v>
      </c>
      <c r="F364" s="155">
        <v>0.790644</v>
      </c>
      <c r="G364" s="154">
        <v>39420.13654349381</v>
      </c>
      <c r="H364" s="154">
        <v>97.82689399770011</v>
      </c>
      <c r="I364" s="155">
        <v>0.0</v>
      </c>
      <c r="J364" s="154">
        <v>97.82689399770011</v>
      </c>
      <c r="K364" s="160">
        <v>1.6</v>
      </c>
      <c r="L364" s="154">
        <v>97.82689399770011</v>
      </c>
      <c r="M364" s="160">
        <v>0.9054608342916126</v>
      </c>
      <c r="N364" s="160">
        <v>0.9054608342916126</v>
      </c>
      <c r="O364" s="160">
        <v>0.9054608342916126</v>
      </c>
      <c r="P364" s="160">
        <v>0.9054608342916126</v>
      </c>
      <c r="Q364" s="162">
        <v>1.0</v>
      </c>
    </row>
    <row r="365">
      <c r="A365" s="54">
        <v>45291.95969444445</v>
      </c>
      <c r="B365" s="158">
        <v>1.10377</v>
      </c>
      <c r="C365" s="154">
        <v>91.1566721327813</v>
      </c>
      <c r="D365" s="155">
        <v>1.0151363571026115</v>
      </c>
      <c r="E365" s="160">
        <v>1.66</v>
      </c>
      <c r="F365" s="155">
        <v>0.77051</v>
      </c>
      <c r="G365" s="154">
        <v>38388.09262799315</v>
      </c>
      <c r="H365" s="154">
        <v>91.1566721327813</v>
      </c>
      <c r="I365" s="155">
        <v>0.0</v>
      </c>
      <c r="J365" s="154">
        <v>91.1566721327813</v>
      </c>
      <c r="K365" s="160">
        <v>1.66</v>
      </c>
      <c r="L365" s="154">
        <v>91.1566721327813</v>
      </c>
      <c r="M365" s="160">
        <v>0.9059858485010465</v>
      </c>
      <c r="N365" s="160">
        <v>0.9059858485010465</v>
      </c>
      <c r="O365" s="160">
        <v>0.9059858485010465</v>
      </c>
      <c r="P365" s="160">
        <v>0.9059858485010465</v>
      </c>
      <c r="Q365" s="162">
        <v>1.0</v>
      </c>
    </row>
    <row r="366">
      <c r="A366" s="54">
        <v>45290.959724201384</v>
      </c>
      <c r="B366" s="158">
        <v>1.10411</v>
      </c>
      <c r="C366" s="154">
        <v>92.153861481193</v>
      </c>
      <c r="D366" s="155">
        <v>1.0151256675943756</v>
      </c>
      <c r="E366" s="160">
        <v>1.68</v>
      </c>
      <c r="F366" s="155">
        <v>0.780199</v>
      </c>
      <c r="G366" s="154">
        <v>38242.4260263923</v>
      </c>
      <c r="H366" s="154">
        <v>92.153861481193</v>
      </c>
      <c r="I366" s="155">
        <v>0.0</v>
      </c>
      <c r="J366" s="154">
        <v>92.153861481193</v>
      </c>
      <c r="K366" s="160">
        <v>1.68</v>
      </c>
      <c r="L366" s="154">
        <v>92.153861481193</v>
      </c>
      <c r="M366" s="160">
        <v>0.9057068589180427</v>
      </c>
      <c r="N366" s="160">
        <v>0.9057068589180427</v>
      </c>
      <c r="O366" s="160">
        <v>0.9057068589180427</v>
      </c>
      <c r="P366" s="160">
        <v>0.9057068589180427</v>
      </c>
      <c r="Q366" s="162">
        <v>1.0</v>
      </c>
    </row>
    <row r="367">
      <c r="A367" s="54">
        <v>45289.95971052084</v>
      </c>
      <c r="B367" s="158">
        <v>1.10491</v>
      </c>
      <c r="C367" s="154">
        <v>95.05661094568788</v>
      </c>
      <c r="D367" s="155">
        <v>1.014963904503825</v>
      </c>
      <c r="E367" s="160">
        <v>1.62</v>
      </c>
      <c r="F367" s="155">
        <v>0.776886</v>
      </c>
      <c r="G367" s="154">
        <v>37951.29467558443</v>
      </c>
      <c r="H367" s="154">
        <v>95.05661094568788</v>
      </c>
      <c r="I367" s="155">
        <v>0.0</v>
      </c>
      <c r="J367" s="154">
        <v>95.05661094568788</v>
      </c>
      <c r="K367" s="160">
        <v>1.62</v>
      </c>
      <c r="L367" s="154">
        <v>95.05661094568788</v>
      </c>
      <c r="M367" s="160">
        <v>0.9050510901340381</v>
      </c>
      <c r="N367" s="160">
        <v>0.9050510901340381</v>
      </c>
      <c r="O367" s="160">
        <v>0.9050510901340381</v>
      </c>
      <c r="P367" s="160">
        <v>0.9050510901340381</v>
      </c>
      <c r="Q367" s="162">
        <v>1.0</v>
      </c>
    </row>
    <row r="368">
      <c r="A368" s="54">
        <v>45288.95971549768</v>
      </c>
      <c r="B368" s="158">
        <v>1.10652</v>
      </c>
      <c r="C368" s="154">
        <v>93.64042222463218</v>
      </c>
      <c r="D368" s="155">
        <v>1.01531605262112</v>
      </c>
      <c r="E368" s="160">
        <v>1.68</v>
      </c>
      <c r="F368" s="155">
        <v>0.79646</v>
      </c>
      <c r="G368" s="154">
        <v>38845.46144669776</v>
      </c>
      <c r="H368" s="154">
        <v>93.64042222463218</v>
      </c>
      <c r="I368" s="155">
        <v>0.0</v>
      </c>
      <c r="J368" s="154">
        <v>93.64042222463218</v>
      </c>
      <c r="K368" s="160">
        <v>1.68</v>
      </c>
      <c r="L368" s="154">
        <v>93.64042222463218</v>
      </c>
      <c r="M368" s="160">
        <v>0.9037342298376894</v>
      </c>
      <c r="N368" s="160">
        <v>0.9037342298376894</v>
      </c>
      <c r="O368" s="160">
        <v>0.9037342298376894</v>
      </c>
      <c r="P368" s="160">
        <v>0.9037342298376894</v>
      </c>
      <c r="Q368" s="162">
        <v>1.0</v>
      </c>
    </row>
    <row r="369">
      <c r="A369" s="54">
        <v>45287.95972789352</v>
      </c>
      <c r="B369" s="158">
        <v>1.1103</v>
      </c>
      <c r="C369" s="154">
        <v>96.6657660091867</v>
      </c>
      <c r="D369" s="155">
        <v>1.0154140503397056</v>
      </c>
      <c r="E369" s="160">
        <v>1.54</v>
      </c>
      <c r="F369" s="155">
        <v>0.807629</v>
      </c>
      <c r="G369" s="154">
        <v>39303.43510762857</v>
      </c>
      <c r="H369" s="154">
        <v>96.6657660091867</v>
      </c>
      <c r="I369" s="155">
        <v>0.0</v>
      </c>
      <c r="J369" s="154">
        <v>96.6657660091867</v>
      </c>
      <c r="K369" s="160">
        <v>1.54</v>
      </c>
      <c r="L369" s="154">
        <v>96.6657660091867</v>
      </c>
      <c r="M369" s="160">
        <v>0.900657479960371</v>
      </c>
      <c r="N369" s="160">
        <v>0.900657479960371</v>
      </c>
      <c r="O369" s="160">
        <v>0.900657479960371</v>
      </c>
      <c r="P369" s="160">
        <v>0.900657479960371</v>
      </c>
      <c r="Q369" s="162">
        <v>1.0</v>
      </c>
    </row>
    <row r="370">
      <c r="A370" s="54">
        <v>45286.959715578705</v>
      </c>
      <c r="B370" s="158">
        <v>1.10447</v>
      </c>
      <c r="C370" s="154">
        <v>101.05027750866931</v>
      </c>
      <c r="D370" s="155">
        <v>1.0151263962830357</v>
      </c>
      <c r="E370" s="160">
        <v>1.59</v>
      </c>
      <c r="F370" s="155">
        <v>0.801174</v>
      </c>
      <c r="G370" s="154">
        <v>38770.013671715846</v>
      </c>
      <c r="H370" s="154">
        <v>101.05027750866931</v>
      </c>
      <c r="I370" s="155">
        <v>0.0</v>
      </c>
      <c r="J370" s="154">
        <v>101.05027750866931</v>
      </c>
      <c r="K370" s="160">
        <v>1.59</v>
      </c>
      <c r="L370" s="154">
        <v>101.05027750866931</v>
      </c>
      <c r="M370" s="160">
        <v>0.9054116454045832</v>
      </c>
      <c r="N370" s="160">
        <v>0.9054116454045832</v>
      </c>
      <c r="O370" s="160">
        <v>0.9054116454045832</v>
      </c>
      <c r="P370" s="160">
        <v>0.9054116454045832</v>
      </c>
      <c r="Q370" s="162">
        <v>1.0</v>
      </c>
    </row>
    <row r="371">
      <c r="A371" s="54">
        <v>45285.95970506944</v>
      </c>
      <c r="B371" s="158">
        <v>1.1011099999999998</v>
      </c>
      <c r="C371" s="154">
        <v>108.75934284494738</v>
      </c>
      <c r="D371" s="155">
        <v>1.0154152903157179</v>
      </c>
      <c r="E371" s="160">
        <v>1.6</v>
      </c>
      <c r="F371" s="155">
        <v>0.824448</v>
      </c>
      <c r="G371" s="154">
        <v>39910.45944546867</v>
      </c>
      <c r="H371" s="154">
        <v>108.75934284494738</v>
      </c>
      <c r="I371" s="155">
        <v>0.0</v>
      </c>
      <c r="J371" s="154">
        <v>108.75934284494738</v>
      </c>
      <c r="K371" s="160">
        <v>1.6</v>
      </c>
      <c r="L371" s="154">
        <v>108.75934284494738</v>
      </c>
      <c r="M371" s="160">
        <v>0.9081744784808059</v>
      </c>
      <c r="N371" s="160">
        <v>0.9081744784808059</v>
      </c>
      <c r="O371" s="160">
        <v>0.9081744784808059</v>
      </c>
      <c r="P371" s="160">
        <v>0.9081744784808059</v>
      </c>
      <c r="Q371" s="162">
        <v>1.0</v>
      </c>
    </row>
    <row r="372">
      <c r="A372" s="54">
        <v>45284.9597074537</v>
      </c>
      <c r="B372" s="158">
        <v>1.10122</v>
      </c>
      <c r="C372" s="154">
        <v>101.35395288861444</v>
      </c>
      <c r="D372" s="155">
        <v>1.0153814381991964</v>
      </c>
      <c r="E372" s="160">
        <v>1.58</v>
      </c>
      <c r="F372" s="155">
        <v>0.816504</v>
      </c>
      <c r="G372" s="154">
        <v>39368.58938268466</v>
      </c>
      <c r="H372" s="154">
        <v>101.35395288861444</v>
      </c>
      <c r="I372" s="155">
        <v>0.0</v>
      </c>
      <c r="J372" s="154">
        <v>101.35395288861444</v>
      </c>
      <c r="K372" s="160">
        <v>1.58</v>
      </c>
      <c r="L372" s="154">
        <v>101.35395288861444</v>
      </c>
      <c r="M372" s="160">
        <v>0.9080837616461742</v>
      </c>
      <c r="N372" s="160">
        <v>0.9080837616461742</v>
      </c>
      <c r="O372" s="160">
        <v>0.9080837616461742</v>
      </c>
      <c r="P372" s="160">
        <v>0.9080837616461742</v>
      </c>
      <c r="Q372" s="162">
        <v>1.0</v>
      </c>
    </row>
    <row r="373">
      <c r="A373" s="54">
        <v>45283.959727928246</v>
      </c>
      <c r="B373" s="158">
        <v>1.10182</v>
      </c>
      <c r="C373" s="154">
        <v>98.62318709045034</v>
      </c>
      <c r="D373" s="155">
        <v>1.011787773062039</v>
      </c>
      <c r="E373" s="160">
        <v>1.56</v>
      </c>
      <c r="F373" s="155">
        <v>0.816204</v>
      </c>
      <c r="G373" s="154">
        <v>39889.474687335496</v>
      </c>
      <c r="H373" s="154">
        <v>98.62318709045034</v>
      </c>
      <c r="I373" s="155">
        <v>0.0</v>
      </c>
      <c r="J373" s="154">
        <v>98.62318709045034</v>
      </c>
      <c r="K373" s="160">
        <v>1.56</v>
      </c>
      <c r="L373" s="154">
        <v>98.62318709045034</v>
      </c>
      <c r="M373" s="160">
        <v>0.9075892614038591</v>
      </c>
      <c r="N373" s="160">
        <v>0.9075892614038591</v>
      </c>
      <c r="O373" s="160">
        <v>0.9075892614038591</v>
      </c>
      <c r="P373" s="160">
        <v>0.9075892614038591</v>
      </c>
      <c r="Q373" s="162">
        <v>1.0</v>
      </c>
    </row>
    <row r="374">
      <c r="A374" s="54">
        <v>45282.95971834491</v>
      </c>
      <c r="B374" s="158">
        <v>1.10064</v>
      </c>
      <c r="C374" s="154">
        <v>88.16597615932548</v>
      </c>
      <c r="D374" s="155">
        <v>1.0157843586561235</v>
      </c>
      <c r="E374" s="160">
        <v>1.53</v>
      </c>
      <c r="F374" s="155">
        <v>0.810698</v>
      </c>
      <c r="G374" s="154">
        <v>39801.0430295101</v>
      </c>
      <c r="H374" s="154">
        <v>88.16597615932548</v>
      </c>
      <c r="I374" s="155">
        <v>0.0</v>
      </c>
      <c r="J374" s="154">
        <v>88.16597615932548</v>
      </c>
      <c r="K374" s="160">
        <v>1.53</v>
      </c>
      <c r="L374" s="154">
        <v>88.16597615932548</v>
      </c>
      <c r="M374" s="160">
        <v>0.908562291030673</v>
      </c>
      <c r="N374" s="160">
        <v>0.908562291030673</v>
      </c>
      <c r="O374" s="160">
        <v>0.908562291030673</v>
      </c>
      <c r="P374" s="160">
        <v>0.908562291030673</v>
      </c>
      <c r="Q374" s="162">
        <v>1.0</v>
      </c>
    </row>
    <row r="375">
      <c r="A375" s="54">
        <v>45281.95971972222</v>
      </c>
      <c r="B375" s="158">
        <v>1.09899</v>
      </c>
      <c r="C375" s="154">
        <v>86.04900863520142</v>
      </c>
      <c r="D375" s="155">
        <v>1.015986825621347</v>
      </c>
      <c r="E375" s="160">
        <v>1.51</v>
      </c>
      <c r="F375" s="155">
        <v>0.789418</v>
      </c>
      <c r="G375" s="154">
        <v>40444.22879189074</v>
      </c>
      <c r="H375" s="154">
        <v>86.04900863520142</v>
      </c>
      <c r="I375" s="155">
        <v>0.0</v>
      </c>
      <c r="J375" s="154">
        <v>86.04900863520142</v>
      </c>
      <c r="K375" s="160">
        <v>1.51</v>
      </c>
      <c r="L375" s="154">
        <v>86.04900863520142</v>
      </c>
      <c r="M375" s="160">
        <v>0.9099263869552954</v>
      </c>
      <c r="N375" s="160">
        <v>0.9099263869552954</v>
      </c>
      <c r="O375" s="160">
        <v>0.9099263869552954</v>
      </c>
      <c r="P375" s="160">
        <v>0.9099263869552954</v>
      </c>
      <c r="Q375" s="162">
        <v>1.0</v>
      </c>
    </row>
    <row r="376">
      <c r="A376" s="54">
        <v>45280.9597278125</v>
      </c>
      <c r="B376" s="158">
        <v>1.09593</v>
      </c>
      <c r="C376" s="154">
        <v>74.3979998722546</v>
      </c>
      <c r="D376" s="155">
        <v>1.016123880110749</v>
      </c>
      <c r="E376" s="160">
        <v>1.48</v>
      </c>
      <c r="F376" s="155">
        <v>0.769892</v>
      </c>
      <c r="G376" s="154">
        <v>39902.35234002171</v>
      </c>
      <c r="H376" s="154">
        <v>74.3979998722546</v>
      </c>
      <c r="I376" s="155">
        <v>0.0</v>
      </c>
      <c r="J376" s="154">
        <v>74.3979998722546</v>
      </c>
      <c r="K376" s="160">
        <v>1.48</v>
      </c>
      <c r="L376" s="154">
        <v>74.3979998722546</v>
      </c>
      <c r="M376" s="160">
        <v>0.9124670371282837</v>
      </c>
      <c r="N376" s="160">
        <v>0.9124670371282837</v>
      </c>
      <c r="O376" s="160">
        <v>0.9124670371282837</v>
      </c>
      <c r="P376" s="160">
        <v>0.9124670371282837</v>
      </c>
      <c r="Q376" s="162">
        <v>1.0</v>
      </c>
    </row>
    <row r="377">
      <c r="A377" s="54">
        <v>45279.95971848379</v>
      </c>
      <c r="B377" s="158">
        <v>1.09773</v>
      </c>
      <c r="C377" s="154">
        <v>66.3350732876026</v>
      </c>
      <c r="D377" s="155">
        <v>1.0160128505623562</v>
      </c>
      <c r="E377" s="160">
        <v>1.47</v>
      </c>
      <c r="F377" s="155">
        <v>0.752975</v>
      </c>
      <c r="G377" s="154">
        <v>38645.98216319131</v>
      </c>
      <c r="H377" s="154">
        <v>66.3350732876026</v>
      </c>
      <c r="I377" s="155">
        <v>0.0</v>
      </c>
      <c r="J377" s="154">
        <v>66.3350732876026</v>
      </c>
      <c r="K377" s="160">
        <v>1.47</v>
      </c>
      <c r="L377" s="154">
        <v>66.3350732876026</v>
      </c>
      <c r="M377" s="160">
        <v>0.910970821604584</v>
      </c>
      <c r="N377" s="160">
        <v>0.910970821604584</v>
      </c>
      <c r="O377" s="160">
        <v>0.910970821604584</v>
      </c>
      <c r="P377" s="160">
        <v>0.910970821604584</v>
      </c>
      <c r="Q377" s="162">
        <v>1.0</v>
      </c>
    </row>
    <row r="378">
      <c r="A378" s="54">
        <v>45278.959715370365</v>
      </c>
      <c r="B378" s="158">
        <v>1.09231</v>
      </c>
      <c r="C378" s="154">
        <v>68.28647545110822</v>
      </c>
      <c r="D378" s="155">
        <v>1.016051449178524</v>
      </c>
      <c r="E378" s="160">
        <v>1.5</v>
      </c>
      <c r="F378" s="155">
        <v>0.755576</v>
      </c>
      <c r="G378" s="154">
        <v>39017.50052640734</v>
      </c>
      <c r="H378" s="154">
        <v>68.28647545110822</v>
      </c>
      <c r="I378" s="155">
        <v>0.0</v>
      </c>
      <c r="J378" s="154">
        <v>68.28647545110822</v>
      </c>
      <c r="K378" s="160">
        <v>1.5</v>
      </c>
      <c r="L378" s="154">
        <v>68.28647545110822</v>
      </c>
      <c r="M378" s="160">
        <v>0.9154910236105136</v>
      </c>
      <c r="N378" s="160">
        <v>0.9154910236105136</v>
      </c>
      <c r="O378" s="160">
        <v>0.9154910236105136</v>
      </c>
      <c r="P378" s="160">
        <v>0.9154910236105136</v>
      </c>
      <c r="Q378" s="162">
        <v>1.0</v>
      </c>
    </row>
    <row r="379">
      <c r="A379" s="54">
        <v>45277.95971664352</v>
      </c>
      <c r="B379" s="158">
        <v>1.09006</v>
      </c>
      <c r="C379" s="154">
        <v>66.26607709667357</v>
      </c>
      <c r="D379" s="155">
        <v>1.0158926188730395</v>
      </c>
      <c r="E379" s="160">
        <v>1.49</v>
      </c>
      <c r="F379" s="155">
        <v>0.759491</v>
      </c>
      <c r="G379" s="154">
        <v>38345.14246922188</v>
      </c>
      <c r="H379" s="154">
        <v>66.26607709667357</v>
      </c>
      <c r="I379" s="155">
        <v>0.0</v>
      </c>
      <c r="J379" s="154">
        <v>66.26607709667357</v>
      </c>
      <c r="K379" s="160">
        <v>1.49</v>
      </c>
      <c r="L379" s="154">
        <v>66.26607709667357</v>
      </c>
      <c r="M379" s="160">
        <v>0.917380694640662</v>
      </c>
      <c r="N379" s="160">
        <v>0.917380694640662</v>
      </c>
      <c r="O379" s="160">
        <v>0.917380694640662</v>
      </c>
      <c r="P379" s="160">
        <v>0.917380694640662</v>
      </c>
      <c r="Q379" s="162">
        <v>1.0</v>
      </c>
    </row>
    <row r="380">
      <c r="A380" s="54">
        <v>45276.95974810186</v>
      </c>
      <c r="B380" s="158">
        <v>1.09117</v>
      </c>
      <c r="C380" s="154">
        <v>67.6109130566273</v>
      </c>
      <c r="D380" s="155">
        <v>1.0160356461950109</v>
      </c>
      <c r="E380" s="160">
        <v>1.48</v>
      </c>
      <c r="F380" s="155">
        <v>0.773503</v>
      </c>
      <c r="G380" s="154">
        <v>38802.596295719275</v>
      </c>
      <c r="H380" s="154">
        <v>67.6109130566273</v>
      </c>
      <c r="I380" s="155">
        <v>0.0</v>
      </c>
      <c r="J380" s="154">
        <v>67.6109130566273</v>
      </c>
      <c r="K380" s="160">
        <v>1.48</v>
      </c>
      <c r="L380" s="154">
        <v>67.6109130566273</v>
      </c>
      <c r="M380" s="160">
        <v>0.9164474829769881</v>
      </c>
      <c r="N380" s="160">
        <v>0.9164474829769881</v>
      </c>
      <c r="O380" s="160">
        <v>0.9164474829769881</v>
      </c>
      <c r="P380" s="160">
        <v>0.9164474829769881</v>
      </c>
      <c r="Q380" s="162">
        <v>1.0</v>
      </c>
    </row>
    <row r="381">
      <c r="A381" s="54">
        <v>45275.959850046296</v>
      </c>
      <c r="B381" s="158">
        <v>1.08942</v>
      </c>
      <c r="C381" s="154">
        <v>68.57961116924602</v>
      </c>
      <c r="D381" s="155">
        <v>1.0159439012276694</v>
      </c>
      <c r="E381" s="160">
        <v>1.52</v>
      </c>
      <c r="F381" s="155">
        <v>0.773722</v>
      </c>
      <c r="G381" s="154">
        <v>38675.302454517085</v>
      </c>
      <c r="H381" s="154">
        <v>68.57961116924602</v>
      </c>
      <c r="I381" s="155">
        <v>0.0</v>
      </c>
      <c r="J381" s="154">
        <v>68.57961116924602</v>
      </c>
      <c r="K381" s="160">
        <v>1.52</v>
      </c>
      <c r="L381" s="154">
        <v>68.57961116924602</v>
      </c>
      <c r="M381" s="160">
        <v>0.9179196269574635</v>
      </c>
      <c r="N381" s="160">
        <v>0.9179196269574635</v>
      </c>
      <c r="O381" s="160">
        <v>0.9179196269574635</v>
      </c>
      <c r="P381" s="160">
        <v>0.9179196269574635</v>
      </c>
      <c r="Q381" s="162">
        <v>1.0</v>
      </c>
    </row>
    <row r="382">
      <c r="A382" s="54">
        <v>45272.95982871528</v>
      </c>
      <c r="B382" s="158">
        <v>1.07725</v>
      </c>
      <c r="C382" s="154">
        <v>62.8526340218148</v>
      </c>
      <c r="D382" s="155">
        <v>1.0107239511761377</v>
      </c>
      <c r="E382" s="160">
        <v>1.48</v>
      </c>
      <c r="F382" s="155">
        <v>0.7694200717458909</v>
      </c>
      <c r="G382" s="154">
        <v>38246.42629482627</v>
      </c>
      <c r="H382" s="154">
        <v>62.8526340218148</v>
      </c>
      <c r="I382" s="155">
        <v>0.0</v>
      </c>
      <c r="J382" s="154">
        <v>62.8526340218148</v>
      </c>
      <c r="K382" s="160">
        <v>1.48</v>
      </c>
      <c r="L382" s="154">
        <v>62.8526340218148</v>
      </c>
      <c r="M382" s="160">
        <v>0.9282896263634254</v>
      </c>
      <c r="N382" s="160">
        <v>0.9282896263634254</v>
      </c>
      <c r="O382" s="160">
        <v>0.9282896263634254</v>
      </c>
      <c r="P382" s="160">
        <v>0.9282896263634254</v>
      </c>
      <c r="Q382" s="162">
        <v>1.0</v>
      </c>
    </row>
    <row r="383">
      <c r="A383" s="54">
        <v>45271.95968827546</v>
      </c>
      <c r="B383" s="158">
        <v>1.07471</v>
      </c>
      <c r="C383" s="154">
        <v>64.7802663043984</v>
      </c>
      <c r="D383" s="155">
        <v>1.0107239511761377</v>
      </c>
      <c r="E383" s="160">
        <v>1.49</v>
      </c>
      <c r="F383" s="155">
        <v>0.7769680589567121</v>
      </c>
      <c r="G383" s="154">
        <v>40716.06287986443</v>
      </c>
      <c r="H383" s="154">
        <v>64.7802663043984</v>
      </c>
      <c r="I383" s="155">
        <v>0.0</v>
      </c>
      <c r="J383" s="154">
        <v>64.7802663043984</v>
      </c>
      <c r="K383" s="160">
        <v>1.49</v>
      </c>
      <c r="L383" s="154">
        <v>64.7802663043984</v>
      </c>
      <c r="M383" s="160">
        <v>0.9304835723125308</v>
      </c>
      <c r="N383" s="160">
        <v>0.9304835723125308</v>
      </c>
      <c r="O383" s="160">
        <v>0.9304835723125308</v>
      </c>
      <c r="P383" s="160">
        <v>0.9304835723125308</v>
      </c>
      <c r="Q383" s="162">
        <v>1.0</v>
      </c>
    </row>
    <row r="384">
      <c r="A384" s="54">
        <v>45270.95970605324</v>
      </c>
      <c r="B384" s="158">
        <v>1.07688</v>
      </c>
      <c r="C384" s="154">
        <v>68.75417873857812</v>
      </c>
      <c r="D384" s="155">
        <v>1.0107239511761377</v>
      </c>
      <c r="E384" s="160">
        <v>1.52</v>
      </c>
      <c r="F384" s="155">
        <v>0.8062043191505786</v>
      </c>
      <c r="G384" s="154">
        <v>40622.438890029895</v>
      </c>
      <c r="H384" s="154">
        <v>68.75417873857812</v>
      </c>
      <c r="I384" s="155">
        <v>0.0</v>
      </c>
      <c r="J384" s="154">
        <v>68.75417873857812</v>
      </c>
      <c r="K384" s="160">
        <v>1.52</v>
      </c>
      <c r="L384" s="154">
        <v>68.75417873857812</v>
      </c>
      <c r="M384" s="160">
        <v>0.9286085729143451</v>
      </c>
      <c r="N384" s="160">
        <v>0.9286085729143451</v>
      </c>
      <c r="O384" s="160">
        <v>0.9286085729143451</v>
      </c>
      <c r="P384" s="160">
        <v>0.9286085729143451</v>
      </c>
      <c r="Q384" s="162">
        <v>1.0</v>
      </c>
    </row>
    <row r="385">
      <c r="A385" s="54">
        <v>45269.95972547454</v>
      </c>
      <c r="B385" s="158">
        <v>1.07688</v>
      </c>
      <c r="C385" s="154">
        <v>68.60560136691181</v>
      </c>
      <c r="D385" s="155">
        <v>1.0106502303774958</v>
      </c>
      <c r="E385" s="160">
        <v>1.53</v>
      </c>
      <c r="F385" s="155">
        <v>0.8043156468988466</v>
      </c>
      <c r="G385" s="154">
        <v>41046.51967669211</v>
      </c>
      <c r="H385" s="154">
        <v>68.60560136691181</v>
      </c>
      <c r="I385" s="155">
        <v>0.0</v>
      </c>
      <c r="J385" s="154">
        <v>68.60560136691181</v>
      </c>
      <c r="K385" s="160">
        <v>1.53</v>
      </c>
      <c r="L385" s="154">
        <v>68.60560136691181</v>
      </c>
      <c r="M385" s="160">
        <v>0.9286085729143451</v>
      </c>
      <c r="N385" s="160">
        <v>0.9286085729143451</v>
      </c>
      <c r="O385" s="160">
        <v>0.9286085729143451</v>
      </c>
      <c r="P385" s="160">
        <v>0.9286085729143451</v>
      </c>
      <c r="Q385" s="162">
        <v>1.0</v>
      </c>
    </row>
    <row r="386">
      <c r="A386" s="54">
        <v>45268.95972530093</v>
      </c>
      <c r="B386" s="158">
        <v>1.0782100000000001</v>
      </c>
      <c r="C386" s="154">
        <v>68.2798341695959</v>
      </c>
      <c r="D386" s="155">
        <v>1.0106502303774958</v>
      </c>
      <c r="E386" s="160">
        <v>1.49</v>
      </c>
      <c r="F386" s="155">
        <v>0.8154585280403928</v>
      </c>
      <c r="G386" s="154">
        <v>40131.43966361599</v>
      </c>
      <c r="H386" s="154">
        <v>68.2798341695959</v>
      </c>
      <c r="I386" s="155">
        <v>0.0</v>
      </c>
      <c r="J386" s="154">
        <v>68.2798341695959</v>
      </c>
      <c r="K386" s="160">
        <v>1.49</v>
      </c>
      <c r="L386" s="154">
        <v>68.2798341695959</v>
      </c>
      <c r="M386" s="160">
        <v>0.9274631101547935</v>
      </c>
      <c r="N386" s="160">
        <v>0.9274631101547935</v>
      </c>
      <c r="O386" s="160">
        <v>0.9274631101547935</v>
      </c>
      <c r="P386" s="160">
        <v>0.9274631101547935</v>
      </c>
      <c r="Q386" s="162">
        <v>1.0</v>
      </c>
    </row>
    <row r="387">
      <c r="A387" s="54">
        <v>45267.95971947917</v>
      </c>
      <c r="B387" s="158">
        <v>1.08012</v>
      </c>
      <c r="C387" s="154">
        <v>62.84486908861978</v>
      </c>
      <c r="D387" s="155">
        <v>1.0102237490906152</v>
      </c>
      <c r="E387" s="160">
        <v>1.53</v>
      </c>
      <c r="F387" s="155">
        <v>0.7999505861781858</v>
      </c>
      <c r="G387" s="154">
        <v>40540.20739200487</v>
      </c>
      <c r="H387" s="154">
        <v>62.84486908861978</v>
      </c>
      <c r="I387" s="155">
        <v>0.0</v>
      </c>
      <c r="J387" s="154">
        <v>62.84486908861978</v>
      </c>
      <c r="K387" s="160">
        <v>1.53</v>
      </c>
      <c r="L387" s="154">
        <v>62.84486908861978</v>
      </c>
      <c r="M387" s="160">
        <v>0.9258230566974041</v>
      </c>
      <c r="N387" s="160">
        <v>0.9258230566974041</v>
      </c>
      <c r="O387" s="160">
        <v>0.9258230566974041</v>
      </c>
      <c r="P387" s="160">
        <v>0.9258230566974041</v>
      </c>
      <c r="Q387" s="162">
        <v>1.0</v>
      </c>
    </row>
    <row r="388">
      <c r="A388" s="54">
        <v>45266.959729560185</v>
      </c>
      <c r="B388" s="158">
        <v>1.07675</v>
      </c>
      <c r="C388" s="154">
        <v>58.091478987694444</v>
      </c>
      <c r="D388" s="155">
        <v>1.0102237490906152</v>
      </c>
      <c r="E388" s="160">
        <v>1.49</v>
      </c>
      <c r="F388" s="155">
        <v>0.7768687262274817</v>
      </c>
      <c r="G388" s="154">
        <v>40962.10334116489</v>
      </c>
      <c r="H388" s="154">
        <v>58.091478987694444</v>
      </c>
      <c r="I388" s="155">
        <v>0.0</v>
      </c>
      <c r="J388" s="154">
        <v>58.091478987694444</v>
      </c>
      <c r="K388" s="160">
        <v>1.49</v>
      </c>
      <c r="L388" s="154">
        <v>58.091478987694444</v>
      </c>
      <c r="M388" s="160">
        <v>0.9287206872533085</v>
      </c>
      <c r="N388" s="160">
        <v>0.9287206872533085</v>
      </c>
      <c r="O388" s="160">
        <v>0.9287206872533085</v>
      </c>
      <c r="P388" s="160">
        <v>0.9287206872533085</v>
      </c>
      <c r="Q388" s="162">
        <v>1.0</v>
      </c>
    </row>
    <row r="389">
      <c r="A389" s="54">
        <v>45265.95970766204</v>
      </c>
      <c r="B389" s="158">
        <v>1.0796400000000002</v>
      </c>
      <c r="C389" s="154">
        <v>55.97236115742284</v>
      </c>
      <c r="D389" s="155">
        <v>1.0101851103386954</v>
      </c>
      <c r="E389" s="160">
        <v>1.42</v>
      </c>
      <c r="F389" s="155">
        <v>0.7742492124335</v>
      </c>
      <c r="G389" s="154">
        <v>38878.081372071516</v>
      </c>
      <c r="H389" s="154">
        <v>55.97236115742284</v>
      </c>
      <c r="I389" s="155">
        <v>0.0</v>
      </c>
      <c r="J389" s="154">
        <v>55.97236115742284</v>
      </c>
      <c r="K389" s="160">
        <v>1.42</v>
      </c>
      <c r="L389" s="154">
        <v>55.97236115742284</v>
      </c>
      <c r="M389" s="160">
        <v>0.9262346708161978</v>
      </c>
      <c r="N389" s="160">
        <v>0.9262346708161978</v>
      </c>
      <c r="O389" s="160">
        <v>0.9262346708161978</v>
      </c>
      <c r="P389" s="160">
        <v>0.9262346708161978</v>
      </c>
      <c r="Q389" s="162">
        <v>1.0</v>
      </c>
    </row>
    <row r="390">
      <c r="A390" s="54">
        <v>45264.959725636574</v>
      </c>
      <c r="B390" s="158">
        <v>1.0833499999999998</v>
      </c>
      <c r="C390" s="154">
        <v>56.23298103106107</v>
      </c>
      <c r="D390" s="155">
        <v>1.009958774553391</v>
      </c>
      <c r="E390" s="160">
        <v>1.43</v>
      </c>
      <c r="F390" s="155">
        <v>0.764369114273463</v>
      </c>
      <c r="G390" s="154">
        <v>36885.840605908066</v>
      </c>
      <c r="H390" s="154">
        <v>56.23298103106107</v>
      </c>
      <c r="I390" s="155">
        <v>0.0</v>
      </c>
      <c r="J390" s="154">
        <v>56.23298103106107</v>
      </c>
      <c r="K390" s="160">
        <v>1.43</v>
      </c>
      <c r="L390" s="154">
        <v>56.23298103106107</v>
      </c>
      <c r="M390" s="160">
        <v>0.9230627221119677</v>
      </c>
      <c r="N390" s="160">
        <v>0.9230627221119677</v>
      </c>
      <c r="O390" s="160">
        <v>0.9230627221119677</v>
      </c>
      <c r="P390" s="160">
        <v>0.9230627221119677</v>
      </c>
      <c r="Q390" s="162">
        <v>1.0</v>
      </c>
    </row>
    <row r="391">
      <c r="A391" s="54">
        <v>45263.95972900463</v>
      </c>
      <c r="B391" s="158">
        <v>1.08803</v>
      </c>
      <c r="C391" s="154">
        <v>58.49103425457018</v>
      </c>
      <c r="D391" s="155">
        <v>1.0094414356155526</v>
      </c>
      <c r="E391" s="160">
        <v>1.4</v>
      </c>
      <c r="F391" s="155">
        <v>0.7308187161150207</v>
      </c>
      <c r="G391" s="154">
        <v>36287.29576947584</v>
      </c>
      <c r="H391" s="154">
        <v>58.49103425457018</v>
      </c>
      <c r="I391" s="155">
        <v>0.0</v>
      </c>
      <c r="J391" s="154">
        <v>58.49103425457018</v>
      </c>
      <c r="K391" s="160">
        <v>1.4</v>
      </c>
      <c r="L391" s="154">
        <v>58.49103425457018</v>
      </c>
      <c r="M391" s="160">
        <v>0.9190923044401349</v>
      </c>
      <c r="N391" s="160">
        <v>0.9190923044401349</v>
      </c>
      <c r="O391" s="160">
        <v>0.9190923044401349</v>
      </c>
      <c r="P391" s="160">
        <v>0.9190923044401349</v>
      </c>
      <c r="Q391" s="162">
        <v>1.0</v>
      </c>
    </row>
    <row r="392">
      <c r="A392" s="54">
        <v>45262.95969684028</v>
      </c>
      <c r="B392" s="158">
        <v>1.08812</v>
      </c>
      <c r="C392" s="154">
        <v>57.8245046502224</v>
      </c>
      <c r="D392" s="155">
        <v>1.0090097337301906</v>
      </c>
      <c r="E392" s="160">
        <v>1.39</v>
      </c>
      <c r="F392" s="155">
        <v>0.7208545889820911</v>
      </c>
      <c r="G392" s="154">
        <v>35555.13982078319</v>
      </c>
      <c r="H392" s="154">
        <v>57.8245046502224</v>
      </c>
      <c r="I392" s="155">
        <v>0.0</v>
      </c>
      <c r="J392" s="154">
        <v>57.8245046502224</v>
      </c>
      <c r="K392" s="160">
        <v>1.39</v>
      </c>
      <c r="L392" s="154">
        <v>57.8245046502224</v>
      </c>
      <c r="M392" s="160">
        <v>0.9190162849685697</v>
      </c>
      <c r="N392" s="160">
        <v>0.9190162849685697</v>
      </c>
      <c r="O392" s="160">
        <v>0.9190162849685697</v>
      </c>
      <c r="P392" s="160">
        <v>0.9190162849685697</v>
      </c>
      <c r="Q392" s="162">
        <v>1.0</v>
      </c>
    </row>
    <row r="393">
      <c r="A393" s="54">
        <v>45261.9597287037</v>
      </c>
      <c r="B393" s="158">
        <v>1.0883</v>
      </c>
      <c r="C393" s="154">
        <v>55.19617752457962</v>
      </c>
      <c r="D393" s="155">
        <v>1.0090097337301906</v>
      </c>
      <c r="E393" s="160">
        <v>1.39</v>
      </c>
      <c r="F393" s="155">
        <v>0.7144706008385298</v>
      </c>
      <c r="G393" s="154">
        <v>34652.04298066029</v>
      </c>
      <c r="H393" s="154">
        <v>55.19617752457962</v>
      </c>
      <c r="I393" s="155">
        <v>0.0</v>
      </c>
      <c r="J393" s="154">
        <v>55.19617752457962</v>
      </c>
      <c r="K393" s="160">
        <v>1.39</v>
      </c>
      <c r="L393" s="154">
        <v>55.19617752457962</v>
      </c>
      <c r="M393" s="160">
        <v>0.9188642837452908</v>
      </c>
      <c r="N393" s="160">
        <v>0.9188642837452908</v>
      </c>
      <c r="O393" s="160">
        <v>0.9188642837452908</v>
      </c>
      <c r="P393" s="160">
        <v>0.9188642837452908</v>
      </c>
      <c r="Q393" s="162">
        <v>1.0</v>
      </c>
    </row>
    <row r="394">
      <c r="A394" s="54">
        <v>45260.95972012731</v>
      </c>
      <c r="B394" s="158">
        <v>1.08888</v>
      </c>
      <c r="C394" s="154">
        <v>54.66167070751598</v>
      </c>
      <c r="D394" s="155">
        <v>1.0090097337301906</v>
      </c>
      <c r="E394" s="160">
        <v>1.37</v>
      </c>
      <c r="F394" s="155">
        <v>0.6921654332754995</v>
      </c>
      <c r="G394" s="154">
        <v>34724.07098719895</v>
      </c>
      <c r="H394" s="154">
        <v>54.66167070751598</v>
      </c>
      <c r="I394" s="155">
        <v>0.0</v>
      </c>
      <c r="J394" s="154">
        <v>54.66167070751598</v>
      </c>
      <c r="K394" s="160">
        <v>1.37</v>
      </c>
      <c r="L394" s="154">
        <v>54.66167070751598</v>
      </c>
      <c r="M394" s="160">
        <v>0.9183748438762764</v>
      </c>
      <c r="N394" s="160">
        <v>0.9183748438762764</v>
      </c>
      <c r="O394" s="160">
        <v>0.9183748438762764</v>
      </c>
      <c r="P394" s="160">
        <v>0.9183748438762764</v>
      </c>
      <c r="Q394" s="162">
        <v>1.0</v>
      </c>
    </row>
    <row r="395">
      <c r="A395" s="54">
        <v>45259.95975127315</v>
      </c>
      <c r="B395" s="158">
        <v>1.09683</v>
      </c>
      <c r="C395" s="154">
        <v>54.074013292853046</v>
      </c>
      <c r="D395" s="155">
        <v>1.0090097337301906</v>
      </c>
      <c r="E395" s="160">
        <v>1.35</v>
      </c>
      <c r="F395" s="155">
        <v>0.6764865319142447</v>
      </c>
      <c r="G395" s="154">
        <v>34464.99096831295</v>
      </c>
      <c r="H395" s="154">
        <v>54.074013292853046</v>
      </c>
      <c r="I395" s="155">
        <v>0.0</v>
      </c>
      <c r="J395" s="154">
        <v>54.074013292853046</v>
      </c>
      <c r="K395" s="160">
        <v>1.35</v>
      </c>
      <c r="L395" s="154">
        <v>54.074013292853046</v>
      </c>
      <c r="M395" s="160">
        <v>0.9117183155092403</v>
      </c>
      <c r="N395" s="160">
        <v>0.9117183155092403</v>
      </c>
      <c r="O395" s="160">
        <v>0.9117183155092403</v>
      </c>
      <c r="P395" s="160">
        <v>0.9117183155092403</v>
      </c>
      <c r="Q395" s="162">
        <v>1.0</v>
      </c>
    </row>
    <row r="396">
      <c r="A396" s="54">
        <v>45258.959742928244</v>
      </c>
      <c r="B396" s="158">
        <v>1.09836</v>
      </c>
      <c r="C396" s="154">
        <v>52.85152409046214</v>
      </c>
      <c r="D396" s="155">
        <v>1.0090097337301906</v>
      </c>
      <c r="E396" s="160">
        <v>1.35</v>
      </c>
      <c r="F396" s="155">
        <v>0.6824930152351361</v>
      </c>
      <c r="G396" s="154">
        <v>33914.353264395184</v>
      </c>
      <c r="H396" s="154">
        <v>52.85152409046214</v>
      </c>
      <c r="I396" s="155">
        <v>0.0</v>
      </c>
      <c r="J396" s="154">
        <v>52.85152409046214</v>
      </c>
      <c r="K396" s="160">
        <v>1.35</v>
      </c>
      <c r="L396" s="154">
        <v>52.85152409046214</v>
      </c>
      <c r="M396" s="160">
        <v>0.9104483047452565</v>
      </c>
      <c r="N396" s="160">
        <v>0.9104483047452565</v>
      </c>
      <c r="O396" s="160">
        <v>0.9104483047452565</v>
      </c>
      <c r="P396" s="160">
        <v>0.9104483047452565</v>
      </c>
      <c r="Q396" s="16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63" t="s">
        <v>35</v>
      </c>
      <c r="B1" s="135" t="str">
        <f t="array" ref="B1:E1">TRANSPOSE(Dashboard!$A$4:$A$7)</f>
        <v>Transfered</v>
      </c>
      <c r="C1" s="135" t="s">
        <v>7</v>
      </c>
      <c r="D1" s="135" t="s">
        <v>8</v>
      </c>
      <c r="E1" s="135" t="s">
        <v>9</v>
      </c>
      <c r="F1" s="135" t="str">
        <f>Dashboard!$A$13</f>
        <v>TOTAL</v>
      </c>
      <c r="G1" s="135" t="str">
        <f>Dashboard!$A$14</f>
        <v>Bought Price</v>
      </c>
      <c r="H1" s="135" t="str">
        <f>IFERROR(__xludf.DUMMYFUNCTION("INDEX(SPLIT(Dashboard!$A$15,"" ""),1)"),"Price")</f>
        <v>Price</v>
      </c>
      <c r="I1" s="135" t="str">
        <f>Dashboard!$A$16</f>
        <v>Profit</v>
      </c>
      <c r="J1" s="135" t="s">
        <v>124</v>
      </c>
      <c r="K1" s="135" t="s">
        <v>41</v>
      </c>
      <c r="L1" s="135" t="s">
        <v>42</v>
      </c>
    </row>
    <row r="2">
      <c r="A2" s="46">
        <f>TODAY()</f>
        <v>45654</v>
      </c>
      <c r="B2" s="164">
        <f t="array" ref="B2:E2">TRANSPOSE(Dashboard!$C$4:Dashboard!$C$7)</f>
        <v>295981.6829</v>
      </c>
      <c r="C2" s="164">
        <v>-1959.6046054065837</v>
      </c>
      <c r="D2" s="164">
        <v>75857.98014698562</v>
      </c>
      <c r="E2" s="164">
        <v>640137.5191360125</v>
      </c>
      <c r="F2" s="164">
        <f>Dashboard!$C$13</f>
        <v>989097.2176</v>
      </c>
      <c r="G2" s="164">
        <f t="array" ref="G2:I2">TRANSPOSE(Dashboard!$C$14:$C$16)</f>
        <v>58.25362291</v>
      </c>
      <c r="H2" s="164">
        <v>177.05722096983067</v>
      </c>
      <c r="I2" s="164">
        <v>693115.5346775916</v>
      </c>
      <c r="J2" s="165">
        <f>Dashboard!$D$16</f>
        <v>2.341751448</v>
      </c>
      <c r="K2" s="164">
        <f t="shared" ref="K2:L2" si="1">INDEX(I:I,ROW())-INDEX(I:I,ROW()+1)</f>
        <v>-35062.89585</v>
      </c>
      <c r="L2" s="165">
        <f t="shared" si="1"/>
        <v>-0.11846306</v>
      </c>
    </row>
    <row r="3">
      <c r="A3" s="54">
        <v>45627.0</v>
      </c>
      <c r="B3" s="164">
        <v>295981.6829392163</v>
      </c>
      <c r="C3" s="164">
        <v>-1959.6046054065837</v>
      </c>
      <c r="D3" s="164">
        <v>-147460.67670192954</v>
      </c>
      <c r="E3" s="164">
        <v>898519.0718368682</v>
      </c>
      <c r="F3" s="164">
        <v>1024160.1134687482</v>
      </c>
      <c r="G3" s="164">
        <v>58.25362290842891</v>
      </c>
      <c r="H3" s="164">
        <v>225.01044541914015</v>
      </c>
      <c r="I3" s="164">
        <v>728178.4305295318</v>
      </c>
      <c r="J3" s="165">
        <v>2.460214508203445</v>
      </c>
      <c r="K3" s="164">
        <v>254993.48559710843</v>
      </c>
      <c r="L3" s="165">
        <v>0.834465275028665</v>
      </c>
    </row>
    <row r="4">
      <c r="A4" s="54">
        <v>45597.0</v>
      </c>
      <c r="B4" s="164">
        <v>291056.5389032249</v>
      </c>
      <c r="C4" s="164">
        <v>-1950.2099586567817</v>
      </c>
      <c r="D4" s="164">
        <v>8486.1378845328</v>
      </c>
      <c r="E4" s="164">
        <v>487569.37700654735</v>
      </c>
      <c r="F4" s="164">
        <v>764241.4838356483</v>
      </c>
      <c r="G4" s="164">
        <v>57.72776385277226</v>
      </c>
      <c r="H4" s="164">
        <v>155.08037422725937</v>
      </c>
      <c r="I4" s="164">
        <v>473184.94493242336</v>
      </c>
      <c r="J4" s="165">
        <v>1.6257492331747798</v>
      </c>
      <c r="K4" s="164">
        <v>109716.32294107729</v>
      </c>
      <c r="L4" s="165">
        <v>0.3769587976085895</v>
      </c>
    </row>
    <row r="5">
      <c r="A5" s="54">
        <v>45566.0</v>
      </c>
      <c r="B5" s="164">
        <v>291056.5389032249</v>
      </c>
      <c r="C5" s="164">
        <v>-1950.2099586567817</v>
      </c>
      <c r="D5" s="164">
        <v>-21256.448573756963</v>
      </c>
      <c r="E5" s="164">
        <v>407595.6405237598</v>
      </c>
      <c r="F5" s="164">
        <v>654525.160894571</v>
      </c>
      <c r="G5" s="164">
        <v>57.72776385277226</v>
      </c>
      <c r="H5" s="164">
        <v>139.11207848276234</v>
      </c>
      <c r="I5" s="164">
        <v>363468.62199134607</v>
      </c>
      <c r="J5" s="165">
        <v>1.2487904355661903</v>
      </c>
      <c r="K5" s="164">
        <v>81057.12432610744</v>
      </c>
      <c r="L5" s="165">
        <v>0.27849271015023813</v>
      </c>
    </row>
    <row r="6">
      <c r="A6" s="54">
        <v>45536.0</v>
      </c>
      <c r="B6" s="164">
        <v>291056.5389032249</v>
      </c>
      <c r="C6" s="164">
        <v>-1950.2099586567817</v>
      </c>
      <c r="D6" s="164">
        <v>-20058.04342739517</v>
      </c>
      <c r="E6" s="164">
        <v>325340.1110512906</v>
      </c>
      <c r="F6" s="164">
        <v>573468.0365684635</v>
      </c>
      <c r="G6" s="164">
        <v>57.72776385277226</v>
      </c>
      <c r="H6" s="164">
        <v>122.68817885017137</v>
      </c>
      <c r="I6" s="164">
        <v>282411.4976652386</v>
      </c>
      <c r="J6" s="165">
        <v>0.9702977254159522</v>
      </c>
      <c r="K6" s="164">
        <v>-179924.6054369443</v>
      </c>
      <c r="L6" s="165">
        <v>-0.6181775063874047</v>
      </c>
    </row>
    <row r="7">
      <c r="A7" s="54">
        <v>45505.0</v>
      </c>
      <c r="B7" s="164">
        <v>291056.5389032249</v>
      </c>
      <c r="C7" s="164">
        <v>-1950.2099586567817</v>
      </c>
      <c r="D7" s="164">
        <v>-27309.69915553485</v>
      </c>
      <c r="E7" s="164">
        <v>512516.3722163745</v>
      </c>
      <c r="F7" s="164">
        <v>753392.6420054078</v>
      </c>
      <c r="G7" s="164">
        <v>57.72776385277226</v>
      </c>
      <c r="H7" s="164">
        <v>160.06152197609325</v>
      </c>
      <c r="I7" s="164">
        <v>462336.1031021829</v>
      </c>
      <c r="J7" s="165">
        <v>1.5884752318033568</v>
      </c>
      <c r="K7" s="164">
        <v>120475.3379151338</v>
      </c>
      <c r="L7" s="165">
        <v>0.41392417558841155</v>
      </c>
    </row>
    <row r="8">
      <c r="A8" s="54">
        <v>45474.0</v>
      </c>
      <c r="B8" s="164">
        <v>291056.5389032249</v>
      </c>
      <c r="C8" s="164">
        <v>-1950.2099586567817</v>
      </c>
      <c r="D8" s="164">
        <v>-32986.51722195535</v>
      </c>
      <c r="E8" s="164">
        <v>397717.85236766125</v>
      </c>
      <c r="F8" s="164">
        <v>632917.304090274</v>
      </c>
      <c r="G8" s="164">
        <v>57.72776385277226</v>
      </c>
      <c r="H8" s="164">
        <v>137.1397879594601</v>
      </c>
      <c r="I8" s="164">
        <v>341860.7651870491</v>
      </c>
      <c r="J8" s="165">
        <v>1.1745510562149453</v>
      </c>
      <c r="K8" s="164">
        <v>-71322.38736592385</v>
      </c>
      <c r="L8" s="165">
        <v>-0.24504650414206353</v>
      </c>
    </row>
    <row r="9">
      <c r="A9" s="54">
        <v>45444.0</v>
      </c>
      <c r="B9" s="164">
        <v>291056.5389032249</v>
      </c>
      <c r="C9" s="164">
        <v>-1950.2099586567817</v>
      </c>
      <c r="D9" s="164">
        <v>-42005.17612029868</v>
      </c>
      <c r="E9" s="164">
        <v>478058.8986319285</v>
      </c>
      <c r="F9" s="164">
        <v>704239.6914561979</v>
      </c>
      <c r="G9" s="164">
        <v>57.72776385277226</v>
      </c>
      <c r="H9" s="164">
        <v>153.18142417144645</v>
      </c>
      <c r="I9" s="164">
        <v>413183.15255297296</v>
      </c>
      <c r="J9" s="165">
        <v>1.4195975603570088</v>
      </c>
      <c r="K9" s="164">
        <v>163388.25709930045</v>
      </c>
      <c r="L9" s="165">
        <v>0.554545806306014</v>
      </c>
    </row>
    <row r="10">
      <c r="A10" s="54">
        <v>45413.0</v>
      </c>
      <c r="B10" s="164">
        <v>288762.9489032249</v>
      </c>
      <c r="C10" s="164">
        <v>-1947.9132834872096</v>
      </c>
      <c r="D10" s="164">
        <v>-36186.437411058694</v>
      </c>
      <c r="E10" s="164">
        <v>308849.60614821845</v>
      </c>
      <c r="F10" s="164">
        <v>538557.8443568974</v>
      </c>
      <c r="G10" s="164">
        <v>57.46038068434421</v>
      </c>
      <c r="H10" s="164">
        <v>119.33286483954087</v>
      </c>
      <c r="I10" s="164">
        <v>249794.8954536725</v>
      </c>
      <c r="J10" s="165">
        <v>0.8650517540509948</v>
      </c>
      <c r="K10" s="164">
        <v>-338625.3944075942</v>
      </c>
      <c r="L10" s="165">
        <v>-1.1934806883003017</v>
      </c>
    </row>
    <row r="11">
      <c r="A11" s="54">
        <v>45383.0</v>
      </c>
      <c r="B11" s="164">
        <v>285844.55496322486</v>
      </c>
      <c r="C11" s="164">
        <v>-1953.0394565372096</v>
      </c>
      <c r="D11" s="164">
        <v>-26195.917839952628</v>
      </c>
      <c r="E11" s="164">
        <v>637489.6071577566</v>
      </c>
      <c r="F11" s="164">
        <v>874264.8448244915</v>
      </c>
      <c r="G11" s="164">
        <v>57.0767983138204</v>
      </c>
      <c r="H11" s="164">
        <v>185.23657786505615</v>
      </c>
      <c r="I11" s="164">
        <v>588420.2898612667</v>
      </c>
      <c r="J11" s="165">
        <v>2.0585324423512965</v>
      </c>
      <c r="K11" s="164">
        <v>345153.8004166301</v>
      </c>
      <c r="L11" s="165">
        <v>1.164015668040894</v>
      </c>
    </row>
    <row r="12">
      <c r="A12" s="54">
        <v>45352.0</v>
      </c>
      <c r="B12" s="164">
        <v>271952.9654792385</v>
      </c>
      <c r="C12" s="164">
        <v>-1918.3283445038285</v>
      </c>
      <c r="D12" s="164">
        <v>-12162.750017501588</v>
      </c>
      <c r="E12" s="164">
        <v>278267.927806642</v>
      </c>
      <c r="F12" s="164">
        <v>515219.4549238751</v>
      </c>
      <c r="G12" s="164">
        <v>57.382780512209735</v>
      </c>
      <c r="H12" s="164">
        <v>116.51566331960576</v>
      </c>
      <c r="I12" s="164">
        <v>243266.48944463662</v>
      </c>
      <c r="J12" s="165">
        <v>0.8945167743104026</v>
      </c>
      <c r="K12" s="164">
        <v>137417.67243023537</v>
      </c>
      <c r="L12" s="165">
        <v>0.5052994078887003</v>
      </c>
    </row>
    <row r="13">
      <c r="A13" s="54">
        <v>45323.0</v>
      </c>
      <c r="B13" s="164">
        <v>271952.9654792385</v>
      </c>
      <c r="C13" s="164">
        <v>-1903.5583445038285</v>
      </c>
      <c r="D13" s="164">
        <v>-40906.63461164135</v>
      </c>
      <c r="E13" s="164">
        <v>150464.66997054635</v>
      </c>
      <c r="F13" s="164">
        <v>377801.78249363974</v>
      </c>
      <c r="G13" s="164">
        <v>57.382780512209735</v>
      </c>
      <c r="H13" s="164">
        <v>89.35703556255932</v>
      </c>
      <c r="I13" s="164">
        <v>105848.81701440125</v>
      </c>
      <c r="J13" s="165">
        <v>0.38921736642170224</v>
      </c>
      <c r="K13" s="164">
        <v>30479.65399812447</v>
      </c>
      <c r="L13" s="165">
        <v>0.11207693192244794</v>
      </c>
    </row>
    <row r="14">
      <c r="A14" s="54">
        <v>45292.0</v>
      </c>
      <c r="B14" s="164">
        <v>271952.9654792385</v>
      </c>
      <c r="C14" s="164">
        <v>-1903.5603945038285</v>
      </c>
      <c r="D14" s="164">
        <v>-83436.28008801304</v>
      </c>
      <c r="E14" s="164">
        <v>162514.66349879358</v>
      </c>
      <c r="F14" s="164">
        <v>347322.12849551527</v>
      </c>
      <c r="G14" s="164">
        <v>57.382780512209735</v>
      </c>
      <c r="H14" s="164">
        <v>91.91770024552217</v>
      </c>
      <c r="I14" s="164">
        <v>75369.16301627678</v>
      </c>
      <c r="J14" s="165">
        <v>0.2771404344992543</v>
      </c>
      <c r="K14" s="164">
        <v>154400.02286777063</v>
      </c>
      <c r="L14" s="165">
        <v>0.5653818017055965</v>
      </c>
    </row>
    <row r="15">
      <c r="A15" s="54">
        <v>45261.0</v>
      </c>
      <c r="B15" s="164">
        <v>261952.96547923854</v>
      </c>
      <c r="C15" s="164">
        <v>-1958.6399806274294</v>
      </c>
      <c r="D15" s="164">
        <v>-74330.3944844539</v>
      </c>
      <c r="E15" s="164">
        <v>-2741.825386412517</v>
      </c>
      <c r="F15" s="164">
        <v>182922.1056277447</v>
      </c>
      <c r="G15" s="164">
        <v>54.939862036157734</v>
      </c>
      <c r="H15" s="164">
        <v>54.349423260598044</v>
      </c>
      <c r="I15" s="164">
        <v>-79030.85985149385</v>
      </c>
      <c r="J15" s="165">
        <v>-0.2882413672063422</v>
      </c>
      <c r="K15" s="164">
        <v>80012.03290835267</v>
      </c>
      <c r="L15" s="165">
        <v>0.2855485466057084</v>
      </c>
    </row>
    <row r="16">
      <c r="A16" s="54">
        <v>45231.0</v>
      </c>
      <c r="B16" s="164">
        <v>278098.39559610985</v>
      </c>
      <c r="C16" s="164">
        <v>-1964.4508044630536</v>
      </c>
      <c r="D16" s="164">
        <v>-61309.375364432795</v>
      </c>
      <c r="E16" s="164">
        <v>-95769.06659095068</v>
      </c>
      <c r="F16" s="164">
        <v>119055.50283626332</v>
      </c>
      <c r="G16" s="164">
        <v>55.54204071641654</v>
      </c>
      <c r="H16" s="164">
        <v>36.36673096561897</v>
      </c>
      <c r="I16" s="164">
        <v>-159042.89275984652</v>
      </c>
      <c r="J16" s="165">
        <v>-0.5737899138120506</v>
      </c>
      <c r="K16" s="164">
        <v>80939.12634783873</v>
      </c>
      <c r="L16" s="165">
        <v>0.2830510686523682</v>
      </c>
    </row>
    <row r="17">
      <c r="A17" s="54">
        <v>45200.0</v>
      </c>
      <c r="B17" s="164">
        <v>280235.69559610984</v>
      </c>
      <c r="C17" s="164">
        <v>-1962.3409013071223</v>
      </c>
      <c r="D17" s="164">
        <v>-61008.52057535169</v>
      </c>
      <c r="E17" s="164">
        <v>-177011.15763102644</v>
      </c>
      <c r="F17" s="164">
        <v>40253.67648842459</v>
      </c>
      <c r="G17" s="164">
        <v>55.16223434349872</v>
      </c>
      <c r="H17" s="164">
        <v>20.195341280486648</v>
      </c>
      <c r="I17" s="164">
        <v>-239982.01910768525</v>
      </c>
      <c r="J17" s="165">
        <v>-0.8568409824644188</v>
      </c>
      <c r="K17" s="164">
        <v>9093.761591617164</v>
      </c>
      <c r="L17" s="165">
        <v>0.029656268806194874</v>
      </c>
    </row>
    <row r="18">
      <c r="A18" s="54">
        <v>45170.0</v>
      </c>
      <c r="B18" s="164">
        <v>280235.69559610984</v>
      </c>
      <c r="C18" s="164">
        <v>-1962.3409013071223</v>
      </c>
      <c r="D18" s="164">
        <v>-66726.39431563969</v>
      </c>
      <c r="E18" s="164">
        <v>-180387.0454823556</v>
      </c>
      <c r="F18" s="164">
        <v>31159.914896807422</v>
      </c>
      <c r="G18" s="164">
        <v>53.85733877773733</v>
      </c>
      <c r="H18" s="164">
        <v>18.223570750062255</v>
      </c>
      <c r="I18" s="164">
        <v>-249075.7806993024</v>
      </c>
      <c r="J18" s="165">
        <v>-0.8864972512706136</v>
      </c>
      <c r="K18" s="164">
        <v>-11225.715365327167</v>
      </c>
      <c r="L18" s="165">
        <v>-0.04325431326555873</v>
      </c>
    </row>
    <row r="19">
      <c r="A19" s="54">
        <v>45139.0</v>
      </c>
      <c r="B19" s="164">
        <v>280235.69559610984</v>
      </c>
      <c r="C19" s="164">
        <v>-1962.3409013071223</v>
      </c>
      <c r="D19" s="164">
        <v>-76659.58188024937</v>
      </c>
      <c r="E19" s="164">
        <v>-159228.14255241875</v>
      </c>
      <c r="F19" s="164">
        <v>42385.63026213459</v>
      </c>
      <c r="G19" s="164">
        <v>53.04525438963072</v>
      </c>
      <c r="H19" s="164">
        <v>21.591229074129583</v>
      </c>
      <c r="I19" s="164">
        <v>-237850.06533397525</v>
      </c>
      <c r="J19" s="165">
        <v>-0.8432429380050549</v>
      </c>
      <c r="K19" s="164">
        <v>18241.80686849117</v>
      </c>
      <c r="L19" s="165">
        <v>0.06822869362218709</v>
      </c>
    </row>
    <row r="20">
      <c r="A20" s="54">
        <v>45108.0</v>
      </c>
      <c r="B20" s="164">
        <v>280235.69559610984</v>
      </c>
      <c r="C20" s="164">
        <v>-1962.3409013071223</v>
      </c>
      <c r="D20" s="164">
        <v>-72656.51750155067</v>
      </c>
      <c r="E20" s="164">
        <v>-181473.01379960863</v>
      </c>
      <c r="F20" s="164">
        <v>24143.823393643434</v>
      </c>
      <c r="G20" s="164">
        <v>53.50305638172439</v>
      </c>
      <c r="H20" s="164">
        <v>17.654765504035765</v>
      </c>
      <c r="I20" s="164">
        <v>-256091.87220246642</v>
      </c>
      <c r="J20" s="165">
        <v>-0.911471631627242</v>
      </c>
      <c r="K20" s="164">
        <v>-6167.7379842097</v>
      </c>
      <c r="L20" s="165">
        <v>-0.02018162222734665</v>
      </c>
    </row>
    <row r="21">
      <c r="A21" s="54">
        <v>45078.0</v>
      </c>
      <c r="B21" s="164">
        <v>280235.69559610984</v>
      </c>
      <c r="C21" s="164">
        <v>-1962.3409013071223</v>
      </c>
      <c r="D21" s="164">
        <v>-69586.21636984192</v>
      </c>
      <c r="E21" s="164">
        <v>-178375.57694710768</v>
      </c>
      <c r="F21" s="164">
        <v>30311.561377853133</v>
      </c>
      <c r="G21" s="164">
        <v>54.70082242254833</v>
      </c>
      <c r="H21" s="164">
        <v>19.464401127773776</v>
      </c>
      <c r="I21" s="164">
        <v>-249924.13421825672</v>
      </c>
      <c r="J21" s="165">
        <v>-0.8912900093998953</v>
      </c>
      <c r="K21" s="164">
        <v>-6845.232352649822</v>
      </c>
      <c r="L21" s="165">
        <v>-0.02899482813762211</v>
      </c>
    </row>
    <row r="22">
      <c r="A22" s="54">
        <v>45047.0</v>
      </c>
      <c r="B22" s="164">
        <v>280235.69559610984</v>
      </c>
      <c r="C22" s="164">
        <v>-1962.3409013071223</v>
      </c>
      <c r="D22" s="164">
        <v>-79419.83600635448</v>
      </c>
      <c r="E22" s="164">
        <v>-161696.7249579453</v>
      </c>
      <c r="F22" s="164">
        <v>37156.79373050295</v>
      </c>
      <c r="G22" s="164">
        <v>52.93514413532303</v>
      </c>
      <c r="H22" s="164">
        <v>20.9934735315446</v>
      </c>
      <c r="I22" s="164">
        <v>-243078.9018656069</v>
      </c>
      <c r="J22" s="165">
        <v>-0.8622951812622732</v>
      </c>
      <c r="K22" s="164">
        <v>6724.6460740320035</v>
      </c>
      <c r="L22" s="165">
        <v>0.026807021959476596</v>
      </c>
    </row>
    <row r="23">
      <c r="A23" s="54">
        <v>45017.0</v>
      </c>
      <c r="B23" s="164">
        <v>280235.69559610984</v>
      </c>
      <c r="C23" s="164">
        <v>-1962.3409013071223</v>
      </c>
      <c r="D23" s="164">
        <v>-75182.3819195782</v>
      </c>
      <c r="E23" s="164">
        <v>-172658.82511875356</v>
      </c>
      <c r="F23" s="164">
        <v>30432.14765647096</v>
      </c>
      <c r="G23" s="164">
        <v>53.83499669059364</v>
      </c>
      <c r="H23" s="164">
        <v>19.72786607175781</v>
      </c>
      <c r="I23" s="164">
        <v>-249803.5479396389</v>
      </c>
      <c r="J23" s="165">
        <v>-0.8891022032217498</v>
      </c>
      <c r="K23" s="164">
        <v>-2135.587513897801</v>
      </c>
      <c r="L23" s="165">
        <v>-0.004843629046207831</v>
      </c>
    </row>
    <row r="24">
      <c r="A24" s="54">
        <v>44986.0</v>
      </c>
      <c r="B24" s="164">
        <v>280235.69559610984</v>
      </c>
      <c r="C24" s="164">
        <v>-1962.3409013071223</v>
      </c>
      <c r="D24" s="164">
        <v>-71151.29767180876</v>
      </c>
      <c r="E24" s="164">
        <v>-174554.32185262523</v>
      </c>
      <c r="F24" s="164">
        <v>32567.73517036873</v>
      </c>
      <c r="G24" s="164">
        <v>55.201863134595285</v>
      </c>
      <c r="H24" s="164">
        <v>20.72029492390585</v>
      </c>
      <c r="I24" s="164">
        <v>-247667.9604257411</v>
      </c>
      <c r="J24" s="165">
        <v>-0.884258574175542</v>
      </c>
      <c r="K24" s="164">
        <v>-5487.079488605843</v>
      </c>
      <c r="L24" s="165">
        <v>-0.023197483755256654</v>
      </c>
    </row>
    <row r="25">
      <c r="A25" s="54">
        <v>44958.0</v>
      </c>
      <c r="B25" s="164">
        <v>280235.69559610984</v>
      </c>
      <c r="C25" s="164">
        <v>-1962.3409013071223</v>
      </c>
      <c r="D25" s="164">
        <v>-79764.50956087066</v>
      </c>
      <c r="E25" s="164">
        <v>-160454.0304749575</v>
      </c>
      <c r="F25" s="164">
        <v>38054.814658974574</v>
      </c>
      <c r="G25" s="164">
        <v>53.732955788528336</v>
      </c>
      <c r="H25" s="164">
        <v>22.036767818037948</v>
      </c>
      <c r="I25" s="164">
        <v>-242180.88093713525</v>
      </c>
      <c r="J25" s="165">
        <v>-0.8610610904202853</v>
      </c>
      <c r="K25" s="164">
        <v>-8647.412007981271</v>
      </c>
      <c r="L25" s="165">
        <v>-0.029359734979498953</v>
      </c>
    </row>
    <row r="26">
      <c r="A26" s="54">
        <v>44927.0</v>
      </c>
      <c r="B26" s="164">
        <v>280235.69559610984</v>
      </c>
      <c r="C26" s="164">
        <v>-1962.3409013071223</v>
      </c>
      <c r="D26" s="164">
        <v>-3035.344515571647</v>
      </c>
      <c r="E26" s="164">
        <v>-228535.78351227523</v>
      </c>
      <c r="F26" s="164">
        <v>46702.226666955845</v>
      </c>
      <c r="G26" s="164">
        <v>54.43923019062603</v>
      </c>
      <c r="H26" s="164">
        <v>9.294130807666493</v>
      </c>
      <c r="I26" s="164">
        <v>-233533.46892915398</v>
      </c>
      <c r="J26" s="165">
        <v>-0.8317013554407864</v>
      </c>
      <c r="K26" s="164">
        <v>-22371.02874457842</v>
      </c>
      <c r="L26" s="165">
        <v>-0.0732129771369513</v>
      </c>
    </row>
    <row r="27">
      <c r="A27" s="54">
        <v>44896.0</v>
      </c>
      <c r="B27" s="164">
        <v>280235.69559610984</v>
      </c>
      <c r="C27" s="164">
        <v>-1962.3409013071223</v>
      </c>
      <c r="D27" s="164">
        <v>5768.615275028991</v>
      </c>
      <c r="E27" s="164">
        <v>-214968.71455829742</v>
      </c>
      <c r="F27" s="164">
        <v>69073.2554115343</v>
      </c>
      <c r="G27" s="164">
        <v>56.10827241291721</v>
      </c>
      <c r="H27" s="164">
        <v>13.643220184279551</v>
      </c>
      <c r="I27" s="164">
        <v>-211162.44018457556</v>
      </c>
      <c r="J27" s="165">
        <v>-0.7584883783038351</v>
      </c>
      <c r="K27" s="164">
        <v>-81175.66344571201</v>
      </c>
      <c r="L27" s="165">
        <v>-0.2759342365364451</v>
      </c>
    </row>
    <row r="28">
      <c r="A28" s="54">
        <v>44866.0</v>
      </c>
      <c r="B28" s="164">
        <v>291999.99999999994</v>
      </c>
      <c r="C28" s="164">
        <v>-1939.0069367545923</v>
      </c>
      <c r="D28" s="164">
        <v>4310.3327443073795</v>
      </c>
      <c r="E28" s="164">
        <v>-132358.10254641637</v>
      </c>
      <c r="F28" s="164">
        <v>162013.2232611364</v>
      </c>
      <c r="G28" s="164">
        <v>57.48452891396124</v>
      </c>
      <c r="H28" s="164">
        <v>33.021541950113374</v>
      </c>
      <c r="I28" s="164">
        <v>-129986.77673886355</v>
      </c>
      <c r="J28" s="165">
        <v>-0.48255414176739</v>
      </c>
      <c r="K28" s="164">
        <v>-1414.1141732034448</v>
      </c>
      <c r="L28" s="165">
        <v>-4.6901950791033986E-4</v>
      </c>
    </row>
    <row r="29">
      <c r="A29" s="54">
        <v>44835.0</v>
      </c>
      <c r="B29" s="164">
        <v>291999.99999999994</v>
      </c>
      <c r="C29" s="164">
        <v>-1939.0069367545923</v>
      </c>
      <c r="D29" s="164">
        <v>6206.815994196426</v>
      </c>
      <c r="E29" s="164">
        <v>-132840.47162310197</v>
      </c>
      <c r="F29" s="164">
        <v>163427.33743433983</v>
      </c>
      <c r="G29" s="164">
        <v>57.933764249798486</v>
      </c>
      <c r="H29" s="164">
        <v>33.38162378338673</v>
      </c>
      <c r="I29" s="164">
        <v>-128572.66256566011</v>
      </c>
      <c r="J29" s="165">
        <v>-0.48208512225947964</v>
      </c>
      <c r="K29" s="164">
        <v>11050.934597037092</v>
      </c>
      <c r="L29" s="165">
        <v>0.02236219768558667</v>
      </c>
    </row>
    <row r="30">
      <c r="A30" s="54">
        <v>44805.0</v>
      </c>
      <c r="B30" s="164">
        <v>291999.99999999994</v>
      </c>
      <c r="C30" s="164">
        <v>-1951.7104465482175</v>
      </c>
      <c r="D30" s="164">
        <v>-4184.634839658072</v>
      </c>
      <c r="E30" s="164">
        <v>-133487.2518764909</v>
      </c>
      <c r="F30" s="164">
        <v>152389.9353858489</v>
      </c>
      <c r="G30" s="164">
        <v>56.45637636814121</v>
      </c>
      <c r="H30" s="164">
        <v>31.784695226827594</v>
      </c>
      <c r="I30" s="164">
        <v>-139623.5971626972</v>
      </c>
      <c r="J30" s="165">
        <v>-0.5044473199450663</v>
      </c>
      <c r="K30" s="164">
        <v>-40421.353766746135</v>
      </c>
      <c r="L30" s="165">
        <v>0.022661156325193055</v>
      </c>
    </row>
    <row r="31">
      <c r="A31" s="54">
        <v>44774.0</v>
      </c>
      <c r="B31" s="164">
        <v>197000.0</v>
      </c>
      <c r="C31" s="164">
        <v>-1532.0308276763358</v>
      </c>
      <c r="D31" s="164">
        <v>-20444.985510717568</v>
      </c>
      <c r="E31" s="164">
        <v>-77225.22705755717</v>
      </c>
      <c r="F31" s="164">
        <v>97797.75660404893</v>
      </c>
      <c r="G31" s="164">
        <v>66.57615531626674</v>
      </c>
      <c r="H31" s="164">
        <v>41.52076527318609</v>
      </c>
      <c r="I31" s="164">
        <v>-99202.24339595107</v>
      </c>
      <c r="J31" s="165">
        <v>-0.5271084762702594</v>
      </c>
      <c r="K31" s="164">
        <v>19431.409007061957</v>
      </c>
      <c r="L31" s="165">
        <v>0.18032721372491833</v>
      </c>
    </row>
    <row r="32">
      <c r="A32" s="54">
        <v>44743.0</v>
      </c>
      <c r="B32" s="164">
        <v>170700.0</v>
      </c>
      <c r="C32" s="164">
        <v>-1526.6259547250622</v>
      </c>
      <c r="D32" s="164">
        <v>-24229.34283282014</v>
      </c>
      <c r="E32" s="164">
        <v>-91534.60523428526</v>
      </c>
      <c r="F32" s="164">
        <v>52066.34759698697</v>
      </c>
      <c r="G32" s="164">
        <v>71.44891332932649</v>
      </c>
      <c r="H32" s="164">
        <v>31.552348651531023</v>
      </c>
      <c r="I32" s="164">
        <v>-118633.65240301302</v>
      </c>
      <c r="J32" s="165">
        <v>-0.7074356899951777</v>
      </c>
      <c r="K32" s="164">
        <v>-4291.13240301302</v>
      </c>
      <c r="L32" s="165">
        <v>0.16986431000482227</v>
      </c>
    </row>
    <row r="33">
      <c r="A33" s="54">
        <v>44713.0</v>
      </c>
      <c r="B33" s="164">
        <v>130700.0</v>
      </c>
      <c r="C33" s="164">
        <v>-1368.8953791232839</v>
      </c>
      <c r="D33" s="164">
        <v>-39087.8</v>
      </c>
      <c r="E33" s="164">
        <v>-72447.83</v>
      </c>
      <c r="F33" s="164">
        <v>16357.48</v>
      </c>
      <c r="G33" s="164">
        <v>98.18</v>
      </c>
      <c r="H33" s="164">
        <v>42.56</v>
      </c>
      <c r="I33" s="164">
        <v>-114342.52</v>
      </c>
      <c r="J33" s="165">
        <v>-0.8773</v>
      </c>
      <c r="K33" s="164">
        <v>-95721.89</v>
      </c>
      <c r="L33" s="165">
        <v>-0.7256</v>
      </c>
    </row>
    <row r="34">
      <c r="A34" s="54">
        <v>44682.0</v>
      </c>
      <c r="B34" s="164">
        <v>128000.0</v>
      </c>
      <c r="C34" s="164">
        <v>-1356.938015007654</v>
      </c>
      <c r="D34" s="164">
        <v>739.0</v>
      </c>
      <c r="E34" s="164">
        <v>-16523.37</v>
      </c>
      <c r="F34" s="164">
        <v>109379.37</v>
      </c>
      <c r="G34" s="164">
        <v>99.3</v>
      </c>
      <c r="H34" s="164">
        <v>86.2</v>
      </c>
      <c r="I34" s="164">
        <v>-18620.63</v>
      </c>
      <c r="J34" s="165">
        <v>-0.1517</v>
      </c>
      <c r="K34" s="164">
        <v>-20833.21</v>
      </c>
      <c r="L34" s="165">
        <v>-0.3106</v>
      </c>
    </row>
    <row r="35">
      <c r="A35" s="46">
        <v>44652.0</v>
      </c>
      <c r="B35" s="164">
        <v>14000.0</v>
      </c>
      <c r="C35" s="164">
        <v>-307.0412585692232</v>
      </c>
      <c r="D35" s="164">
        <v>135.78</v>
      </c>
      <c r="E35" s="164">
        <v>2378.11</v>
      </c>
      <c r="F35" s="164">
        <v>16212.58</v>
      </c>
      <c r="G35" s="164">
        <v>92.76</v>
      </c>
      <c r="H35" s="164">
        <v>79.04</v>
      </c>
      <c r="I35" s="164">
        <v>2212.58</v>
      </c>
      <c r="J35" s="165">
        <v>0.1589</v>
      </c>
      <c r="K35" s="164">
        <v>2259.7799999999997</v>
      </c>
      <c r="L35" s="165">
        <v>0.3805</v>
      </c>
    </row>
    <row r="36">
      <c r="A36" s="54">
        <v>44621.0</v>
      </c>
      <c r="B36" s="164">
        <v>213.02</v>
      </c>
      <c r="C36" s="164">
        <v>-7.334737408137676</v>
      </c>
      <c r="D36" s="164">
        <v>-14.9</v>
      </c>
      <c r="E36" s="164">
        <v>-12.86</v>
      </c>
      <c r="F36" s="164">
        <v>165.82</v>
      </c>
      <c r="G36" s="164">
        <v>76.38</v>
      </c>
      <c r="H36" s="164">
        <v>81.81</v>
      </c>
      <c r="I36" s="164">
        <v>-47.2</v>
      </c>
      <c r="J36" s="165">
        <v>-0.2216</v>
      </c>
      <c r="K36" s="164">
        <v>-47.2</v>
      </c>
      <c r="L36" s="165">
        <v>-0.2216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9.88"/>
    <col customWidth="1" min="3" max="3" width="15.75"/>
    <col customWidth="1" min="4" max="4" width="9.75"/>
  </cols>
  <sheetData>
    <row r="1">
      <c r="A1" s="104" t="s">
        <v>67</v>
      </c>
      <c r="B1" s="104" t="s">
        <v>18</v>
      </c>
      <c r="C1" s="104" t="s">
        <v>125</v>
      </c>
      <c r="D1" s="166"/>
    </row>
    <row r="2">
      <c r="A2" s="167" t="str">
        <f t="array" ref="A2:A17">TRANSPOSE(OFFSET(Price!A:AAK,0,1,1))</f>
        <v>EUR to USD</v>
      </c>
      <c r="B2" s="168">
        <v>1.04245</v>
      </c>
      <c r="C2" s="169">
        <v>45654.001359965274</v>
      </c>
      <c r="D2" s="170">
        <f>IFERROR(__xludf.DUMMYFUNCTION("SPLIT(INDEX(IMPORTXML(""https://www.xe.com/en/currencyconverter/convert/?Amount=1000&amp;From=EUR&amp;To=USD""&amp;$D$1,""//p""),3,0),""\t"")/1000"),1.04245)</f>
        <v>1.04245</v>
      </c>
    </row>
    <row r="3">
      <c r="A3" s="171" t="s">
        <v>126</v>
      </c>
      <c r="B3" s="50">
        <v>189.62921962684058</v>
      </c>
      <c r="C3" s="169">
        <v>45654.001359965274</v>
      </c>
      <c r="D3" s="172">
        <f>IFERROR(__xludf.DUMMYFUNCTION("MAXIFS($D:$D,$A:$A,""*(""&amp;INDEX(Wallet!$B2:$B17,MATCH(INDEX(SPLIT($A3,""()""),2),Wallet!$A:$A, 0))&amp;"")"")"),189.62921962684058)</f>
        <v>189.6292196</v>
      </c>
    </row>
    <row r="4">
      <c r="A4" s="171" t="s">
        <v>58</v>
      </c>
      <c r="B4" s="173">
        <v>1.1172895277207393</v>
      </c>
      <c r="C4" s="169">
        <v>45654.001359965274</v>
      </c>
      <c r="D4" s="174">
        <f>MIN(SUMIFS(Wallet!$G:$G,Wallet!$B:$B,"USDC")/FiMsData!$B$2,1+(5.25%/365.25*(TODAY()-DATE(2022,10,4))))</f>
        <v>1.117289528</v>
      </c>
    </row>
    <row r="5">
      <c r="A5" s="171" t="s">
        <v>59</v>
      </c>
      <c r="B5" s="50">
        <v>3.9875293779078125</v>
      </c>
      <c r="C5" s="169">
        <v>45654.001359965274</v>
      </c>
      <c r="D5" s="175">
        <f>IFERROR(__xludf.DUMMYFUNCTION("MAXIFS($D:$D,$A:$A,""*""&amp;INDEX(Wallet!$B:$B,MATCH(INDEX(SPLIT($A5,""()""),2),Wallet!$A:$A, 0))&amp;""*"")"),3.9875293779078125)</f>
        <v>3.987529378</v>
      </c>
    </row>
    <row r="6">
      <c r="A6" s="171" t="s">
        <v>113</v>
      </c>
      <c r="B6" s="176">
        <v>1.2814888386065422</v>
      </c>
      <c r="C6" s="169">
        <v>45654.001359965274</v>
      </c>
      <c r="D6" s="174">
        <f>IF(1,ImportJSON("https://pro-api.coinmarketcap.com/v1/cryptocurrency/quotes/latest?CMC_PRO_API_KEY=2fa02d68-aea8-492f-a91f-d62d65688826&amp;symbol=NEXO"&amp;$D$1,"/data/NEXO/quote/USD/price","noHeaders,noInherit")/$B$2,1.35)</f>
        <v>1.281488839</v>
      </c>
    </row>
    <row r="7">
      <c r="A7" s="171" t="s">
        <v>114</v>
      </c>
      <c r="B7" s="176">
        <v>90459.00906518298</v>
      </c>
      <c r="C7" s="169">
        <v>45654.001359965274</v>
      </c>
      <c r="D7" s="177">
        <f>IFERROR(__xludf.DUMMYFUNCTION("ROUND(INDEX(ImportJSON(""https://api.jup.ag/price/v2?ids=""&amp;INDEX(Token!$C:$C,MATCH(INDEX(SPLIT($A7,""()""),2),Token!$A:$A, 0))&amp;$D$1,,""noHeaders,noInherit""),3),5)/$B$2"),90459.00906518298)</f>
        <v>90459.00907</v>
      </c>
    </row>
    <row r="8">
      <c r="A8" s="171" t="s">
        <v>115</v>
      </c>
      <c r="B8" s="176">
        <v>177.05722096983067</v>
      </c>
      <c r="C8" s="169">
        <v>45654.001359965274</v>
      </c>
      <c r="D8" s="177">
        <f>IFERROR(__xludf.DUMMYFUNCTION("ROUND(INDEX(ImportJSON(""https://api.jup.ag/price/v2?ids=""&amp;INDEX(Token!$C:$C,MATCH(INDEX(SPLIT($A8,""()""),2),Token!$A:$A, 0))&amp;$D$1,,""noHeaders,noInherit""),3),5)/$B$2"),177.05722096983067)</f>
        <v>177.057221</v>
      </c>
    </row>
    <row r="9">
      <c r="A9" s="171" t="s">
        <v>60</v>
      </c>
      <c r="B9" s="176">
        <v>0.7780037411866276</v>
      </c>
      <c r="C9" s="169">
        <v>45654.001359965274</v>
      </c>
      <c r="D9" s="178">
        <f>IFERROR(__xludf.DUMMYFUNCTION("ROUND(INDEX(ImportJSON(""https://api.jup.ag/price/v2?ids=""&amp;INDEX(Token!$C:$C,MATCH(INDEX(SPLIT($A9,""()""),2),Token!$A:$A, 0))&amp;$D$1,,""noHeaders,noInherit""),3),5)/$B$2"),0.7780037411866276)</f>
        <v>0.7780037412</v>
      </c>
    </row>
    <row r="10">
      <c r="A10" s="171" t="s">
        <v>116</v>
      </c>
      <c r="B10" s="176">
        <v>188.97937550961677</v>
      </c>
      <c r="C10" s="169">
        <v>45654.001359965274</v>
      </c>
      <c r="D10" s="177">
        <f>IFERROR(__xludf.DUMMYFUNCTION("ROUND(INDEX(ImportJSON(""https://api.jup.ag/price/v2?ids=""&amp;INDEX(Token!$C:$C,MATCH(INDEX(SPLIT($A10,""()""),2),Token!$A:$A, 0))&amp;$D$1,,""noHeaders,noInherit""),3),5)/$B$2"),188.97937550961677)</f>
        <v>188.9793755</v>
      </c>
    </row>
    <row r="11">
      <c r="A11" s="171" t="s">
        <v>117</v>
      </c>
      <c r="B11" s="176">
        <v>3.9875293779078125</v>
      </c>
      <c r="C11" s="169">
        <v>45654.001359965274</v>
      </c>
      <c r="D11" s="178">
        <f>IFERROR(__xludf.DUMMYFUNCTION("ROUND(INDEX(ImportJSON(""https://api.jup.ag/price/v2?ids=""&amp;INDEX(Token!$C:$C,MATCH(INDEX(SPLIT($A11,""()""),2),Token!$A:$A, 0))&amp;$D$1,,""noHeaders,noInherit""),3),5)/$B$2"),3.9875293779078125)</f>
        <v>3.987529378</v>
      </c>
    </row>
    <row r="12">
      <c r="A12" s="171" t="s">
        <v>118</v>
      </c>
      <c r="B12" s="176">
        <v>189.62921962684058</v>
      </c>
      <c r="C12" s="169">
        <v>45654.001359965274</v>
      </c>
      <c r="D12" s="177">
        <f>IFERROR(__xludf.DUMMYFUNCTION("ROUND(INDEX(ImportJSON(""https://api.jup.ag/price/v2?ids=""&amp;INDEX(Token!$C:$C,MATCH(INDEX(SPLIT($A12,""()""),2),Token!$A:$A, 0))&amp;$D$1,,""noHeaders,noInherit""),3),5)/$B$2"),189.62921962684058)</f>
        <v>189.6292196</v>
      </c>
    </row>
    <row r="13">
      <c r="A13" s="179" t="s">
        <v>119</v>
      </c>
      <c r="B13" s="180">
        <v>0.959278622475898</v>
      </c>
      <c r="C13" s="181">
        <v>45654.001359965274</v>
      </c>
      <c r="D13" s="182">
        <f t="shared" ref="D13:D16" si="1">1/$B$2</f>
        <v>0.9592786225</v>
      </c>
    </row>
    <row r="14">
      <c r="A14" s="171" t="s">
        <v>120</v>
      </c>
      <c r="B14" s="176">
        <v>0.959278622475898</v>
      </c>
      <c r="C14" s="169">
        <v>45654.001359965274</v>
      </c>
      <c r="D14" s="178">
        <f t="shared" si="1"/>
        <v>0.9592786225</v>
      </c>
    </row>
    <row r="15">
      <c r="A15" s="171" t="s">
        <v>121</v>
      </c>
      <c r="B15" s="176">
        <v>0.959278622475898</v>
      </c>
      <c r="C15" s="169">
        <v>45654.001359965274</v>
      </c>
      <c r="D15" s="178">
        <f t="shared" si="1"/>
        <v>0.9592786225</v>
      </c>
    </row>
    <row r="16">
      <c r="A16" s="171" t="s">
        <v>122</v>
      </c>
      <c r="B16" s="176">
        <v>0.959278622475898</v>
      </c>
      <c r="C16" s="169">
        <v>45654.001359965274</v>
      </c>
      <c r="D16" s="178">
        <f t="shared" si="1"/>
        <v>0.9592786225</v>
      </c>
    </row>
    <row r="17">
      <c r="A17" s="171" t="s">
        <v>123</v>
      </c>
      <c r="B17" s="176">
        <v>1.0</v>
      </c>
      <c r="C17" s="169">
        <v>45654.001359965274</v>
      </c>
      <c r="D17" s="183">
        <v>1.0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1.63"/>
  </cols>
  <sheetData>
    <row r="1">
      <c r="A1" s="26" t="str">
        <f>Token!$A2&amp;" minted"</f>
        <v>FSOL minted</v>
      </c>
      <c r="B1" s="30">
        <f>IFERROR(__xludf.DUMMYFUNCTION("SUM(IMPORTRANGE(""https://docs.google.com/spreadsheets/d/1pMnJel8OYtwk1Zu4YgTG3JwmTA-WLIMf6OnCQlSgprU"",""Portfolio!E3:E""))"),1769.4300000000003)</f>
        <v>1769.43</v>
      </c>
    </row>
    <row r="2">
      <c r="A2" s="26" t="str">
        <f>Token!$A3&amp;" minted"</f>
        <v>FiMs minted</v>
      </c>
      <c r="B2" s="30">
        <f>IFERROR(__xludf.DUMMYFUNCTION("SUM(IMPORTRANGE(""https://docs.google.com/spreadsheets/d/1pMnJel8OYtwk1Zu4YgTG3JwmTA-WLIMf6OnCQlSgprU"",""Portfolio!F3:F""))"),58285.0)</f>
        <v>58285</v>
      </c>
    </row>
    <row r="3">
      <c r="A3" s="26" t="str">
        <f>Token!$A4&amp;" minted"</f>
        <v>FLiP minted</v>
      </c>
      <c r="B3" s="30">
        <f>IFERROR(__xludf.DUMMYFUNCTION("SUM(IMPORTRANGE(""https://docs.google.com/spreadsheets/d/1pMnJel8OYtwk1Zu4YgTG3JwmTA-WLIMf6OnCQlSgprU"",""Portfolio!G3:G""))"),19077.93)</f>
        <v>19077.93</v>
      </c>
    </row>
    <row r="4">
      <c r="A4" s="26" t="s">
        <v>127</v>
      </c>
      <c r="B4" s="50">
        <f>IFERROR(__xludf.DUMMYFUNCTION("SUMIF(IMPORTRANGE(""https://docs.google.com/spreadsheets/d/1pMnJel8OYtwk1Zu4YgTG3JwmTA-WLIMf6OnCQlSgprU"",""TransactionsView!E:E""),""&gt;0"")"),20920.36)</f>
        <v>20920.36</v>
      </c>
    </row>
    <row r="5">
      <c r="A5" s="26" t="s">
        <v>128</v>
      </c>
      <c r="B5" s="50">
        <f>IFERROR(__xludf.DUMMYFUNCTION("SUMIF(IMPORTRANGE(""https://docs.google.com/spreadsheets/d/1pMnJel8OYtwk1Zu4YgTG3JwmTA-WLIMf6OnCQlSgprU"",""TransactionsView!E:E""),""&lt;0"")"),-43.61)</f>
        <v>-43.61</v>
      </c>
    </row>
    <row r="6">
      <c r="A6" s="26" t="s">
        <v>129</v>
      </c>
      <c r="B6" s="30">
        <f>IFERROR(__xludf.DUMMYFUNCTION("TRANSPOSE(ARRAYFORMULA(IFERROR(VLOOKUP({""USDC JLP"",""dSOL Drift"",""USD Arb"",""JLP JLP"",""SOL Arb""}, {IMPORTRANGE(""https://docs.google.com/spreadsheets/d/154wqNn-6ywJXnozIQn0DIS5_rcU4XG9a2wO5mu8G5FU"",""Strategy!A:A""), IMPORTRANGE(""https://docs.go"&amp;"ogle.com/spreadsheets/d/154wqNn-6ywJXnozIQn0DIS5_rcU4XG9a2wO5mu8G5FU"",""Strategy!B:B"")}, 2, FALSE)))
)"),1146286.41755632)</f>
        <v>1146286.418</v>
      </c>
    </row>
    <row r="7">
      <c r="A7" s="26" t="s">
        <v>130</v>
      </c>
      <c r="B7" s="30">
        <f>IFERROR(__xludf.DUMMYFUNCTION("""COMPUTED_VALUE"""),1771.1703)</f>
        <v>1771.1703</v>
      </c>
    </row>
    <row r="8">
      <c r="A8" s="26" t="s">
        <v>131</v>
      </c>
      <c r="B8" s="30">
        <f>IFERROR(__xludf.DUMMYFUNCTION("""COMPUTED_VALUE"""),69230.25692824798)</f>
        <v>69230.25693</v>
      </c>
    </row>
    <row r="9">
      <c r="A9" s="26" t="s">
        <v>132</v>
      </c>
      <c r="B9" s="30">
        <f>IFERROR(__xludf.DUMMYFUNCTION("""COMPUTED_VALUE"""),488674.327625)</f>
        <v>488674.3276</v>
      </c>
    </row>
    <row r="10">
      <c r="A10" s="26" t="s">
        <v>133</v>
      </c>
      <c r="B10" s="30">
        <f>IFERROR(__xludf.DUMMYFUNCTION("""COMPUTED_VALUE"""),78.35772617699604)</f>
        <v>78.35772618</v>
      </c>
    </row>
    <row r="11">
      <c r="A11" s="26" t="s">
        <v>134</v>
      </c>
      <c r="B11" s="30">
        <v>0.0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84" t="s">
        <v>135</v>
      </c>
    </row>
    <row r="2">
      <c r="A2" s="184" t="s">
        <v>136</v>
      </c>
    </row>
    <row r="3">
      <c r="A3" s="184" t="s">
        <v>137</v>
      </c>
    </row>
    <row r="4">
      <c r="A4" s="184" t="s">
        <v>138</v>
      </c>
    </row>
    <row r="5">
      <c r="A5" s="184" t="s">
        <v>139</v>
      </c>
    </row>
    <row r="6">
      <c r="A6" s="184" t="s">
        <v>140</v>
      </c>
    </row>
    <row r="7">
      <c r="A7" s="184" t="s">
        <v>141</v>
      </c>
    </row>
    <row r="8">
      <c r="A8" s="184" t="s">
        <v>142</v>
      </c>
    </row>
    <row r="9">
      <c r="A9" s="185">
        <v>44997.63</v>
      </c>
    </row>
    <row r="10">
      <c r="A10" s="184" t="s">
        <v>143</v>
      </c>
    </row>
    <row r="11">
      <c r="A11" s="185">
        <v>10986.28</v>
      </c>
    </row>
    <row r="12">
      <c r="A12" s="184" t="s">
        <v>144</v>
      </c>
    </row>
    <row r="13">
      <c r="A13" s="185">
        <v>34011.36</v>
      </c>
    </row>
    <row r="14">
      <c r="A14" s="184" t="s">
        <v>145</v>
      </c>
    </row>
    <row r="15">
      <c r="A15" s="7">
        <v>0.8286</v>
      </c>
    </row>
    <row r="16">
      <c r="A16" s="184" t="s">
        <v>146</v>
      </c>
    </row>
    <row r="17">
      <c r="A17" s="185">
        <v>33748.23</v>
      </c>
    </row>
    <row r="18">
      <c r="A18" s="184">
        <v>75.0</v>
      </c>
    </row>
    <row r="19">
      <c r="A19" s="184" t="s">
        <v>147</v>
      </c>
    </row>
    <row r="20">
      <c r="A20" s="185">
        <v>35998.11</v>
      </c>
    </row>
    <row r="21">
      <c r="A21" s="184">
        <v>80.0</v>
      </c>
    </row>
    <row r="22">
      <c r="A22" s="184" t="s">
        <v>148</v>
      </c>
    </row>
    <row r="23">
      <c r="A23" s="184" t="s">
        <v>149</v>
      </c>
    </row>
    <row r="24">
      <c r="A24" s="184" t="s">
        <v>150</v>
      </c>
    </row>
    <row r="25">
      <c r="A25" s="184" t="s">
        <v>151</v>
      </c>
    </row>
    <row r="26">
      <c r="A26" s="184" t="s">
        <v>152</v>
      </c>
    </row>
    <row r="27">
      <c r="A27" s="184" t="s">
        <v>153</v>
      </c>
      <c r="B27" s="184" t="s">
        <v>142</v>
      </c>
      <c r="C27" s="184" t="s">
        <v>154</v>
      </c>
      <c r="D27" s="184" t="s">
        <v>155</v>
      </c>
      <c r="E27" s="184" t="s">
        <v>156</v>
      </c>
      <c r="F27" s="184" t="s">
        <v>157</v>
      </c>
    </row>
    <row r="28">
      <c r="A28" s="184" t="s">
        <v>158</v>
      </c>
      <c r="B28" s="26" t="s">
        <v>159</v>
      </c>
      <c r="C28" s="184" t="s">
        <v>160</v>
      </c>
      <c r="D28" s="184" t="s">
        <v>161</v>
      </c>
      <c r="F28" s="184" t="s">
        <v>162</v>
      </c>
    </row>
    <row r="29">
      <c r="A29" s="184" t="s">
        <v>163</v>
      </c>
    </row>
    <row r="30">
      <c r="A30" s="184" t="s">
        <v>153</v>
      </c>
      <c r="B30" s="184" t="s">
        <v>144</v>
      </c>
      <c r="C30" s="184" t="s">
        <v>164</v>
      </c>
      <c r="D30" s="184" t="s">
        <v>155</v>
      </c>
      <c r="E30" s="184" t="s">
        <v>165</v>
      </c>
      <c r="F30" s="184" t="s">
        <v>166</v>
      </c>
    </row>
    <row r="31">
      <c r="A31" s="184" t="s">
        <v>167</v>
      </c>
      <c r="B31" s="26" t="s">
        <v>168</v>
      </c>
      <c r="C31" s="184" t="s">
        <v>169</v>
      </c>
      <c r="D31" s="184" t="s">
        <v>170</v>
      </c>
      <c r="E31" s="184" t="s">
        <v>171</v>
      </c>
      <c r="F31" s="184" t="s">
        <v>172</v>
      </c>
    </row>
    <row r="32">
      <c r="A32" s="184" t="s">
        <v>173</v>
      </c>
    </row>
    <row r="33">
      <c r="A33" s="184" t="s">
        <v>153</v>
      </c>
      <c r="B33" s="184" t="s">
        <v>174</v>
      </c>
      <c r="C33" s="184" t="s">
        <v>175</v>
      </c>
      <c r="D33" s="184" t="s">
        <v>17</v>
      </c>
      <c r="E33" s="184" t="s">
        <v>176</v>
      </c>
      <c r="F33" s="184" t="s">
        <v>177</v>
      </c>
    </row>
    <row r="34">
      <c r="A34" s="184" t="s">
        <v>178</v>
      </c>
      <c r="B34" s="184" t="s">
        <v>179</v>
      </c>
      <c r="C34" s="184" t="s">
        <v>180</v>
      </c>
      <c r="D34" s="184" t="s">
        <v>181</v>
      </c>
      <c r="E34" s="184" t="s">
        <v>182</v>
      </c>
      <c r="F34" s="184" t="s">
        <v>183</v>
      </c>
    </row>
    <row r="35">
      <c r="A35" s="184" t="s">
        <v>178</v>
      </c>
      <c r="B35" s="184" t="s">
        <v>184</v>
      </c>
      <c r="C35" s="184" t="s">
        <v>185</v>
      </c>
      <c r="D35" s="184" t="s">
        <v>186</v>
      </c>
      <c r="E35" s="184" t="s">
        <v>187</v>
      </c>
      <c r="F35" s="184" t="s">
        <v>183</v>
      </c>
    </row>
    <row r="36">
      <c r="A36" s="184" t="s">
        <v>178</v>
      </c>
      <c r="B36" s="184" t="s">
        <v>184</v>
      </c>
      <c r="C36" s="184" t="s">
        <v>185</v>
      </c>
      <c r="D36" s="184" t="s">
        <v>188</v>
      </c>
      <c r="E36" s="184" t="s">
        <v>189</v>
      </c>
      <c r="F36" s="184" t="s">
        <v>183</v>
      </c>
    </row>
    <row r="37">
      <c r="A37" s="184" t="s">
        <v>178</v>
      </c>
      <c r="B37" s="184" t="s">
        <v>190</v>
      </c>
      <c r="C37" s="184" t="s">
        <v>191</v>
      </c>
      <c r="D37" s="184" t="s">
        <v>192</v>
      </c>
      <c r="E37" s="184" t="s">
        <v>193</v>
      </c>
      <c r="F37" s="184" t="s">
        <v>183</v>
      </c>
    </row>
    <row r="38">
      <c r="A38" s="184" t="s">
        <v>178</v>
      </c>
      <c r="B38" s="184" t="s">
        <v>194</v>
      </c>
      <c r="C38" s="184" t="s">
        <v>195</v>
      </c>
      <c r="D38" s="184" t="s">
        <v>196</v>
      </c>
      <c r="E38" s="184" t="s">
        <v>197</v>
      </c>
      <c r="F38" s="184" t="s">
        <v>183</v>
      </c>
    </row>
    <row r="39">
      <c r="A39" s="184" t="s">
        <v>178</v>
      </c>
      <c r="B39" s="184" t="s">
        <v>198</v>
      </c>
      <c r="C39" s="184" t="s">
        <v>199</v>
      </c>
      <c r="D39" s="184" t="s">
        <v>200</v>
      </c>
      <c r="E39" s="184" t="s">
        <v>201</v>
      </c>
      <c r="F39" s="184" t="s">
        <v>183</v>
      </c>
    </row>
    <row r="40">
      <c r="A40" s="184" t="s">
        <v>178</v>
      </c>
      <c r="B40" s="184" t="s">
        <v>202</v>
      </c>
      <c r="C40" s="184" t="s">
        <v>203</v>
      </c>
      <c r="D40" s="184" t="s">
        <v>204</v>
      </c>
      <c r="E40" s="184" t="s">
        <v>205</v>
      </c>
      <c r="F40" s="184" t="s">
        <v>183</v>
      </c>
    </row>
    <row r="41">
      <c r="A41" s="186" t="s">
        <v>206</v>
      </c>
    </row>
    <row r="42">
      <c r="A42" s="184" t="s">
        <v>207</v>
      </c>
    </row>
    <row r="43">
      <c r="A43" s="184" t="s">
        <v>208</v>
      </c>
    </row>
    <row r="44">
      <c r="A44" s="184"/>
    </row>
  </sheetData>
  <hyperlinks>
    <hyperlink r:id="rId1" ref="A4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86" t="s">
        <v>209</v>
      </c>
    </row>
    <row r="2">
      <c r="A2" s="184" t="s">
        <v>210</v>
      </c>
    </row>
    <row r="3">
      <c r="A3" s="185">
        <v>3.81</v>
      </c>
    </row>
    <row r="4">
      <c r="A4" s="185" t="s">
        <v>211</v>
      </c>
    </row>
    <row r="5">
      <c r="A5" s="184" t="s">
        <v>212</v>
      </c>
    </row>
    <row r="6">
      <c r="A6" s="184" t="s">
        <v>213</v>
      </c>
    </row>
    <row r="7">
      <c r="A7" s="185">
        <v>10.02</v>
      </c>
    </row>
    <row r="8">
      <c r="A8" s="187" t="s">
        <v>214</v>
      </c>
    </row>
    <row r="9">
      <c r="A9" s="186" t="s">
        <v>215</v>
      </c>
    </row>
    <row r="10">
      <c r="A10" s="186" t="s">
        <v>137</v>
      </c>
    </row>
    <row r="11">
      <c r="A11" s="186" t="s">
        <v>216</v>
      </c>
    </row>
    <row r="12">
      <c r="A12" s="186" t="s">
        <v>217</v>
      </c>
    </row>
    <row r="13">
      <c r="A13" s="186" t="s">
        <v>218</v>
      </c>
    </row>
    <row r="14">
      <c r="A14" s="186" t="s">
        <v>219</v>
      </c>
    </row>
    <row r="15">
      <c r="A15" s="186" t="s">
        <v>220</v>
      </c>
    </row>
    <row r="16">
      <c r="A16" s="184" t="s">
        <v>221</v>
      </c>
    </row>
    <row r="17">
      <c r="A17" s="186" t="s">
        <v>222</v>
      </c>
    </row>
    <row r="18">
      <c r="A18" s="186" t="s">
        <v>223</v>
      </c>
    </row>
    <row r="19">
      <c r="A19" s="186" t="s">
        <v>224</v>
      </c>
    </row>
    <row r="20">
      <c r="A20" s="184" t="s">
        <v>225</v>
      </c>
    </row>
    <row r="21">
      <c r="A21" s="184" t="s">
        <v>218</v>
      </c>
    </row>
    <row r="22">
      <c r="A22" s="186" t="s">
        <v>226</v>
      </c>
    </row>
    <row r="23">
      <c r="A23" s="184" t="s">
        <v>227</v>
      </c>
    </row>
    <row r="24">
      <c r="A24" s="184" t="s">
        <v>228</v>
      </c>
    </row>
    <row r="25">
      <c r="A25" s="184" t="s">
        <v>229</v>
      </c>
    </row>
    <row r="26">
      <c r="A26" s="184" t="s">
        <v>230</v>
      </c>
    </row>
    <row r="27">
      <c r="A27" s="184" t="s">
        <v>209</v>
      </c>
    </row>
    <row r="28">
      <c r="A28" s="184" t="s">
        <v>231</v>
      </c>
    </row>
    <row r="29">
      <c r="A29" s="184" t="s">
        <v>40</v>
      </c>
    </row>
    <row r="30">
      <c r="A30" s="184" t="s">
        <v>232</v>
      </c>
    </row>
    <row r="31">
      <c r="A31" s="184" t="s">
        <v>233</v>
      </c>
    </row>
    <row r="32">
      <c r="A32" s="184" t="s">
        <v>234</v>
      </c>
    </row>
    <row r="33">
      <c r="A33" s="184" t="s">
        <v>235</v>
      </c>
    </row>
    <row r="34">
      <c r="A34" s="184" t="s">
        <v>236</v>
      </c>
    </row>
    <row r="35">
      <c r="A35" s="184" t="s">
        <v>237</v>
      </c>
    </row>
    <row r="36">
      <c r="A36" s="185" t="s">
        <v>238</v>
      </c>
    </row>
    <row r="37">
      <c r="A37" s="188" t="s">
        <v>239</v>
      </c>
    </row>
    <row r="38">
      <c r="A38" s="189" t="s">
        <v>240</v>
      </c>
    </row>
    <row r="39">
      <c r="A39" s="185" t="s">
        <v>241</v>
      </c>
    </row>
    <row r="40">
      <c r="A40" s="184" t="s">
        <v>242</v>
      </c>
    </row>
    <row r="41">
      <c r="A41" s="184" t="s">
        <v>104</v>
      </c>
    </row>
    <row r="42">
      <c r="A42" s="185" t="s">
        <v>243</v>
      </c>
    </row>
    <row r="43">
      <c r="A43" s="185">
        <v>0.0</v>
      </c>
    </row>
    <row r="44">
      <c r="A44" s="185">
        <v>0.0</v>
      </c>
    </row>
    <row r="45">
      <c r="A45" s="185">
        <v>0.0</v>
      </c>
    </row>
    <row r="46">
      <c r="A46" s="190">
        <v>0.0</v>
      </c>
    </row>
    <row r="47">
      <c r="A47" s="190">
        <v>10.036894</v>
      </c>
    </row>
    <row r="48">
      <c r="A48" s="185">
        <v>10.02</v>
      </c>
    </row>
    <row r="49">
      <c r="A49" s="184" t="s">
        <v>244</v>
      </c>
    </row>
    <row r="50">
      <c r="A50" s="184" t="s">
        <v>245</v>
      </c>
    </row>
    <row r="51">
      <c r="A51" s="184" t="s">
        <v>246</v>
      </c>
    </row>
    <row r="52">
      <c r="A52" s="184" t="s">
        <v>247</v>
      </c>
    </row>
    <row r="53">
      <c r="A53" s="184" t="s">
        <v>248</v>
      </c>
    </row>
    <row r="54">
      <c r="A54" s="184" t="s">
        <v>249</v>
      </c>
    </row>
    <row r="55">
      <c r="A55" s="184" t="s">
        <v>250</v>
      </c>
    </row>
    <row r="56">
      <c r="A56" s="191">
        <v>0.0</v>
      </c>
    </row>
    <row r="57">
      <c r="A57" s="184" t="s">
        <v>251</v>
      </c>
    </row>
    <row r="58">
      <c r="A58" s="184" t="s">
        <v>250</v>
      </c>
    </row>
    <row r="59">
      <c r="A59" s="191">
        <v>0.0</v>
      </c>
    </row>
    <row r="60">
      <c r="A60" s="184" t="s">
        <v>252</v>
      </c>
    </row>
    <row r="61">
      <c r="A61" s="184" t="s">
        <v>250</v>
      </c>
    </row>
    <row r="62">
      <c r="A62" s="191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84" t="s">
        <v>135</v>
      </c>
    </row>
    <row r="2">
      <c r="A2" s="184" t="s">
        <v>253</v>
      </c>
    </row>
    <row r="3">
      <c r="A3" s="184" t="s">
        <v>254</v>
      </c>
    </row>
    <row r="4">
      <c r="A4" s="184" t="s">
        <v>219</v>
      </c>
    </row>
    <row r="5">
      <c r="A5" s="185" t="s">
        <v>255</v>
      </c>
    </row>
    <row r="6">
      <c r="A6" s="184" t="s">
        <v>256</v>
      </c>
    </row>
    <row r="7">
      <c r="A7" s="185" t="s">
        <v>257</v>
      </c>
    </row>
    <row r="8">
      <c r="A8" s="184" t="s">
        <v>258</v>
      </c>
    </row>
    <row r="9">
      <c r="A9" s="184" t="s">
        <v>224</v>
      </c>
    </row>
    <row r="10">
      <c r="A10" s="184" t="s">
        <v>259</v>
      </c>
    </row>
    <row r="11">
      <c r="A11" s="185" t="s">
        <v>260</v>
      </c>
    </row>
    <row r="12">
      <c r="A12" s="185">
        <v>1.705090635E7</v>
      </c>
    </row>
    <row r="13">
      <c r="A13" s="184" t="s">
        <v>261</v>
      </c>
      <c r="C13" s="7"/>
    </row>
    <row r="14">
      <c r="A14" s="185">
        <v>5319233.09</v>
      </c>
      <c r="C14" s="7"/>
    </row>
    <row r="15">
      <c r="A15" s="184" t="s">
        <v>262</v>
      </c>
      <c r="C15" s="7"/>
    </row>
    <row r="16">
      <c r="A16" s="184" t="s">
        <v>263</v>
      </c>
    </row>
    <row r="17">
      <c r="A17" s="185" t="s">
        <v>264</v>
      </c>
    </row>
    <row r="18">
      <c r="A18" s="184" t="s">
        <v>265</v>
      </c>
    </row>
    <row r="19">
      <c r="A19" s="184" t="s">
        <v>266</v>
      </c>
      <c r="C19" s="7"/>
    </row>
    <row r="20">
      <c r="A20" s="185">
        <v>0.0</v>
      </c>
    </row>
    <row r="21">
      <c r="A21" s="184" t="s">
        <v>153</v>
      </c>
      <c r="B21" s="184" t="s">
        <v>267</v>
      </c>
      <c r="C21" s="184" t="s">
        <v>52</v>
      </c>
    </row>
    <row r="22">
      <c r="A22" s="184"/>
      <c r="B22" s="184"/>
      <c r="C22" s="184"/>
      <c r="D22" s="184"/>
    </row>
    <row r="23">
      <c r="A23" s="184" t="s">
        <v>163</v>
      </c>
      <c r="C23" s="7"/>
    </row>
    <row r="24">
      <c r="A24" s="192">
        <v>0.0</v>
      </c>
      <c r="B24" s="7"/>
      <c r="C24" s="191"/>
      <c r="D24" s="191"/>
    </row>
    <row r="25">
      <c r="A25" s="192" t="s">
        <v>153</v>
      </c>
      <c r="B25" s="184" t="s">
        <v>267</v>
      </c>
      <c r="C25" s="184" t="s">
        <v>52</v>
      </c>
    </row>
    <row r="26">
      <c r="A26" s="192"/>
      <c r="B26" s="192"/>
      <c r="C26" s="192"/>
      <c r="D26" s="192"/>
    </row>
    <row r="27">
      <c r="A27" s="192" t="s">
        <v>268</v>
      </c>
      <c r="B27" s="192"/>
      <c r="C27" s="7"/>
      <c r="D27" s="192"/>
    </row>
    <row r="28">
      <c r="A28" s="192" t="s">
        <v>153</v>
      </c>
      <c r="B28" s="192" t="s">
        <v>269</v>
      </c>
      <c r="C28" s="192" t="s">
        <v>270</v>
      </c>
      <c r="D28" s="192" t="s">
        <v>271</v>
      </c>
      <c r="E28" s="184" t="s">
        <v>272</v>
      </c>
      <c r="F28" s="184" t="s">
        <v>164</v>
      </c>
    </row>
    <row r="29">
      <c r="A29" s="184" t="s">
        <v>273</v>
      </c>
      <c r="B29" s="184" t="s">
        <v>274</v>
      </c>
      <c r="C29" s="184" t="s">
        <v>275</v>
      </c>
      <c r="D29" s="184" t="s">
        <v>276</v>
      </c>
      <c r="E29" s="184" t="s">
        <v>277</v>
      </c>
    </row>
    <row r="30">
      <c r="A30" s="185" t="s">
        <v>278</v>
      </c>
      <c r="B30" s="185"/>
      <c r="C30" s="185"/>
      <c r="D30" s="185"/>
    </row>
    <row r="31">
      <c r="A31" s="184" t="s">
        <v>279</v>
      </c>
    </row>
    <row r="32">
      <c r="A32" s="184" t="s">
        <v>280</v>
      </c>
    </row>
    <row r="33">
      <c r="A33" s="184" t="s">
        <v>153</v>
      </c>
      <c r="B33" s="184" t="s">
        <v>269</v>
      </c>
      <c r="C33" s="184" t="s">
        <v>270</v>
      </c>
      <c r="D33" s="184" t="s">
        <v>271</v>
      </c>
      <c r="E33" s="184" t="s">
        <v>272</v>
      </c>
      <c r="F33" s="184" t="s">
        <v>164</v>
      </c>
    </row>
    <row r="34">
      <c r="A34" s="184" t="s">
        <v>281</v>
      </c>
      <c r="B34" s="184" t="s">
        <v>282</v>
      </c>
      <c r="C34" s="184" t="s">
        <v>283</v>
      </c>
      <c r="D34" s="184" t="s">
        <v>284</v>
      </c>
      <c r="E34" s="184" t="s">
        <v>285</v>
      </c>
      <c r="F34" s="184" t="s">
        <v>286</v>
      </c>
    </row>
    <row r="35">
      <c r="A35" s="185" t="s">
        <v>287</v>
      </c>
      <c r="B35" s="184" t="s">
        <v>274</v>
      </c>
      <c r="C35" s="184" t="s">
        <v>288</v>
      </c>
      <c r="D35" s="184" t="s">
        <v>289</v>
      </c>
      <c r="E35" s="184" t="s">
        <v>290</v>
      </c>
      <c r="F35" s="184" t="s">
        <v>291</v>
      </c>
    </row>
    <row r="36">
      <c r="A36" s="185" t="s">
        <v>292</v>
      </c>
      <c r="B36" s="184" t="s">
        <v>274</v>
      </c>
      <c r="C36" s="184" t="s">
        <v>293</v>
      </c>
      <c r="D36" s="184" t="s">
        <v>294</v>
      </c>
      <c r="E36" s="184" t="s">
        <v>295</v>
      </c>
      <c r="F36" s="184" t="s">
        <v>296</v>
      </c>
    </row>
    <row r="37">
      <c r="A37" s="186" t="s">
        <v>297</v>
      </c>
      <c r="B37" s="184"/>
      <c r="C37" s="184"/>
      <c r="D37" s="184"/>
      <c r="E37" s="184"/>
      <c r="F37" s="184"/>
    </row>
    <row r="38">
      <c r="A38" s="192" t="s">
        <v>298</v>
      </c>
      <c r="B38" s="184" t="s">
        <v>274</v>
      </c>
      <c r="C38" s="184" t="s">
        <v>299</v>
      </c>
      <c r="D38" s="184" t="s">
        <v>300</v>
      </c>
      <c r="E38" s="184" t="s">
        <v>301</v>
      </c>
      <c r="F38" s="184" t="s">
        <v>302</v>
      </c>
    </row>
    <row r="39">
      <c r="A39" s="184" t="s">
        <v>303</v>
      </c>
      <c r="B39" s="184" t="s">
        <v>274</v>
      </c>
      <c r="C39" s="184" t="s">
        <v>304</v>
      </c>
      <c r="D39" s="184" t="s">
        <v>305</v>
      </c>
      <c r="E39" s="184" t="s">
        <v>306</v>
      </c>
      <c r="F39" s="184" t="s">
        <v>307</v>
      </c>
    </row>
    <row r="40">
      <c r="A40" s="185" t="s">
        <v>308</v>
      </c>
      <c r="B40" s="184" t="s">
        <v>274</v>
      </c>
      <c r="C40" s="184" t="s">
        <v>309</v>
      </c>
      <c r="D40" s="184" t="s">
        <v>310</v>
      </c>
      <c r="E40" s="184" t="s">
        <v>311</v>
      </c>
      <c r="F40" s="184" t="s">
        <v>312</v>
      </c>
    </row>
    <row r="41">
      <c r="A41" s="185" t="s">
        <v>313</v>
      </c>
      <c r="B41" s="184" t="s">
        <v>274</v>
      </c>
      <c r="C41" s="184" t="s">
        <v>314</v>
      </c>
      <c r="D41" s="184" t="s">
        <v>315</v>
      </c>
      <c r="E41" s="184" t="s">
        <v>316</v>
      </c>
      <c r="F41" s="184" t="s">
        <v>317</v>
      </c>
    </row>
    <row r="42">
      <c r="A42" s="184" t="s">
        <v>318</v>
      </c>
      <c r="B42" s="184" t="s">
        <v>274</v>
      </c>
      <c r="C42" s="184" t="s">
        <v>319</v>
      </c>
      <c r="D42" s="184" t="s">
        <v>320</v>
      </c>
      <c r="E42" s="184" t="s">
        <v>321</v>
      </c>
      <c r="F42" s="184" t="s">
        <v>322</v>
      </c>
    </row>
    <row r="43">
      <c r="A43" s="184" t="s">
        <v>323</v>
      </c>
      <c r="B43" s="184" t="s">
        <v>274</v>
      </c>
      <c r="C43" s="184" t="s">
        <v>324</v>
      </c>
      <c r="D43" s="184" t="s">
        <v>325</v>
      </c>
      <c r="E43" s="184" t="s">
        <v>326</v>
      </c>
      <c r="F43" s="184" t="s">
        <v>327</v>
      </c>
    </row>
    <row r="44">
      <c r="A44" s="184" t="s">
        <v>328</v>
      </c>
      <c r="B44" s="184" t="s">
        <v>274</v>
      </c>
      <c r="C44" s="184" t="s">
        <v>329</v>
      </c>
      <c r="D44" s="184" t="s">
        <v>330</v>
      </c>
      <c r="E44" s="184" t="s">
        <v>331</v>
      </c>
      <c r="F44" s="184" t="s">
        <v>332</v>
      </c>
    </row>
    <row r="45">
      <c r="A45" s="185" t="s">
        <v>333</v>
      </c>
      <c r="B45" s="184" t="s">
        <v>274</v>
      </c>
      <c r="C45" s="184" t="s">
        <v>334</v>
      </c>
      <c r="D45" s="184" t="s">
        <v>335</v>
      </c>
      <c r="E45" s="184" t="s">
        <v>336</v>
      </c>
      <c r="F45" s="184" t="s">
        <v>337</v>
      </c>
    </row>
    <row r="46">
      <c r="A46" s="185" t="s">
        <v>338</v>
      </c>
      <c r="B46" s="184" t="s">
        <v>274</v>
      </c>
      <c r="C46" s="184" t="s">
        <v>339</v>
      </c>
      <c r="D46" s="184" t="s">
        <v>340</v>
      </c>
      <c r="E46" s="184" t="s">
        <v>341</v>
      </c>
      <c r="F46" s="184" t="s">
        <v>342</v>
      </c>
    </row>
    <row r="47">
      <c r="A47" s="186" t="s">
        <v>343</v>
      </c>
      <c r="B47" s="184" t="s">
        <v>274</v>
      </c>
      <c r="C47" s="184" t="s">
        <v>344</v>
      </c>
      <c r="D47" s="184" t="s">
        <v>274</v>
      </c>
      <c r="E47" s="184" t="s">
        <v>345</v>
      </c>
    </row>
    <row r="48">
      <c r="A48" s="186" t="s">
        <v>346</v>
      </c>
      <c r="B48" s="184" t="s">
        <v>274</v>
      </c>
      <c r="C48" s="184" t="s">
        <v>347</v>
      </c>
      <c r="D48" s="184" t="s">
        <v>274</v>
      </c>
      <c r="E48" s="184" t="s">
        <v>348</v>
      </c>
    </row>
    <row r="49">
      <c r="A49" s="186" t="s">
        <v>349</v>
      </c>
      <c r="B49" s="184" t="s">
        <v>274</v>
      </c>
      <c r="C49" s="184" t="s">
        <v>350</v>
      </c>
      <c r="D49" s="184" t="s">
        <v>274</v>
      </c>
      <c r="E49" s="184" t="s">
        <v>351</v>
      </c>
      <c r="F49" s="7"/>
    </row>
    <row r="50">
      <c r="A50" s="184" t="s">
        <v>145</v>
      </c>
      <c r="F50" s="7"/>
    </row>
    <row r="51">
      <c r="A51" s="7">
        <v>0.0</v>
      </c>
      <c r="F51" s="7"/>
    </row>
    <row r="52">
      <c r="A52" s="184" t="s">
        <v>352</v>
      </c>
      <c r="B52" s="191"/>
      <c r="D52" s="7"/>
      <c r="F52" s="7"/>
    </row>
    <row r="53">
      <c r="A53" s="185">
        <v>0.0</v>
      </c>
      <c r="B53" s="191"/>
      <c r="D53" s="7"/>
      <c r="F53" s="7"/>
    </row>
    <row r="54">
      <c r="A54" s="184" t="s">
        <v>353</v>
      </c>
      <c r="B54" s="191"/>
      <c r="D54" s="7"/>
      <c r="F54" s="7"/>
    </row>
    <row r="55">
      <c r="A55" s="184" t="s">
        <v>354</v>
      </c>
      <c r="B55" s="191"/>
      <c r="D55" s="7"/>
      <c r="F55" s="7"/>
    </row>
    <row r="56">
      <c r="A56" s="184" t="s">
        <v>355</v>
      </c>
    </row>
    <row r="57">
      <c r="A57" s="191">
        <v>0.0</v>
      </c>
    </row>
    <row r="58">
      <c r="A58" s="184" t="s">
        <v>356</v>
      </c>
    </row>
    <row r="59">
      <c r="A59" s="7">
        <v>0.95</v>
      </c>
    </row>
    <row r="60">
      <c r="A60" s="184" t="s">
        <v>357</v>
      </c>
    </row>
    <row r="61">
      <c r="A61" s="191">
        <v>0.9</v>
      </c>
    </row>
    <row r="62">
      <c r="A62" s="184" t="s">
        <v>358</v>
      </c>
    </row>
    <row r="63">
      <c r="A63" s="184" t="s">
        <v>359</v>
      </c>
    </row>
    <row r="64">
      <c r="A64" s="184" t="s">
        <v>360</v>
      </c>
    </row>
    <row r="65">
      <c r="A65" s="185" t="s">
        <v>361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86" t="s">
        <v>362</v>
      </c>
    </row>
    <row r="2">
      <c r="A2" s="186" t="s">
        <v>135</v>
      </c>
    </row>
    <row r="3">
      <c r="A3" s="186" t="s">
        <v>363</v>
      </c>
    </row>
    <row r="4">
      <c r="A4" s="186" t="s">
        <v>364</v>
      </c>
    </row>
    <row r="5">
      <c r="A5" s="186" t="s">
        <v>365</v>
      </c>
    </row>
    <row r="6">
      <c r="A6" s="186" t="s">
        <v>366</v>
      </c>
    </row>
    <row r="7">
      <c r="A7" s="186" t="s">
        <v>224</v>
      </c>
    </row>
    <row r="8">
      <c r="A8" s="184" t="s">
        <v>367</v>
      </c>
    </row>
    <row r="9">
      <c r="A9" s="184" t="s">
        <v>368</v>
      </c>
    </row>
    <row r="10">
      <c r="A10" s="184" t="s">
        <v>369</v>
      </c>
    </row>
    <row r="11">
      <c r="A11" s="184" t="s">
        <v>370</v>
      </c>
    </row>
    <row r="12">
      <c r="A12" s="185" t="s">
        <v>371</v>
      </c>
    </row>
    <row r="13">
      <c r="A13" s="184" t="s">
        <v>372</v>
      </c>
    </row>
    <row r="14">
      <c r="A14" s="185" t="s">
        <v>373</v>
      </c>
    </row>
    <row r="15">
      <c r="A15" s="184" t="s">
        <v>374</v>
      </c>
    </row>
    <row r="16">
      <c r="A16" s="184" t="s">
        <v>375</v>
      </c>
    </row>
    <row r="17">
      <c r="A17" s="184" t="s">
        <v>376</v>
      </c>
    </row>
    <row r="18">
      <c r="A18" s="184" t="s">
        <v>377</v>
      </c>
    </row>
    <row r="19">
      <c r="A19" s="186" t="s">
        <v>378</v>
      </c>
    </row>
    <row r="20">
      <c r="A20" s="185" t="s">
        <v>379</v>
      </c>
    </row>
    <row r="21">
      <c r="A21" s="184" t="s">
        <v>380</v>
      </c>
    </row>
    <row r="22">
      <c r="A22" s="184" t="s">
        <v>381</v>
      </c>
      <c r="C22" s="7"/>
    </row>
    <row r="23">
      <c r="A23" s="184" t="s">
        <v>382</v>
      </c>
      <c r="C23" s="7"/>
    </row>
    <row r="24">
      <c r="A24" s="184" t="s">
        <v>383</v>
      </c>
    </row>
    <row r="25">
      <c r="A25" s="185" t="s">
        <v>384</v>
      </c>
    </row>
    <row r="26">
      <c r="A26" s="184" t="s">
        <v>385</v>
      </c>
    </row>
    <row r="27">
      <c r="A27" s="186" t="s">
        <v>386</v>
      </c>
      <c r="C27" s="7"/>
    </row>
    <row r="28">
      <c r="A28" s="184" t="s">
        <v>387</v>
      </c>
    </row>
    <row r="29">
      <c r="A29" s="184" t="s">
        <v>388</v>
      </c>
    </row>
    <row r="30">
      <c r="A30" s="184" t="s">
        <v>389</v>
      </c>
    </row>
    <row r="31">
      <c r="A31" s="184" t="s">
        <v>390</v>
      </c>
      <c r="B31" s="184" t="s">
        <v>391</v>
      </c>
      <c r="C31" s="184" t="s">
        <v>392</v>
      </c>
      <c r="D31" s="184" t="s">
        <v>154</v>
      </c>
      <c r="E31" s="184" t="s">
        <v>393</v>
      </c>
      <c r="F31" s="184" t="s">
        <v>164</v>
      </c>
    </row>
    <row r="32">
      <c r="A32" s="184" t="s">
        <v>394</v>
      </c>
      <c r="B32" s="191">
        <v>0.35</v>
      </c>
      <c r="C32" s="184" t="s">
        <v>395</v>
      </c>
      <c r="D32" s="184" t="s">
        <v>396</v>
      </c>
      <c r="E32" s="184" t="s">
        <v>397</v>
      </c>
      <c r="F32" s="7">
        <v>1.0151</v>
      </c>
    </row>
    <row r="33">
      <c r="A33" s="184" t="s">
        <v>398</v>
      </c>
      <c r="B33" s="191">
        <v>0.75</v>
      </c>
      <c r="C33" s="184" t="s">
        <v>399</v>
      </c>
      <c r="D33" s="7">
        <v>0.0178</v>
      </c>
      <c r="E33" s="184" t="s">
        <v>400</v>
      </c>
      <c r="F33" s="184" t="s">
        <v>401</v>
      </c>
    </row>
    <row r="34">
      <c r="A34" s="184" t="s">
        <v>52</v>
      </c>
      <c r="B34" s="191">
        <v>0.75</v>
      </c>
      <c r="C34" s="184" t="s">
        <v>402</v>
      </c>
      <c r="D34" s="7">
        <v>0.0362</v>
      </c>
      <c r="E34" s="184" t="s">
        <v>403</v>
      </c>
      <c r="F34" s="184" t="s">
        <v>404</v>
      </c>
    </row>
    <row r="35">
      <c r="A35" s="184" t="s">
        <v>405</v>
      </c>
      <c r="B35" s="184" t="s">
        <v>391</v>
      </c>
      <c r="C35" s="184" t="s">
        <v>392</v>
      </c>
      <c r="D35" s="184" t="s">
        <v>154</v>
      </c>
      <c r="E35" s="184" t="s">
        <v>393</v>
      </c>
      <c r="F35" s="184" t="s">
        <v>164</v>
      </c>
    </row>
    <row r="36">
      <c r="A36" s="184" t="s">
        <v>406</v>
      </c>
      <c r="B36" s="191">
        <v>0.35</v>
      </c>
      <c r="C36" s="184" t="s">
        <v>407</v>
      </c>
      <c r="D36" s="184" t="s">
        <v>408</v>
      </c>
      <c r="E36" s="184" t="s">
        <v>409</v>
      </c>
      <c r="F36" s="7">
        <v>1.0336</v>
      </c>
    </row>
    <row r="37">
      <c r="A37" s="184" t="s">
        <v>410</v>
      </c>
      <c r="B37" s="191">
        <v>0.75</v>
      </c>
      <c r="C37" s="184" t="s">
        <v>411</v>
      </c>
      <c r="D37" s="7">
        <v>0.0359</v>
      </c>
      <c r="E37" s="184" t="s">
        <v>412</v>
      </c>
      <c r="F37" s="184" t="s">
        <v>413</v>
      </c>
    </row>
    <row r="38">
      <c r="A38" s="184" t="s">
        <v>414</v>
      </c>
      <c r="B38" s="191">
        <v>0.75</v>
      </c>
      <c r="C38" s="184" t="s">
        <v>415</v>
      </c>
      <c r="D38" s="7">
        <v>0.037</v>
      </c>
      <c r="E38" s="184" t="s">
        <v>416</v>
      </c>
      <c r="F38" s="184" t="s">
        <v>417</v>
      </c>
    </row>
    <row r="39">
      <c r="A39" s="184" t="s">
        <v>418</v>
      </c>
      <c r="B39" s="191">
        <v>0.75</v>
      </c>
      <c r="C39" s="184" t="s">
        <v>419</v>
      </c>
      <c r="D39" s="7">
        <v>0.0553</v>
      </c>
      <c r="E39" s="184" t="s">
        <v>420</v>
      </c>
      <c r="F39" s="184" t="s">
        <v>421</v>
      </c>
    </row>
    <row r="40">
      <c r="A40" s="184" t="s">
        <v>422</v>
      </c>
      <c r="B40" s="191">
        <v>0.75</v>
      </c>
      <c r="C40" s="184" t="s">
        <v>423</v>
      </c>
      <c r="D40" s="7">
        <v>0.0047</v>
      </c>
      <c r="E40" s="184" t="s">
        <v>424</v>
      </c>
      <c r="F40" s="7">
        <v>0.0218</v>
      </c>
    </row>
    <row r="41">
      <c r="A41" s="184" t="s">
        <v>425</v>
      </c>
      <c r="B41" s="191">
        <v>0.75</v>
      </c>
      <c r="C41" s="184" t="s">
        <v>426</v>
      </c>
      <c r="D41" s="7">
        <v>4.0E-4</v>
      </c>
      <c r="E41" s="184" t="s">
        <v>427</v>
      </c>
      <c r="F41" s="7">
        <v>0.0059</v>
      </c>
    </row>
    <row r="42">
      <c r="A42" s="184" t="s">
        <v>428</v>
      </c>
      <c r="B42" s="191">
        <v>0.75</v>
      </c>
      <c r="C42" s="184" t="s">
        <v>429</v>
      </c>
      <c r="D42" s="184" t="s">
        <v>430</v>
      </c>
      <c r="E42" s="184" t="s">
        <v>431</v>
      </c>
      <c r="F42" s="7">
        <v>9.0E-4</v>
      </c>
    </row>
    <row r="43">
      <c r="A43" s="184" t="s">
        <v>432</v>
      </c>
      <c r="B43" s="191">
        <v>0.75</v>
      </c>
      <c r="C43" s="184" t="s">
        <v>433</v>
      </c>
      <c r="D43" s="184" t="s">
        <v>434</v>
      </c>
      <c r="E43" s="184" t="s">
        <v>435</v>
      </c>
      <c r="F43" s="7">
        <v>0.0047</v>
      </c>
    </row>
    <row r="44">
      <c r="A44" s="184" t="s">
        <v>436</v>
      </c>
      <c r="B44" s="191">
        <v>0.65</v>
      </c>
      <c r="C44" s="184" t="s">
        <v>437</v>
      </c>
      <c r="D44" s="7">
        <v>0.0</v>
      </c>
      <c r="E44" s="184" t="s">
        <v>438</v>
      </c>
      <c r="F44" s="7">
        <v>0.0</v>
      </c>
    </row>
    <row r="45">
      <c r="A45" s="184" t="s">
        <v>439</v>
      </c>
      <c r="B45" s="191">
        <v>0.65</v>
      </c>
      <c r="C45" s="184" t="s">
        <v>440</v>
      </c>
      <c r="D45" s="7">
        <v>0.0</v>
      </c>
      <c r="E45" s="184" t="s">
        <v>438</v>
      </c>
      <c r="F45" s="7">
        <v>0.0</v>
      </c>
    </row>
    <row r="46">
      <c r="A46" s="184" t="s">
        <v>441</v>
      </c>
      <c r="B46" s="191">
        <v>0.65</v>
      </c>
      <c r="C46" s="184" t="s">
        <v>442</v>
      </c>
      <c r="D46" s="7">
        <v>0.0626</v>
      </c>
      <c r="E46" s="184" t="s">
        <v>443</v>
      </c>
      <c r="F46" s="7">
        <v>0.1532</v>
      </c>
    </row>
    <row r="47">
      <c r="A47" s="184" t="s">
        <v>444</v>
      </c>
      <c r="B47" s="191">
        <v>0.65</v>
      </c>
      <c r="C47" s="184" t="s">
        <v>445</v>
      </c>
      <c r="D47" s="7">
        <v>0.0244</v>
      </c>
      <c r="E47" s="184" t="s">
        <v>446</v>
      </c>
      <c r="F47" s="7">
        <v>0.0605</v>
      </c>
    </row>
    <row r="48">
      <c r="A48" s="184" t="s">
        <v>447</v>
      </c>
      <c r="B48" s="191">
        <v>0.65</v>
      </c>
      <c r="C48" s="184" t="s">
        <v>448</v>
      </c>
      <c r="D48" s="7">
        <v>5.0E-4</v>
      </c>
      <c r="E48" s="184" t="s">
        <v>449</v>
      </c>
      <c r="F48" s="7">
        <v>0.0084</v>
      </c>
    </row>
    <row r="49">
      <c r="A49" s="184" t="s">
        <v>450</v>
      </c>
      <c r="B49" s="191">
        <v>0.35</v>
      </c>
      <c r="C49" s="184" t="s">
        <v>451</v>
      </c>
      <c r="D49" s="7">
        <v>0.0135</v>
      </c>
      <c r="E49" s="184" t="s">
        <v>452</v>
      </c>
      <c r="F49" s="7">
        <v>0.0712</v>
      </c>
    </row>
    <row r="50">
      <c r="A50" s="184" t="s">
        <v>453</v>
      </c>
      <c r="B50" s="191">
        <v>0.75</v>
      </c>
      <c r="C50" s="184" t="s">
        <v>454</v>
      </c>
      <c r="D50" s="7">
        <v>0.0</v>
      </c>
      <c r="E50" s="184" t="s">
        <v>455</v>
      </c>
      <c r="F50" s="7">
        <v>4.0E-4</v>
      </c>
    </row>
    <row r="51">
      <c r="A51" s="184" t="s">
        <v>456</v>
      </c>
      <c r="B51" s="191">
        <v>0.0</v>
      </c>
      <c r="C51" s="184" t="s">
        <v>457</v>
      </c>
      <c r="D51" s="7">
        <v>0.0025</v>
      </c>
      <c r="E51" s="184" t="s">
        <v>458</v>
      </c>
      <c r="F51" s="7">
        <v>0.0159</v>
      </c>
    </row>
    <row r="52">
      <c r="A52" s="184" t="s">
        <v>459</v>
      </c>
      <c r="B52" s="191">
        <v>0.0</v>
      </c>
      <c r="C52" s="184" t="s">
        <v>460</v>
      </c>
      <c r="D52" s="7">
        <v>7.0E-4</v>
      </c>
      <c r="E52" s="184" t="s">
        <v>461</v>
      </c>
      <c r="F52" s="7">
        <v>0.0104</v>
      </c>
    </row>
    <row r="53">
      <c r="A53" s="184" t="s">
        <v>462</v>
      </c>
      <c r="B53" s="191">
        <v>0.0</v>
      </c>
      <c r="C53" s="184" t="s">
        <v>463</v>
      </c>
      <c r="D53" s="7">
        <v>1.0E-4</v>
      </c>
      <c r="E53" s="184" t="s">
        <v>464</v>
      </c>
      <c r="F53" s="7">
        <v>0.004</v>
      </c>
    </row>
    <row r="54">
      <c r="A54" s="184" t="s">
        <v>465</v>
      </c>
      <c r="B54" s="191">
        <v>0.0</v>
      </c>
      <c r="C54" s="184" t="s">
        <v>466</v>
      </c>
      <c r="D54" s="7">
        <v>3.0E-4</v>
      </c>
      <c r="E54" s="184" t="s">
        <v>467</v>
      </c>
      <c r="F54" s="7">
        <v>0.0104</v>
      </c>
    </row>
    <row r="55">
      <c r="A55" s="184" t="s">
        <v>468</v>
      </c>
      <c r="B55" s="191">
        <v>0.0</v>
      </c>
      <c r="C55" s="184" t="s">
        <v>469</v>
      </c>
      <c r="D55" s="7">
        <v>0.0</v>
      </c>
      <c r="E55" s="184" t="s">
        <v>470</v>
      </c>
      <c r="F55" s="7">
        <v>0.0</v>
      </c>
    </row>
    <row r="56">
      <c r="A56" s="184" t="s">
        <v>471</v>
      </c>
    </row>
    <row r="57">
      <c r="A57" s="184" t="s">
        <v>472</v>
      </c>
    </row>
    <row r="58">
      <c r="A58" s="184" t="s">
        <v>473</v>
      </c>
    </row>
    <row r="59">
      <c r="A59" s="184" t="s">
        <v>474</v>
      </c>
    </row>
    <row r="60">
      <c r="A60" s="184" t="s">
        <v>475</v>
      </c>
    </row>
    <row r="61">
      <c r="A61" s="184" t="s">
        <v>476</v>
      </c>
    </row>
    <row r="62">
      <c r="A62" s="185" t="s">
        <v>477</v>
      </c>
    </row>
    <row r="63">
      <c r="A63" s="185">
        <v>1586.01</v>
      </c>
    </row>
    <row r="64">
      <c r="A64" s="185" t="s">
        <v>478</v>
      </c>
    </row>
    <row r="65">
      <c r="A65" s="185">
        <v>1797.48</v>
      </c>
      <c r="B65" s="184" t="s">
        <v>267</v>
      </c>
    </row>
    <row r="66">
      <c r="A66" s="184" t="s">
        <v>479</v>
      </c>
      <c r="B66" s="184" t="s">
        <v>267</v>
      </c>
    </row>
    <row r="67">
      <c r="A67" s="26" t="s">
        <v>480</v>
      </c>
      <c r="B67" s="26" t="s">
        <v>481</v>
      </c>
    </row>
    <row r="68">
      <c r="A68" s="184" t="s">
        <v>482</v>
      </c>
      <c r="B68" s="184" t="s">
        <v>267</v>
      </c>
    </row>
    <row r="69">
      <c r="A69" s="184"/>
      <c r="B69" s="184"/>
    </row>
    <row r="70">
      <c r="A70" s="184" t="s">
        <v>483</v>
      </c>
      <c r="B70" s="184" t="s">
        <v>267</v>
      </c>
    </row>
    <row r="71">
      <c r="A71" s="184" t="s">
        <v>410</v>
      </c>
      <c r="B71" s="184" t="s">
        <v>484</v>
      </c>
    </row>
    <row r="72">
      <c r="A72" s="184" t="s">
        <v>485</v>
      </c>
      <c r="B72" s="184" t="s">
        <v>486</v>
      </c>
    </row>
    <row r="73">
      <c r="A73" s="186" t="s">
        <v>370</v>
      </c>
      <c r="B73" s="184" t="s">
        <v>487</v>
      </c>
    </row>
    <row r="74">
      <c r="A74" s="186" t="s">
        <v>371</v>
      </c>
    </row>
    <row r="75">
      <c r="A75" s="186" t="s">
        <v>372</v>
      </c>
    </row>
    <row r="76">
      <c r="A76" s="186" t="s">
        <v>373</v>
      </c>
    </row>
    <row r="77">
      <c r="A77" s="186" t="s">
        <v>374</v>
      </c>
    </row>
    <row r="78">
      <c r="A78" s="186" t="s">
        <v>375</v>
      </c>
    </row>
    <row r="79">
      <c r="A79" s="186" t="s">
        <v>376</v>
      </c>
    </row>
    <row r="80">
      <c r="A80" s="186" t="s">
        <v>377</v>
      </c>
    </row>
    <row r="81">
      <c r="A81" s="186" t="s">
        <v>488</v>
      </c>
    </row>
    <row r="82">
      <c r="A82" s="186" t="s">
        <v>489</v>
      </c>
    </row>
    <row r="83">
      <c r="A83" s="186" t="s">
        <v>490</v>
      </c>
    </row>
    <row r="84">
      <c r="A84" s="186" t="s">
        <v>491</v>
      </c>
    </row>
    <row r="85">
      <c r="A85" s="186" t="s">
        <v>492</v>
      </c>
    </row>
    <row r="86">
      <c r="A86" s="186" t="s">
        <v>493</v>
      </c>
    </row>
    <row r="87">
      <c r="A87" s="186" t="s">
        <v>494</v>
      </c>
    </row>
    <row r="88">
      <c r="A88" s="186" t="s">
        <v>495</v>
      </c>
    </row>
    <row r="89">
      <c r="A89" s="186" t="s">
        <v>496</v>
      </c>
    </row>
    <row r="90">
      <c r="A90" s="184" t="s">
        <v>497</v>
      </c>
    </row>
    <row r="91">
      <c r="A91" s="186" t="s">
        <v>498</v>
      </c>
    </row>
    <row r="92">
      <c r="A92" s="186" t="s">
        <v>499</v>
      </c>
    </row>
    <row r="93">
      <c r="A93" s="186" t="s">
        <v>500</v>
      </c>
    </row>
    <row r="94">
      <c r="A94" s="186" t="s">
        <v>501</v>
      </c>
    </row>
    <row r="95">
      <c r="A95" s="186" t="s">
        <v>502</v>
      </c>
    </row>
    <row r="96">
      <c r="A96" s="184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93" t="str">
        <f>SUBSTITUTE(SUBSTITUTE('_Apricot'!A42,"K",),".",)*1</f>
        <v>#VALUE!</v>
      </c>
      <c r="B1" s="56" t="str">
        <f>IFERROR(__xludf.DUMMYFUNCTION("INDEX(SPLIT('_Apricot'!$C34,"" 
""),2)"),"$1.41M")</f>
        <v>$1.41M</v>
      </c>
      <c r="C1" s="56" t="str">
        <f>IFERROR(__xludf.DUMMYFUNCTION("SUBSTITUTE(INDEX(SPLIT('_Apricot'!$C38,"" 
""),2),""−"",""-"")*1"),"#VALUE!")</f>
        <v>#VALUE!</v>
      </c>
      <c r="D1" s="194" t="str">
        <f t="shared" ref="D1:D22" si="1">A1*$B$5*$C$5*(1-0.075%)</f>
        <v>#VALUE!</v>
      </c>
      <c r="E1" s="194" t="str">
        <f t="shared" ref="E1:E21" si="2">D2-D1</f>
        <v>#VALUE!</v>
      </c>
      <c r="F1" s="194" t="str">
        <f t="shared" ref="F1:F22" si="3">D1/A2</f>
        <v>#VALUE!</v>
      </c>
      <c r="H1" s="26" t="s">
        <v>503</v>
      </c>
      <c r="I1" s="7"/>
    </row>
    <row r="2">
      <c r="A2" s="167" t="str">
        <f t="shared" ref="A2:A23" si="4">$A$1+D1</f>
        <v>#VALUE!</v>
      </c>
      <c r="B2" s="56" t="str">
        <f>IFERROR(__xludf.DUMMYFUNCTION("INDEX(SPLIT('_Apricot'!$C34,"" 
""),4)"),"#REF!")</f>
        <v>#REF!</v>
      </c>
      <c r="C2" s="56" t="str">
        <f>IFERROR(__xludf.DUMMYFUNCTION("INDEX(SPLIT('_Apricot'!$C38,"" 
""),4)"),"#REF!")</f>
        <v>#REF!</v>
      </c>
      <c r="D2" s="194" t="str">
        <f t="shared" si="1"/>
        <v>#VALUE!</v>
      </c>
      <c r="E2" s="194" t="str">
        <f t="shared" si="2"/>
        <v>#VALUE!</v>
      </c>
      <c r="F2" s="194" t="str">
        <f t="shared" si="3"/>
        <v>#VALUE!</v>
      </c>
      <c r="G2" s="26" t="s">
        <v>504</v>
      </c>
      <c r="H2" s="194" t="str">
        <f>$A$1*$B1</f>
        <v>#VALUE!</v>
      </c>
      <c r="I2" s="7" t="str">
        <f t="shared" ref="I2:I3" si="6">$H2/$A$1</f>
        <v>#VALUE!</v>
      </c>
    </row>
    <row r="3">
      <c r="A3" s="167" t="str">
        <f t="shared" si="4"/>
        <v>#VALUE!</v>
      </c>
      <c r="B3" s="56" t="str">
        <f t="shared" ref="B3:C3" si="5">B1+B2</f>
        <v>#REF!</v>
      </c>
      <c r="C3" s="56" t="str">
        <f t="shared" si="5"/>
        <v>#VALUE!</v>
      </c>
      <c r="D3" s="194" t="str">
        <f t="shared" si="1"/>
        <v>#VALUE!</v>
      </c>
      <c r="E3" s="194" t="str">
        <f t="shared" si="2"/>
        <v>#VALUE!</v>
      </c>
      <c r="F3" s="194" t="str">
        <f t="shared" si="3"/>
        <v>#VALUE!</v>
      </c>
      <c r="G3" s="26" t="s">
        <v>505</v>
      </c>
      <c r="H3" s="194" t="str">
        <f>$A$1*$B3</f>
        <v>#VALUE!</v>
      </c>
      <c r="I3" s="7" t="str">
        <f t="shared" si="6"/>
        <v>#VALUE!</v>
      </c>
    </row>
    <row r="4">
      <c r="A4" s="167" t="str">
        <f t="shared" si="4"/>
        <v>#VALUE!</v>
      </c>
      <c r="D4" s="194" t="str">
        <f t="shared" si="1"/>
        <v>#VALUE!</v>
      </c>
      <c r="E4" s="194" t="str">
        <f t="shared" si="2"/>
        <v>#VALUE!</v>
      </c>
      <c r="F4" s="194" t="str">
        <f t="shared" si="3"/>
        <v>#VALUE!</v>
      </c>
      <c r="I4" s="7"/>
    </row>
    <row r="5">
      <c r="A5" s="167" t="str">
        <f t="shared" si="4"/>
        <v>#VALUE!</v>
      </c>
      <c r="B5" s="195">
        <v>0.812</v>
      </c>
      <c r="C5" s="195">
        <v>1.0</v>
      </c>
      <c r="D5" s="194" t="str">
        <f t="shared" si="1"/>
        <v>#VALUE!</v>
      </c>
      <c r="E5" s="194" t="str">
        <f t="shared" si="2"/>
        <v>#VALUE!</v>
      </c>
      <c r="F5" s="194" t="str">
        <f t="shared" si="3"/>
        <v>#VALUE!</v>
      </c>
      <c r="H5" s="26" t="s">
        <v>506</v>
      </c>
      <c r="I5" s="7"/>
    </row>
    <row r="6">
      <c r="A6" s="167" t="str">
        <f t="shared" si="4"/>
        <v>#VALUE!</v>
      </c>
      <c r="D6" s="194" t="str">
        <f t="shared" si="1"/>
        <v>#VALUE!</v>
      </c>
      <c r="E6" s="194" t="str">
        <f t="shared" si="2"/>
        <v>#VALUE!</v>
      </c>
      <c r="F6" s="194" t="str">
        <f t="shared" si="3"/>
        <v>#VALUE!</v>
      </c>
      <c r="G6" s="26" t="s">
        <v>504</v>
      </c>
      <c r="H6" s="167" t="str">
        <f>MAXIFS($A:$A,$F:$F,"&lt;"&amp;$B$5)*$B1+MAXIFS($D:$D,$F:$F,"&lt;"&amp;$B$5)*$C1</f>
        <v>#VALUE!</v>
      </c>
      <c r="I6" s="7" t="str">
        <f t="shared" ref="I6:I7" si="7">$H6/$A$1</f>
        <v>#VALUE!</v>
      </c>
    </row>
    <row r="7">
      <c r="A7" s="167" t="str">
        <f t="shared" si="4"/>
        <v>#VALUE!</v>
      </c>
      <c r="D7" s="194" t="str">
        <f t="shared" si="1"/>
        <v>#VALUE!</v>
      </c>
      <c r="E7" s="194" t="str">
        <f t="shared" si="2"/>
        <v>#VALUE!</v>
      </c>
      <c r="F7" s="194" t="str">
        <f t="shared" si="3"/>
        <v>#VALUE!</v>
      </c>
      <c r="G7" s="26" t="s">
        <v>505</v>
      </c>
      <c r="H7" s="167" t="str">
        <f>MAXIFS($A:$A,$F:$F,"&lt;"&amp;$B$5)*$B3+MAXIFS($D:$D,$F:$F,"&lt;"&amp;$B$5)*$C3</f>
        <v>#REF!</v>
      </c>
      <c r="I7" s="7" t="str">
        <f t="shared" si="7"/>
        <v>#REF!</v>
      </c>
    </row>
    <row r="8">
      <c r="A8" s="167" t="str">
        <f t="shared" si="4"/>
        <v>#VALUE!</v>
      </c>
      <c r="D8" s="194" t="str">
        <f t="shared" si="1"/>
        <v>#VALUE!</v>
      </c>
      <c r="E8" s="194" t="str">
        <f t="shared" si="2"/>
        <v>#VALUE!</v>
      </c>
      <c r="F8" s="194" t="str">
        <f t="shared" si="3"/>
        <v>#VALUE!</v>
      </c>
      <c r="I8" s="7"/>
    </row>
    <row r="9">
      <c r="A9" s="167" t="str">
        <f t="shared" si="4"/>
        <v>#VALUE!</v>
      </c>
      <c r="D9" s="194" t="str">
        <f t="shared" si="1"/>
        <v>#VALUE!</v>
      </c>
      <c r="E9" s="194" t="str">
        <f t="shared" si="2"/>
        <v>#VALUE!</v>
      </c>
      <c r="F9" s="194" t="str">
        <f t="shared" si="3"/>
        <v>#VALUE!</v>
      </c>
      <c r="I9" s="7"/>
    </row>
    <row r="10">
      <c r="A10" s="167" t="str">
        <f t="shared" si="4"/>
        <v>#VALUE!</v>
      </c>
      <c r="D10" s="194" t="str">
        <f t="shared" si="1"/>
        <v>#VALUE!</v>
      </c>
      <c r="E10" s="194" t="str">
        <f t="shared" si="2"/>
        <v>#VALUE!</v>
      </c>
      <c r="F10" s="194" t="str">
        <f t="shared" si="3"/>
        <v>#VALUE!</v>
      </c>
      <c r="I10" s="7"/>
    </row>
    <row r="11">
      <c r="A11" s="167" t="str">
        <f t="shared" si="4"/>
        <v>#VALUE!</v>
      </c>
      <c r="D11" s="194" t="str">
        <f t="shared" si="1"/>
        <v>#VALUE!</v>
      </c>
      <c r="E11" s="194" t="str">
        <f t="shared" si="2"/>
        <v>#VALUE!</v>
      </c>
      <c r="F11" s="194" t="str">
        <f t="shared" si="3"/>
        <v>#VALUE!</v>
      </c>
      <c r="I11" s="7"/>
    </row>
    <row r="12">
      <c r="A12" s="167" t="str">
        <f t="shared" si="4"/>
        <v>#VALUE!</v>
      </c>
      <c r="D12" s="194" t="str">
        <f t="shared" si="1"/>
        <v>#VALUE!</v>
      </c>
      <c r="E12" s="194" t="str">
        <f t="shared" si="2"/>
        <v>#VALUE!</v>
      </c>
      <c r="F12" s="194" t="str">
        <f t="shared" si="3"/>
        <v>#VALUE!</v>
      </c>
      <c r="I12" s="7"/>
    </row>
    <row r="13">
      <c r="A13" s="167" t="str">
        <f t="shared" si="4"/>
        <v>#VALUE!</v>
      </c>
      <c r="D13" s="194" t="str">
        <f t="shared" si="1"/>
        <v>#VALUE!</v>
      </c>
      <c r="E13" s="194" t="str">
        <f t="shared" si="2"/>
        <v>#VALUE!</v>
      </c>
      <c r="F13" s="194" t="str">
        <f t="shared" si="3"/>
        <v>#VALUE!</v>
      </c>
      <c r="I13" s="7"/>
    </row>
    <row r="14">
      <c r="A14" s="167" t="str">
        <f t="shared" si="4"/>
        <v>#VALUE!</v>
      </c>
      <c r="D14" s="194" t="str">
        <f t="shared" si="1"/>
        <v>#VALUE!</v>
      </c>
      <c r="E14" s="194" t="str">
        <f t="shared" si="2"/>
        <v>#VALUE!</v>
      </c>
      <c r="F14" s="194" t="str">
        <f t="shared" si="3"/>
        <v>#VALUE!</v>
      </c>
      <c r="I14" s="7"/>
    </row>
    <row r="15">
      <c r="A15" s="167" t="str">
        <f t="shared" si="4"/>
        <v>#VALUE!</v>
      </c>
      <c r="D15" s="194" t="str">
        <f t="shared" si="1"/>
        <v>#VALUE!</v>
      </c>
      <c r="E15" s="194" t="str">
        <f t="shared" si="2"/>
        <v>#VALUE!</v>
      </c>
      <c r="F15" s="194" t="str">
        <f t="shared" si="3"/>
        <v>#VALUE!</v>
      </c>
      <c r="I15" s="7"/>
    </row>
    <row r="16">
      <c r="A16" s="167" t="str">
        <f t="shared" si="4"/>
        <v>#VALUE!</v>
      </c>
      <c r="D16" s="194" t="str">
        <f t="shared" si="1"/>
        <v>#VALUE!</v>
      </c>
      <c r="E16" s="194" t="str">
        <f t="shared" si="2"/>
        <v>#VALUE!</v>
      </c>
      <c r="F16" s="194" t="str">
        <f t="shared" si="3"/>
        <v>#VALUE!</v>
      </c>
      <c r="I16" s="7"/>
    </row>
    <row r="17">
      <c r="A17" s="167" t="str">
        <f t="shared" si="4"/>
        <v>#VALUE!</v>
      </c>
      <c r="D17" s="194" t="str">
        <f t="shared" si="1"/>
        <v>#VALUE!</v>
      </c>
      <c r="E17" s="194" t="str">
        <f t="shared" si="2"/>
        <v>#VALUE!</v>
      </c>
      <c r="F17" s="194" t="str">
        <f t="shared" si="3"/>
        <v>#VALUE!</v>
      </c>
      <c r="I17" s="7"/>
    </row>
    <row r="18">
      <c r="A18" s="167" t="str">
        <f t="shared" si="4"/>
        <v>#VALUE!</v>
      </c>
      <c r="D18" s="194" t="str">
        <f t="shared" si="1"/>
        <v>#VALUE!</v>
      </c>
      <c r="E18" s="194" t="str">
        <f t="shared" si="2"/>
        <v>#VALUE!</v>
      </c>
      <c r="F18" s="194" t="str">
        <f t="shared" si="3"/>
        <v>#VALUE!</v>
      </c>
      <c r="I18" s="7"/>
    </row>
    <row r="19">
      <c r="A19" s="167" t="str">
        <f t="shared" si="4"/>
        <v>#VALUE!</v>
      </c>
      <c r="D19" s="194" t="str">
        <f t="shared" si="1"/>
        <v>#VALUE!</v>
      </c>
      <c r="E19" s="194" t="str">
        <f t="shared" si="2"/>
        <v>#VALUE!</v>
      </c>
      <c r="F19" s="194" t="str">
        <f t="shared" si="3"/>
        <v>#VALUE!</v>
      </c>
      <c r="I19" s="7"/>
    </row>
    <row r="20">
      <c r="A20" s="167" t="str">
        <f t="shared" si="4"/>
        <v>#VALUE!</v>
      </c>
      <c r="D20" s="194" t="str">
        <f t="shared" si="1"/>
        <v>#VALUE!</v>
      </c>
      <c r="E20" s="194" t="str">
        <f t="shared" si="2"/>
        <v>#VALUE!</v>
      </c>
      <c r="F20" s="194" t="str">
        <f t="shared" si="3"/>
        <v>#VALUE!</v>
      </c>
      <c r="I20" s="7"/>
    </row>
    <row r="21">
      <c r="A21" s="167" t="str">
        <f t="shared" si="4"/>
        <v>#VALUE!</v>
      </c>
      <c r="D21" s="194" t="str">
        <f t="shared" si="1"/>
        <v>#VALUE!</v>
      </c>
      <c r="E21" s="194" t="str">
        <f t="shared" si="2"/>
        <v>#VALUE!</v>
      </c>
      <c r="F21" s="194" t="str">
        <f t="shared" si="3"/>
        <v>#VALUE!</v>
      </c>
      <c r="I21" s="7"/>
    </row>
    <row r="22">
      <c r="A22" s="167" t="str">
        <f t="shared" si="4"/>
        <v>#VALUE!</v>
      </c>
      <c r="D22" s="194" t="str">
        <f t="shared" si="1"/>
        <v>#VALUE!</v>
      </c>
      <c r="F22" s="194" t="str">
        <f t="shared" si="3"/>
        <v>#VALUE!</v>
      </c>
      <c r="I22" s="7"/>
    </row>
    <row r="23">
      <c r="A23" s="167" t="str">
        <f t="shared" si="4"/>
        <v>#VALUE!</v>
      </c>
      <c r="I23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26"/>
      <c r="B1" s="23" t="s">
        <v>1</v>
      </c>
      <c r="C1" s="23" t="s">
        <v>507</v>
      </c>
      <c r="D1" s="23" t="s">
        <v>508</v>
      </c>
      <c r="E1" s="23" t="s">
        <v>509</v>
      </c>
      <c r="F1" s="23" t="s">
        <v>510</v>
      </c>
      <c r="G1" s="196" t="s">
        <v>511</v>
      </c>
      <c r="H1" s="197" t="s">
        <v>512</v>
      </c>
      <c r="I1" s="197" t="s">
        <v>28</v>
      </c>
      <c r="J1" s="197" t="s">
        <v>513</v>
      </c>
      <c r="K1" s="197" t="s">
        <v>514</v>
      </c>
    </row>
    <row r="2">
      <c r="A2" s="26" t="s">
        <v>515</v>
      </c>
      <c r="B2" s="198">
        <f>HLOOKUP("*("&amp;B$1&amp;")*",Price!$A:$CI,2,0)</f>
        <v>177.057221</v>
      </c>
      <c r="C2" s="198">
        <f>$B$2*94.85/91.15</f>
        <v>184.2444038</v>
      </c>
      <c r="D2" s="198">
        <f>$B$2*95.69/91.15</f>
        <v>185.8760886</v>
      </c>
      <c r="E2" s="198">
        <f>$B$2*94.58/91.15</f>
        <v>183.7199337</v>
      </c>
      <c r="F2" s="26" t="str">
        <f>HLOOKUP("*("&amp;F$1&amp;")*",Price!$A:$CI,2,0)</f>
        <v>#N/A</v>
      </c>
      <c r="G2" s="199">
        <f t="shared" ref="G2:I2" si="1">$B$2</f>
        <v>177.057221</v>
      </c>
      <c r="H2" s="198">
        <f t="shared" si="1"/>
        <v>177.057221</v>
      </c>
      <c r="I2" s="198">
        <f t="shared" si="1"/>
        <v>177.057221</v>
      </c>
      <c r="J2" s="26" t="str">
        <f>$F$2</f>
        <v>#N/A</v>
      </c>
      <c r="K2" s="198">
        <f>$B$2</f>
        <v>177.057221</v>
      </c>
    </row>
    <row r="3">
      <c r="A3" s="26" t="s">
        <v>516</v>
      </c>
      <c r="B3" s="26">
        <v>117.36</v>
      </c>
      <c r="C3" s="26">
        <v>121.31</v>
      </c>
      <c r="D3" s="26">
        <v>120.31</v>
      </c>
      <c r="E3" s="26">
        <v>120.31</v>
      </c>
      <c r="F3" s="26">
        <v>1.0E-4</v>
      </c>
      <c r="G3" s="200">
        <v>84.6</v>
      </c>
      <c r="H3" s="26">
        <v>27.0</v>
      </c>
      <c r="I3" s="26">
        <v>81.54</v>
      </c>
      <c r="J3" s="26">
        <v>73.15</v>
      </c>
      <c r="K3" s="26">
        <v>80.0</v>
      </c>
    </row>
    <row r="4">
      <c r="A4" s="201" t="s">
        <v>517</v>
      </c>
      <c r="B4" s="202">
        <f t="shared" ref="B4:K4" si="2">IF(B2&lt;B3,(B3-B2)/B2,(B2-B3)/B3)</f>
        <v>0.508667527</v>
      </c>
      <c r="C4" s="202">
        <f t="shared" si="2"/>
        <v>0.5187899087</v>
      </c>
      <c r="D4" s="202">
        <f t="shared" si="2"/>
        <v>0.5449762163</v>
      </c>
      <c r="E4" s="202">
        <f t="shared" si="2"/>
        <v>0.5270545568</v>
      </c>
      <c r="F4" s="202" t="str">
        <f t="shared" si="2"/>
        <v>#N/A</v>
      </c>
      <c r="G4" s="203">
        <f t="shared" si="2"/>
        <v>1.092874952</v>
      </c>
      <c r="H4" s="202">
        <f t="shared" si="2"/>
        <v>5.557674851</v>
      </c>
      <c r="I4" s="202">
        <f t="shared" si="2"/>
        <v>1.171415513</v>
      </c>
      <c r="J4" s="202" t="str">
        <f t="shared" si="2"/>
        <v>#N/A</v>
      </c>
      <c r="K4" s="202">
        <f t="shared" si="2"/>
        <v>1.213215262</v>
      </c>
    </row>
    <row r="5">
      <c r="A5" s="26" t="s">
        <v>518</v>
      </c>
      <c r="B5" s="56">
        <v>0.2731</v>
      </c>
      <c r="C5" s="56">
        <v>0.2156</v>
      </c>
      <c r="D5" s="56">
        <v>0.1678</v>
      </c>
      <c r="E5" s="56">
        <v>0.2108</v>
      </c>
      <c r="F5" s="56">
        <v>0.1692</v>
      </c>
      <c r="G5" s="58">
        <v>0.246</v>
      </c>
      <c r="H5" s="56">
        <v>0.1964</v>
      </c>
      <c r="I5" s="56">
        <v>-0.0077</v>
      </c>
      <c r="J5" s="56">
        <v>0.1892</v>
      </c>
      <c r="K5" s="56">
        <v>0.0</v>
      </c>
    </row>
    <row r="6">
      <c r="A6" s="26" t="s">
        <v>220</v>
      </c>
      <c r="B6" s="56">
        <v>0.0</v>
      </c>
      <c r="C6" s="56">
        <v>0.0606</v>
      </c>
      <c r="D6" s="56">
        <v>0.0484</v>
      </c>
      <c r="E6" s="56">
        <v>0.065</v>
      </c>
      <c r="F6" s="56">
        <v>0.0</v>
      </c>
      <c r="G6" s="58">
        <v>0.0</v>
      </c>
      <c r="H6" s="56">
        <v>0.0509</v>
      </c>
      <c r="I6" s="56">
        <v>0.0</v>
      </c>
      <c r="J6" s="56">
        <v>0.0</v>
      </c>
      <c r="K6" s="195">
        <v>0.0</v>
      </c>
    </row>
    <row r="7">
      <c r="A7" s="201" t="s">
        <v>519</v>
      </c>
      <c r="B7" s="202">
        <f t="shared" ref="B7:K7" si="3">(B5+B6)*B4</f>
        <v>0.1389171016</v>
      </c>
      <c r="C7" s="202">
        <f t="shared" si="3"/>
        <v>0.1432897728</v>
      </c>
      <c r="D7" s="202">
        <f t="shared" si="3"/>
        <v>0.117823858</v>
      </c>
      <c r="E7" s="202">
        <f t="shared" si="3"/>
        <v>0.1453616468</v>
      </c>
      <c r="F7" s="202" t="str">
        <f t="shared" si="3"/>
        <v>#N/A</v>
      </c>
      <c r="G7" s="203">
        <f t="shared" si="3"/>
        <v>0.2688472383</v>
      </c>
      <c r="H7" s="202">
        <f t="shared" si="3"/>
        <v>1.374412991</v>
      </c>
      <c r="I7" s="202">
        <f t="shared" si="3"/>
        <v>-0.009019899454</v>
      </c>
      <c r="J7" s="202" t="str">
        <f t="shared" si="3"/>
        <v>#N/A</v>
      </c>
      <c r="K7" s="202">
        <f t="shared" si="3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4" t="s">
        <v>520</v>
      </c>
    </row>
    <row r="2">
      <c r="A2" s="184" t="s">
        <v>521</v>
      </c>
    </row>
    <row r="3">
      <c r="A3" s="184" t="s">
        <v>67</v>
      </c>
    </row>
    <row r="4">
      <c r="A4" s="184" t="s">
        <v>17</v>
      </c>
    </row>
    <row r="5">
      <c r="A5" s="204">
        <v>44674.0</v>
      </c>
    </row>
    <row r="6">
      <c r="A6" s="205">
        <v>0.7085532407407408</v>
      </c>
    </row>
    <row r="7">
      <c r="A7" s="184" t="s">
        <v>522</v>
      </c>
    </row>
    <row r="8">
      <c r="A8" s="184" t="s">
        <v>28</v>
      </c>
    </row>
    <row r="9">
      <c r="A9" s="13">
        <v>24772.4</v>
      </c>
    </row>
    <row r="10">
      <c r="A10" s="185">
        <v>24772.39</v>
      </c>
    </row>
    <row r="11">
      <c r="A11" s="204">
        <v>44674.0</v>
      </c>
    </row>
    <row r="12">
      <c r="A12" s="205">
        <v>0.6731828703703704</v>
      </c>
    </row>
    <row r="13">
      <c r="A13" s="184" t="s">
        <v>251</v>
      </c>
    </row>
    <row r="14">
      <c r="A14" s="184" t="s">
        <v>523</v>
      </c>
    </row>
    <row r="15">
      <c r="A15" s="184">
        <v>68.213</v>
      </c>
    </row>
    <row r="16">
      <c r="A16" s="185">
        <v>68.34</v>
      </c>
    </row>
    <row r="17">
      <c r="A17" s="204">
        <v>44674.0</v>
      </c>
    </row>
    <row r="18">
      <c r="A18" s="205">
        <v>0.5745717592592593</v>
      </c>
    </row>
    <row r="19">
      <c r="A19" s="184" t="s">
        <v>251</v>
      </c>
    </row>
    <row r="20">
      <c r="A20" s="184" t="s">
        <v>523</v>
      </c>
    </row>
    <row r="21">
      <c r="A21" s="13">
        <v>1571.902</v>
      </c>
    </row>
    <row r="22">
      <c r="A22" s="185">
        <v>1574.74</v>
      </c>
    </row>
    <row r="23">
      <c r="A23" s="204">
        <v>44674.0</v>
      </c>
    </row>
    <row r="24">
      <c r="A24" s="205">
        <v>0.12619212962962964</v>
      </c>
    </row>
    <row r="25">
      <c r="A25" s="184" t="s">
        <v>522</v>
      </c>
    </row>
    <row r="26">
      <c r="A26" s="184" t="s">
        <v>28</v>
      </c>
    </row>
    <row r="27">
      <c r="A27" s="13">
        <v>1077.23</v>
      </c>
    </row>
    <row r="28">
      <c r="A28" s="185">
        <v>1077.23</v>
      </c>
    </row>
    <row r="29">
      <c r="A29" s="204">
        <v>44673.0</v>
      </c>
    </row>
    <row r="30">
      <c r="A30" s="205">
        <v>0.9246875</v>
      </c>
    </row>
    <row r="31">
      <c r="A31" s="184" t="s">
        <v>522</v>
      </c>
    </row>
    <row r="32">
      <c r="A32" s="184" t="s">
        <v>28</v>
      </c>
    </row>
    <row r="33">
      <c r="A33" s="13">
        <v>1055.25</v>
      </c>
    </row>
    <row r="34">
      <c r="A34" s="185">
        <v>1055.25</v>
      </c>
    </row>
    <row r="35">
      <c r="A35" s="204">
        <v>44673.0</v>
      </c>
    </row>
    <row r="36">
      <c r="A36" s="205">
        <v>0.7713425925925926</v>
      </c>
    </row>
    <row r="37">
      <c r="A37" s="184" t="s">
        <v>251</v>
      </c>
    </row>
    <row r="38">
      <c r="A38" s="184" t="s">
        <v>524</v>
      </c>
    </row>
    <row r="39">
      <c r="A39" s="184">
        <v>183.2</v>
      </c>
    </row>
    <row r="40">
      <c r="A40" s="185">
        <v>5.04</v>
      </c>
    </row>
    <row r="41">
      <c r="A41" s="204">
        <v>44673.0</v>
      </c>
    </row>
    <row r="42">
      <c r="A42" s="205">
        <v>0.770625</v>
      </c>
    </row>
    <row r="43">
      <c r="A43" s="184" t="s">
        <v>522</v>
      </c>
    </row>
    <row r="44">
      <c r="A44" s="184" t="s">
        <v>28</v>
      </c>
    </row>
    <row r="45">
      <c r="A45" s="184">
        <v>5.0</v>
      </c>
    </row>
    <row r="46">
      <c r="A46" s="192">
        <v>5.0</v>
      </c>
    </row>
    <row r="47">
      <c r="A47" s="204">
        <v>44673.0</v>
      </c>
    </row>
    <row r="48">
      <c r="A48" s="205">
        <v>0.7685300925925926</v>
      </c>
    </row>
    <row r="49">
      <c r="A49" s="184" t="s">
        <v>251</v>
      </c>
    </row>
    <row r="50">
      <c r="A50" s="184" t="s">
        <v>523</v>
      </c>
    </row>
    <row r="51">
      <c r="A51" s="13">
        <v>1966.019</v>
      </c>
    </row>
    <row r="52">
      <c r="A52" s="185">
        <v>1969.56</v>
      </c>
    </row>
    <row r="53">
      <c r="A53" s="204">
        <v>44673.0</v>
      </c>
    </row>
    <row r="54">
      <c r="A54" s="205">
        <v>0.7066898148148149</v>
      </c>
    </row>
    <row r="55">
      <c r="A55" s="184" t="s">
        <v>251</v>
      </c>
    </row>
    <row r="56">
      <c r="A56" s="184" t="s">
        <v>524</v>
      </c>
    </row>
    <row r="57">
      <c r="A57" s="206">
        <v>1279.0</v>
      </c>
    </row>
    <row r="58">
      <c r="A58" s="185">
        <v>35.19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525</v>
      </c>
      <c r="B1" s="3" t="s">
        <v>42</v>
      </c>
      <c r="C1" s="3" t="s">
        <v>526</v>
      </c>
      <c r="D1" s="115"/>
      <c r="E1" s="3"/>
      <c r="F1" s="3"/>
      <c r="G1" s="3"/>
      <c r="H1" s="2"/>
      <c r="I1" s="3"/>
      <c r="J1" s="3"/>
    </row>
    <row r="2">
      <c r="A2" s="26" t="str">
        <f t="shared" ref="A2:A1122" si="1">IF(D2&lt;&gt;"",IF(AND(C2="",F2="SOL"),"RECV",IF(B2&lt;&gt;"",F2&amp;"-"&amp;H2,"TRANS")),)</f>
        <v>TRANS</v>
      </c>
      <c r="B2" s="26" t="str">
        <f t="shared" ref="B2:B1122" si="2">IF(AND(OR(C2="",I2&lt;&gt;""),G2&lt;&gt;""),E2/G2,)</f>
        <v/>
      </c>
      <c r="C2" s="207" t="str">
        <f t="shared" ref="C2:C1122" si="3">IF(I2&lt;&gt;"",I2,IF(AND(G2&lt;&gt;"",H2="SOL"),IF(AND(ABS(G2)&gt;0,ABS(G2)&lt;0.05),G2,-0.000005),IF(AND(ABS(E2)&gt;0,ABS(E2)&lt;0.05,F2="SOL"),E2,)))</f>
        <v/>
      </c>
      <c r="D2" s="200" t="s">
        <v>527</v>
      </c>
      <c r="E2" s="194">
        <f>IFERROR(__xludf.DUMMYFUNCTION("IF(D2&lt;&gt;"""",SPLIT(D2,"" 
""),)"),1.88607002)</f>
        <v>1.88607002</v>
      </c>
      <c r="F2" s="194" t="str">
        <f>IFERROR(__xludf.DUMMYFUNCTION("""COMPUTED_VALUE"""),"LDO")</f>
        <v>LDO</v>
      </c>
    </row>
    <row r="3">
      <c r="A3" s="26" t="str">
        <f t="shared" si="1"/>
        <v>TRANS</v>
      </c>
      <c r="B3" s="26" t="str">
        <f t="shared" si="2"/>
        <v/>
      </c>
      <c r="C3" s="207">
        <f t="shared" si="3"/>
        <v>-0.000005</v>
      </c>
      <c r="D3" s="200" t="s">
        <v>528</v>
      </c>
      <c r="E3" s="194">
        <f>IFERROR(__xludf.DUMMYFUNCTION("IF(D3&lt;&gt;"""",SPLIT(D3,"" 
""),)"),-0.638321)</f>
        <v>-0.638321</v>
      </c>
      <c r="F3" s="194" t="str">
        <f>IFERROR(__xludf.DUMMYFUNCTION("""COMPUTED_VALUE"""),"UST")</f>
        <v>UST</v>
      </c>
      <c r="G3" s="194">
        <f>IFERROR(__xludf.DUMMYFUNCTION("""COMPUTED_VALUE"""),-5.0E-6)</f>
        <v>-0.000005</v>
      </c>
      <c r="H3" s="194" t="str">
        <f>IFERROR(__xludf.DUMMYFUNCTION("""COMPUTED_VALUE"""),"SOL")</f>
        <v>SOL</v>
      </c>
    </row>
    <row r="4">
      <c r="A4" s="26" t="str">
        <f t="shared" si="1"/>
        <v>UST-USDC</v>
      </c>
      <c r="B4" s="26">
        <f t="shared" si="2"/>
        <v>-0.9959790715</v>
      </c>
      <c r="C4" s="207">
        <f t="shared" si="3"/>
        <v>-0.000005</v>
      </c>
      <c r="D4" s="200" t="s">
        <v>529</v>
      </c>
      <c r="E4" s="194">
        <f>IFERROR(__xludf.DUMMYFUNCTION("IF(D4&lt;&gt;"""",SPLIT(D4,"" 
""),)"),0.182554)</f>
        <v>0.182554</v>
      </c>
      <c r="F4" s="194" t="str">
        <f>IFERROR(__xludf.DUMMYFUNCTION("""COMPUTED_VALUE"""),"UST")</f>
        <v>UST</v>
      </c>
      <c r="G4" s="194">
        <f>IFERROR(__xludf.DUMMYFUNCTION("""COMPUTED_VALUE"""),-0.183291)</f>
        <v>-0.183291</v>
      </c>
      <c r="H4" s="194" t="str">
        <f>IFERROR(__xludf.DUMMYFUNCTION("""COMPUTED_VALUE"""),"USDC")</f>
        <v>USDC</v>
      </c>
      <c r="I4" s="194">
        <f>IFERROR(__xludf.DUMMYFUNCTION("""COMPUTED_VALUE"""),-5.0E-6)</f>
        <v>-0.000005</v>
      </c>
      <c r="J4" s="194" t="str">
        <f>IFERROR(__xludf.DUMMYFUNCTION("""COMPUTED_VALUE"""),"SOL")</f>
        <v>SOL</v>
      </c>
    </row>
    <row r="5">
      <c r="A5" s="26" t="str">
        <f t="shared" si="1"/>
        <v>UST-LARIX</v>
      </c>
      <c r="B5" s="26">
        <f t="shared" si="2"/>
        <v>-0.003740374343</v>
      </c>
      <c r="C5" s="207">
        <f t="shared" si="3"/>
        <v>-0.000005</v>
      </c>
      <c r="D5" s="200" t="s">
        <v>530</v>
      </c>
      <c r="E5" s="194">
        <f>IFERROR(__xludf.DUMMYFUNCTION("IF(D5&lt;&gt;"""",SPLIT(D5,"" 
""),)"),0.455767)</f>
        <v>0.455767</v>
      </c>
      <c r="F5" s="194" t="str">
        <f>IFERROR(__xludf.DUMMYFUNCTION("""COMPUTED_VALUE"""),"UST")</f>
        <v>UST</v>
      </c>
      <c r="G5" s="194">
        <f>IFERROR(__xludf.DUMMYFUNCTION("""COMPUTED_VALUE"""),-121.850638)</f>
        <v>-121.850638</v>
      </c>
      <c r="H5" s="194" t="str">
        <f>IFERROR(__xludf.DUMMYFUNCTION("""COMPUTED_VALUE"""),"LARIX")</f>
        <v>LARIX</v>
      </c>
      <c r="I5" s="194">
        <f>IFERROR(__xludf.DUMMYFUNCTION("""COMPUTED_VALUE"""),-5.0E-6)</f>
        <v>-0.000005</v>
      </c>
      <c r="J5" s="194" t="str">
        <f>IFERROR(__xludf.DUMMYFUNCTION("""COMPUTED_VALUE"""),"SOL")</f>
        <v>SOL</v>
      </c>
    </row>
    <row r="6">
      <c r="A6" s="26" t="str">
        <f t="shared" si="1"/>
        <v>TRANS</v>
      </c>
      <c r="B6" s="26" t="str">
        <f t="shared" si="2"/>
        <v/>
      </c>
      <c r="C6" s="207">
        <f t="shared" si="3"/>
        <v>-0.000005</v>
      </c>
      <c r="D6" s="200" t="s">
        <v>531</v>
      </c>
      <c r="E6" s="194">
        <f>IFERROR(__xludf.DUMMYFUNCTION("IF(D6&lt;&gt;"""",SPLIT(D6,"" 
""),)"),121.850638)</f>
        <v>121.850638</v>
      </c>
      <c r="F6" s="194" t="str">
        <f>IFERROR(__xludf.DUMMYFUNCTION("""COMPUTED_VALUE"""),"LARIX")</f>
        <v>LARIX</v>
      </c>
      <c r="G6" s="194">
        <f>IFERROR(__xludf.DUMMYFUNCTION("""COMPUTED_VALUE"""),-5.0E-6)</f>
        <v>-0.000005</v>
      </c>
      <c r="H6" s="194" t="str">
        <f>IFERROR(__xludf.DUMMYFUNCTION("""COMPUTED_VALUE"""),"SOL")</f>
        <v>SOL</v>
      </c>
    </row>
    <row r="7">
      <c r="A7" s="26" t="str">
        <f t="shared" si="1"/>
        <v>TRANS</v>
      </c>
      <c r="B7" s="26" t="str">
        <f t="shared" si="2"/>
        <v/>
      </c>
      <c r="C7" s="207">
        <f t="shared" si="3"/>
        <v>-0.000005</v>
      </c>
      <c r="D7" s="200" t="s">
        <v>532</v>
      </c>
      <c r="E7" s="194">
        <f>IFERROR(__xludf.DUMMYFUNCTION("IF(D7&lt;&gt;"""",SPLIT(D7,"" 
""),)"),0.183291)</f>
        <v>0.183291</v>
      </c>
      <c r="F7" s="194" t="str">
        <f>IFERROR(__xludf.DUMMYFUNCTION("""COMPUTED_VALUE"""),"USDC")</f>
        <v>USDC</v>
      </c>
      <c r="G7" s="194">
        <f>IFERROR(__xludf.DUMMYFUNCTION("""COMPUTED_VALUE"""),-5.0E-6)</f>
        <v>-0.000005</v>
      </c>
      <c r="H7" s="194" t="str">
        <f>IFERROR(__xludf.DUMMYFUNCTION("""COMPUTED_VALUE"""),"SOL")</f>
        <v>SOL</v>
      </c>
    </row>
    <row r="8">
      <c r="A8" s="26" t="str">
        <f t="shared" si="1"/>
        <v>TRANS</v>
      </c>
      <c r="B8" s="26" t="str">
        <f t="shared" si="2"/>
        <v/>
      </c>
      <c r="C8" s="207" t="str">
        <f t="shared" si="3"/>
        <v/>
      </c>
      <c r="D8" s="200" t="s">
        <v>533</v>
      </c>
      <c r="E8" s="194">
        <f>IFERROR(__xludf.DUMMYFUNCTION("IF(D8&lt;&gt;"""",SPLIT(D8,"" 
""),)"),1.62902423)</f>
        <v>1.62902423</v>
      </c>
      <c r="F8" s="194" t="str">
        <f>IFERROR(__xludf.DUMMYFUNCTION("""COMPUTED_VALUE"""),"LDO")</f>
        <v>LDO</v>
      </c>
    </row>
    <row r="9">
      <c r="A9" s="26" t="str">
        <f t="shared" si="1"/>
        <v>TRANS</v>
      </c>
      <c r="B9" s="26" t="str">
        <f t="shared" si="2"/>
        <v/>
      </c>
      <c r="C9" s="207">
        <f t="shared" si="3"/>
        <v>-0.000005</v>
      </c>
      <c r="D9" s="200" t="s">
        <v>534</v>
      </c>
      <c r="E9" s="194">
        <f>IFERROR(__xludf.DUMMYFUNCTION("IF(D9&lt;&gt;"""",SPLIT(D9,"" 
""),)"),-26.879967116)</f>
        <v>-26.87996712</v>
      </c>
      <c r="F9" s="194" t="str">
        <f>IFERROR(__xludf.DUMMYFUNCTION("""COMPUTED_VALUE"""),"stSOL")</f>
        <v>stSOL</v>
      </c>
      <c r="G9" s="194">
        <f>IFERROR(__xludf.DUMMYFUNCTION("""COMPUTED_VALUE"""),-5.0E-6)</f>
        <v>-0.000005</v>
      </c>
      <c r="H9" s="194" t="str">
        <f>IFERROR(__xludf.DUMMYFUNCTION("""COMPUTED_VALUE"""),"SOL")</f>
        <v>SOL</v>
      </c>
    </row>
    <row r="10">
      <c r="A10" s="26" t="str">
        <f t="shared" si="1"/>
        <v>TRANS</v>
      </c>
      <c r="B10" s="26" t="str">
        <f t="shared" si="2"/>
        <v/>
      </c>
      <c r="C10" s="207">
        <f t="shared" si="3"/>
        <v>-0.000005</v>
      </c>
      <c r="D10" s="200" t="s">
        <v>535</v>
      </c>
      <c r="E10" s="194">
        <f>IFERROR(__xludf.DUMMYFUNCTION("IF(D10&lt;&gt;"""",SPLIT(D10,"" 
""),)"),26.879967116)</f>
        <v>26.87996712</v>
      </c>
      <c r="F10" s="194" t="str">
        <f>IFERROR(__xludf.DUMMYFUNCTION("""COMPUTED_VALUE"""),"stSOL")</f>
        <v>stSOL</v>
      </c>
      <c r="G10" s="194">
        <f>IFERROR(__xludf.DUMMYFUNCTION("""COMPUTED_VALUE"""),-27.680005)</f>
        <v>-27.680005</v>
      </c>
      <c r="H10" s="194" t="str">
        <f>IFERROR(__xludf.DUMMYFUNCTION("""COMPUTED_VALUE"""),"SOL")</f>
        <v>SOL</v>
      </c>
    </row>
    <row r="11">
      <c r="A11" s="26" t="str">
        <f t="shared" si="1"/>
        <v>RECV</v>
      </c>
      <c r="B11" s="26" t="str">
        <f t="shared" si="2"/>
        <v/>
      </c>
      <c r="C11" s="207" t="str">
        <f t="shared" si="3"/>
        <v/>
      </c>
      <c r="D11" s="200" t="s">
        <v>536</v>
      </c>
      <c r="E11" s="194">
        <f>IFERROR(__xludf.DUMMYFUNCTION("IF(D11&lt;&gt;"""",SPLIT(D11,"" 
""),)"),15.079995)</f>
        <v>15.079995</v>
      </c>
      <c r="F11" s="194" t="str">
        <f>IFERROR(__xludf.DUMMYFUNCTION("""COMPUTED_VALUE"""),"SOL")</f>
        <v>SOL</v>
      </c>
      <c r="G11" s="194"/>
      <c r="H11" s="194"/>
    </row>
    <row r="12">
      <c r="A12" s="26" t="str">
        <f t="shared" si="1"/>
        <v>RECV</v>
      </c>
      <c r="B12" s="26" t="str">
        <f t="shared" si="2"/>
        <v/>
      </c>
      <c r="C12" s="207" t="str">
        <f t="shared" si="3"/>
        <v/>
      </c>
      <c r="D12" s="200" t="s">
        <v>537</v>
      </c>
      <c r="E12" s="194">
        <f>IFERROR(__xludf.DUMMYFUNCTION("IF(D12&lt;&gt;"""",SPLIT(D12,"" 
""),)"),12.57803537)</f>
        <v>12.57803537</v>
      </c>
      <c r="F12" s="194" t="str">
        <f>IFERROR(__xludf.DUMMYFUNCTION("""COMPUTED_VALUE"""),"SOL")</f>
        <v>SOL</v>
      </c>
      <c r="G12" s="194"/>
      <c r="H12" s="194"/>
    </row>
    <row r="13">
      <c r="A13" s="26" t="str">
        <f t="shared" si="1"/>
        <v>TRANS</v>
      </c>
      <c r="B13" s="26" t="str">
        <f t="shared" si="2"/>
        <v/>
      </c>
      <c r="C13" s="207" t="str">
        <f t="shared" si="3"/>
        <v/>
      </c>
      <c r="D13" s="200" t="s">
        <v>538</v>
      </c>
      <c r="E13" s="194">
        <f>IFERROR(__xludf.DUMMYFUNCTION("IF(D13&lt;&gt;"""",SPLIT(D13,"" 
""),)"),1.49157721)</f>
        <v>1.49157721</v>
      </c>
      <c r="F13" s="194" t="str">
        <f>IFERROR(__xludf.DUMMYFUNCTION("""COMPUTED_VALUE"""),"LDO")</f>
        <v>LDO</v>
      </c>
    </row>
    <row r="14">
      <c r="A14" s="26" t="str">
        <f t="shared" si="1"/>
        <v>TRANS</v>
      </c>
      <c r="B14" s="26" t="str">
        <f t="shared" si="2"/>
        <v/>
      </c>
      <c r="C14" s="207">
        <f t="shared" si="3"/>
        <v>-0.000005</v>
      </c>
      <c r="D14" s="200" t="s">
        <v>539</v>
      </c>
      <c r="E14" s="194">
        <f>IFERROR(__xludf.DUMMYFUNCTION("IF(D14&lt;&gt;"""",SPLIT(D14,"" 
""),)"),-0.186166008)</f>
        <v>-0.186166008</v>
      </c>
      <c r="F14" s="194" t="str">
        <f>IFERROR(__xludf.DUMMYFUNCTION("""COMPUTED_VALUE"""),"stSOL")</f>
        <v>stSOL</v>
      </c>
      <c r="G14" s="194">
        <f>IFERROR(__xludf.DUMMYFUNCTION("""COMPUTED_VALUE"""),-5.0E-6)</f>
        <v>-0.000005</v>
      </c>
      <c r="H14" s="194" t="str">
        <f>IFERROR(__xludf.DUMMYFUNCTION("""COMPUTED_VALUE"""),"SOL")</f>
        <v>SOL</v>
      </c>
    </row>
    <row r="15">
      <c r="A15" s="26" t="str">
        <f t="shared" si="1"/>
        <v>stSOL-LDO</v>
      </c>
      <c r="B15" s="26">
        <f t="shared" si="2"/>
        <v>-0.03012638463</v>
      </c>
      <c r="C15" s="207">
        <f t="shared" si="3"/>
        <v>-0.000005</v>
      </c>
      <c r="D15" s="200" t="s">
        <v>540</v>
      </c>
      <c r="E15" s="194">
        <f>IFERROR(__xludf.DUMMYFUNCTION("IF(D15&lt;&gt;"""",SPLIT(D15,"" 
""),)"),0.186166008)</f>
        <v>0.186166008</v>
      </c>
      <c r="F15" s="194" t="str">
        <f>IFERROR(__xludf.DUMMYFUNCTION("""COMPUTED_VALUE"""),"stSOL")</f>
        <v>stSOL</v>
      </c>
      <c r="G15" s="194">
        <f>IFERROR(__xludf.DUMMYFUNCTION("""COMPUTED_VALUE"""),-6.17950047)</f>
        <v>-6.17950047</v>
      </c>
      <c r="H15" s="194" t="str">
        <f>IFERROR(__xludf.DUMMYFUNCTION("""COMPUTED_VALUE"""),"LDO")</f>
        <v>LDO</v>
      </c>
      <c r="I15" s="194">
        <f>IFERROR(__xludf.DUMMYFUNCTION("""COMPUTED_VALUE"""),-5.0E-6)</f>
        <v>-0.000005</v>
      </c>
      <c r="J15" s="194" t="str">
        <f>IFERROR(__xludf.DUMMYFUNCTION("""COMPUTED_VALUE"""),"SOL")</f>
        <v>SOL</v>
      </c>
    </row>
    <row r="16">
      <c r="A16" s="26" t="str">
        <f t="shared" si="1"/>
        <v>TRANS</v>
      </c>
      <c r="B16" s="26" t="str">
        <f t="shared" si="2"/>
        <v/>
      </c>
      <c r="C16" s="207">
        <f t="shared" si="3"/>
        <v>-0.000005</v>
      </c>
      <c r="D16" s="200" t="s">
        <v>541</v>
      </c>
      <c r="E16" s="194">
        <f>IFERROR(__xludf.DUMMYFUNCTION("IF(D16&lt;&gt;"""",SPLIT(D16,"" 
""),)"),-0.531531)</f>
        <v>-0.531531</v>
      </c>
      <c r="F16" s="194" t="str">
        <f>IFERROR(__xludf.DUMMYFUNCTION("""COMPUTED_VALUE"""),"UST")</f>
        <v>UST</v>
      </c>
      <c r="G16" s="194">
        <f>IFERROR(__xludf.DUMMYFUNCTION("""COMPUTED_VALUE"""),-5.0E-6)</f>
        <v>-0.000005</v>
      </c>
      <c r="H16" s="194" t="str">
        <f>IFERROR(__xludf.DUMMYFUNCTION("""COMPUTED_VALUE"""),"SOL")</f>
        <v>SOL</v>
      </c>
    </row>
    <row r="17">
      <c r="A17" s="26" t="str">
        <f t="shared" si="1"/>
        <v>UST-LARIX</v>
      </c>
      <c r="B17" s="26">
        <f t="shared" si="2"/>
        <v>-0.003734629173</v>
      </c>
      <c r="C17" s="207">
        <f t="shared" si="3"/>
        <v>-0.000005</v>
      </c>
      <c r="D17" s="200" t="s">
        <v>542</v>
      </c>
      <c r="E17" s="194">
        <f>IFERROR(__xludf.DUMMYFUNCTION("IF(D17&lt;&gt;"""",SPLIT(D17,"" 
""),)"),0.531531)</f>
        <v>0.531531</v>
      </c>
      <c r="F17" s="194" t="str">
        <f>IFERROR(__xludf.DUMMYFUNCTION("""COMPUTED_VALUE"""),"UST")</f>
        <v>UST</v>
      </c>
      <c r="G17" s="194">
        <f>IFERROR(__xludf.DUMMYFUNCTION("""COMPUTED_VALUE"""),-142.324974)</f>
        <v>-142.324974</v>
      </c>
      <c r="H17" s="194" t="str">
        <f>IFERROR(__xludf.DUMMYFUNCTION("""COMPUTED_VALUE"""),"LARIX")</f>
        <v>LARIX</v>
      </c>
      <c r="I17" s="194">
        <f>IFERROR(__xludf.DUMMYFUNCTION("""COMPUTED_VALUE"""),-5.0E-6)</f>
        <v>-0.000005</v>
      </c>
      <c r="J17" s="194" t="str">
        <f>IFERROR(__xludf.DUMMYFUNCTION("""COMPUTED_VALUE"""),"SOL")</f>
        <v>SOL</v>
      </c>
    </row>
    <row r="18">
      <c r="A18" s="26" t="str">
        <f t="shared" si="1"/>
        <v>TRANS</v>
      </c>
      <c r="B18" s="26" t="str">
        <f t="shared" si="2"/>
        <v/>
      </c>
      <c r="C18" s="207">
        <f t="shared" si="3"/>
        <v>-0.000005</v>
      </c>
      <c r="D18" s="200" t="s">
        <v>543</v>
      </c>
      <c r="E18" s="194">
        <f>IFERROR(__xludf.DUMMYFUNCTION("IF(D18&lt;&gt;"""",SPLIT(D18,"" 
""),)"),-24.957194901)</f>
        <v>-24.9571949</v>
      </c>
      <c r="F18" s="194" t="str">
        <f>IFERROR(__xludf.DUMMYFUNCTION("""COMPUTED_VALUE"""),"stSOL")</f>
        <v>stSOL</v>
      </c>
      <c r="G18" s="194">
        <f>IFERROR(__xludf.DUMMYFUNCTION("""COMPUTED_VALUE"""),-5.0E-6)</f>
        <v>-0.000005</v>
      </c>
      <c r="H18" s="194" t="str">
        <f>IFERROR(__xludf.DUMMYFUNCTION("""COMPUTED_VALUE"""),"SOL")</f>
        <v>SOL</v>
      </c>
    </row>
    <row r="19">
      <c r="A19" s="26" t="str">
        <f t="shared" si="1"/>
        <v>TRANS</v>
      </c>
      <c r="B19" s="26" t="str">
        <f t="shared" si="2"/>
        <v/>
      </c>
      <c r="C19" s="207">
        <f t="shared" si="3"/>
        <v>-0.000005</v>
      </c>
      <c r="D19" s="200" t="s">
        <v>544</v>
      </c>
      <c r="E19" s="194">
        <f>IFERROR(__xludf.DUMMYFUNCTION("IF(D19&lt;&gt;"""",SPLIT(D19,"" 
""),)"),15.634662954)</f>
        <v>15.63466295</v>
      </c>
      <c r="F19" s="194" t="str">
        <f>IFERROR(__xludf.DUMMYFUNCTION("""COMPUTED_VALUE"""),"stSOL")</f>
        <v>stSOL</v>
      </c>
      <c r="G19" s="194">
        <f>IFERROR(__xludf.DUMMYFUNCTION("""COMPUTED_VALUE"""),-16.100005)</f>
        <v>-16.100005</v>
      </c>
      <c r="H19" s="194" t="str">
        <f>IFERROR(__xludf.DUMMYFUNCTION("""COMPUTED_VALUE"""),"SOL")</f>
        <v>SOL</v>
      </c>
    </row>
    <row r="20">
      <c r="A20" s="26" t="str">
        <f t="shared" si="1"/>
        <v>RECV</v>
      </c>
      <c r="B20" s="26" t="str">
        <f t="shared" si="2"/>
        <v/>
      </c>
      <c r="C20" s="207" t="str">
        <f t="shared" si="3"/>
        <v/>
      </c>
      <c r="D20" s="200" t="s">
        <v>545</v>
      </c>
      <c r="E20" s="194">
        <f>IFERROR(__xludf.DUMMYFUNCTION("IF(D20&lt;&gt;"""",SPLIT(D20,"" 
""),)"),16.119995)</f>
        <v>16.119995</v>
      </c>
      <c r="F20" s="194" t="str">
        <f>IFERROR(__xludf.DUMMYFUNCTION("""COMPUTED_VALUE"""),"SOL")</f>
        <v>SOL</v>
      </c>
      <c r="G20" s="194"/>
      <c r="H20" s="194"/>
    </row>
    <row r="21">
      <c r="A21" s="26" t="str">
        <f t="shared" si="1"/>
        <v>TRANS</v>
      </c>
      <c r="B21" s="26" t="str">
        <f t="shared" si="2"/>
        <v/>
      </c>
      <c r="C21" s="207">
        <f t="shared" si="3"/>
        <v>-0.000005</v>
      </c>
      <c r="D21" s="200" t="s">
        <v>546</v>
      </c>
      <c r="E21" s="194">
        <f>IFERROR(__xludf.DUMMYFUNCTION("IF(D21&lt;&gt;"""",SPLIT(D21,"" 
""),)"),9.322531947)</f>
        <v>9.322531947</v>
      </c>
      <c r="F21" s="194" t="str">
        <f>IFERROR(__xludf.DUMMYFUNCTION("""COMPUTED_VALUE"""),"stSOL")</f>
        <v>stSOL</v>
      </c>
      <c r="G21" s="194">
        <f>IFERROR(__xludf.DUMMYFUNCTION("""COMPUTED_VALUE"""),-9.600005)</f>
        <v>-9.600005</v>
      </c>
      <c r="H21" s="194" t="str">
        <f>IFERROR(__xludf.DUMMYFUNCTION("""COMPUTED_VALUE"""),"SOL")</f>
        <v>SOL</v>
      </c>
    </row>
    <row r="22">
      <c r="A22" s="26" t="str">
        <f t="shared" si="1"/>
        <v>RECV</v>
      </c>
      <c r="B22" s="26" t="str">
        <f t="shared" si="2"/>
        <v/>
      </c>
      <c r="C22" s="207" t="str">
        <f t="shared" si="3"/>
        <v/>
      </c>
      <c r="D22" s="200" t="s">
        <v>547</v>
      </c>
      <c r="E22" s="194">
        <f>IFERROR(__xludf.DUMMYFUNCTION("IF(D22&lt;&gt;"""",SPLIT(D22,"" 
""),)"),9.53880494)</f>
        <v>9.53880494</v>
      </c>
      <c r="F22" s="194" t="str">
        <f>IFERROR(__xludf.DUMMYFUNCTION("""COMPUTED_VALUE"""),"SOL")</f>
        <v>SOL</v>
      </c>
      <c r="G22" s="194"/>
      <c r="H22" s="194"/>
    </row>
    <row r="23">
      <c r="A23" s="26" t="str">
        <f t="shared" si="1"/>
        <v>TRANS</v>
      </c>
      <c r="B23" s="26" t="str">
        <f t="shared" si="2"/>
        <v/>
      </c>
      <c r="C23" s="207">
        <f t="shared" si="3"/>
        <v>-0.000005</v>
      </c>
      <c r="D23" s="200" t="s">
        <v>548</v>
      </c>
      <c r="E23" s="194">
        <f>IFERROR(__xludf.DUMMYFUNCTION("IF(D23&lt;&gt;"""",SPLIT(D23,"" 
""),)"),142.324974)</f>
        <v>142.324974</v>
      </c>
      <c r="F23" s="194" t="str">
        <f>IFERROR(__xludf.DUMMYFUNCTION("""COMPUTED_VALUE"""),"LARIX")</f>
        <v>LARIX</v>
      </c>
      <c r="G23" s="194">
        <f>IFERROR(__xludf.DUMMYFUNCTION("""COMPUTED_VALUE"""),-5.0E-6)</f>
        <v>-0.000005</v>
      </c>
      <c r="H23" s="194" t="str">
        <f>IFERROR(__xludf.DUMMYFUNCTION("""COMPUTED_VALUE"""),"SOL")</f>
        <v>SOL</v>
      </c>
    </row>
    <row r="24">
      <c r="A24" s="26" t="str">
        <f t="shared" si="1"/>
        <v>TRANS</v>
      </c>
      <c r="B24" s="26" t="str">
        <f t="shared" si="2"/>
        <v/>
      </c>
      <c r="C24" s="207" t="str">
        <f t="shared" si="3"/>
        <v/>
      </c>
      <c r="D24" s="200" t="s">
        <v>549</v>
      </c>
      <c r="E24" s="194">
        <f>IFERROR(__xludf.DUMMYFUNCTION("IF(D24&lt;&gt;"""",SPLIT(D24,"" 
""),)"),1.62148998)</f>
        <v>1.62148998</v>
      </c>
      <c r="F24" s="194" t="str">
        <f>IFERROR(__xludf.DUMMYFUNCTION("""COMPUTED_VALUE"""),"LDO")</f>
        <v>LDO</v>
      </c>
    </row>
    <row r="25">
      <c r="A25" s="26" t="str">
        <f t="shared" si="1"/>
        <v>TRANS</v>
      </c>
      <c r="B25" s="26" t="str">
        <f t="shared" si="2"/>
        <v/>
      </c>
      <c r="C25" s="207">
        <f t="shared" si="3"/>
        <v>-0.000005</v>
      </c>
      <c r="D25" s="200" t="s">
        <v>550</v>
      </c>
      <c r="E25" s="194">
        <f>IFERROR(__xludf.DUMMYFUNCTION("IF(D25&lt;&gt;"""",SPLIT(D25,"" 
""),)"),-26.911023349)</f>
        <v>-26.91102335</v>
      </c>
      <c r="F25" s="194" t="str">
        <f>IFERROR(__xludf.DUMMYFUNCTION("""COMPUTED_VALUE"""),"stSOL")</f>
        <v>stSOL</v>
      </c>
      <c r="G25" s="194">
        <f>IFERROR(__xludf.DUMMYFUNCTION("""COMPUTED_VALUE"""),-5.0E-6)</f>
        <v>-0.000005</v>
      </c>
      <c r="H25" s="194" t="str">
        <f>IFERROR(__xludf.DUMMYFUNCTION("""COMPUTED_VALUE"""),"SOL")</f>
        <v>SOL</v>
      </c>
    </row>
    <row r="26">
      <c r="A26" s="26" t="str">
        <f t="shared" si="1"/>
        <v>TRANS</v>
      </c>
      <c r="B26" s="26" t="str">
        <f t="shared" si="2"/>
        <v/>
      </c>
      <c r="C26" s="207">
        <f t="shared" si="3"/>
        <v>-0.000005</v>
      </c>
      <c r="D26" s="200" t="s">
        <v>551</v>
      </c>
      <c r="E26" s="194">
        <f>IFERROR(__xludf.DUMMYFUNCTION("IF(D26&lt;&gt;"""",SPLIT(D26,"" 
""),)"),26.911023349)</f>
        <v>26.91102335</v>
      </c>
      <c r="F26" s="194" t="str">
        <f>IFERROR(__xludf.DUMMYFUNCTION("""COMPUTED_VALUE"""),"stSOL")</f>
        <v>stSOL</v>
      </c>
      <c r="G26" s="194">
        <f>IFERROR(__xludf.DUMMYFUNCTION("""COMPUTED_VALUE"""),-27.700005)</f>
        <v>-27.700005</v>
      </c>
      <c r="H26" s="194" t="str">
        <f>IFERROR(__xludf.DUMMYFUNCTION("""COMPUTED_VALUE"""),"SOL")</f>
        <v>SOL</v>
      </c>
    </row>
    <row r="27">
      <c r="A27" s="26" t="str">
        <f t="shared" si="1"/>
        <v>RECV</v>
      </c>
      <c r="B27" s="26" t="str">
        <f t="shared" si="2"/>
        <v/>
      </c>
      <c r="C27" s="207" t="str">
        <f t="shared" si="3"/>
        <v/>
      </c>
      <c r="D27" s="200" t="s">
        <v>552</v>
      </c>
      <c r="E27" s="194">
        <f>IFERROR(__xludf.DUMMYFUNCTION("IF(D27&lt;&gt;"""",SPLIT(D27,"" 
""),)"),27.709995)</f>
        <v>27.709995</v>
      </c>
      <c r="F27" s="194" t="str">
        <f>IFERROR(__xludf.DUMMYFUNCTION("""COMPUTED_VALUE"""),"SOL")</f>
        <v>SOL</v>
      </c>
      <c r="G27" s="194"/>
      <c r="H27" s="194"/>
    </row>
    <row r="28">
      <c r="A28" s="26" t="str">
        <f t="shared" si="1"/>
        <v>TRANS</v>
      </c>
      <c r="B28" s="26" t="str">
        <f t="shared" si="2"/>
        <v/>
      </c>
      <c r="C28" s="207">
        <f t="shared" si="3"/>
        <v>-0.000005</v>
      </c>
      <c r="D28" s="200" t="s">
        <v>553</v>
      </c>
      <c r="E28" s="194">
        <f>IFERROR(__xludf.DUMMYFUNCTION("IF(D28&lt;&gt;"""",SPLIT(D28,"" 
""),)"),-12.53257044)</f>
        <v>-12.53257044</v>
      </c>
      <c r="F28" s="194" t="str">
        <f>IFERROR(__xludf.DUMMYFUNCTION("""COMPUTED_VALUE"""),"stSOL")</f>
        <v>stSOL</v>
      </c>
      <c r="G28" s="194">
        <f>IFERROR(__xludf.DUMMYFUNCTION("""COMPUTED_VALUE"""),-5.0E-6)</f>
        <v>-0.000005</v>
      </c>
      <c r="H28" s="194" t="str">
        <f>IFERROR(__xludf.DUMMYFUNCTION("""COMPUTED_VALUE"""),"SOL")</f>
        <v>SOL</v>
      </c>
    </row>
    <row r="29">
      <c r="A29" s="26" t="str">
        <f t="shared" si="1"/>
        <v>TRANS</v>
      </c>
      <c r="B29" s="26" t="str">
        <f t="shared" si="2"/>
        <v/>
      </c>
      <c r="C29" s="207">
        <f t="shared" si="3"/>
        <v>-0.000005</v>
      </c>
      <c r="D29" s="200" t="s">
        <v>554</v>
      </c>
      <c r="E29" s="194">
        <f>IFERROR(__xludf.DUMMYFUNCTION("IF(D29&lt;&gt;"""",SPLIT(D29,"" 
""),)"),12.53257044)</f>
        <v>12.53257044</v>
      </c>
      <c r="F29" s="194" t="str">
        <f>IFERROR(__xludf.DUMMYFUNCTION("""COMPUTED_VALUE"""),"stSOL")</f>
        <v>stSOL</v>
      </c>
      <c r="G29" s="194">
        <f>IFERROR(__xludf.DUMMYFUNCTION("""COMPUTED_VALUE"""),-12.900005)</f>
        <v>-12.900005</v>
      </c>
      <c r="H29" s="194" t="str">
        <f>IFERROR(__xludf.DUMMYFUNCTION("""COMPUTED_VALUE"""),"SOL")</f>
        <v>SOL</v>
      </c>
    </row>
    <row r="30">
      <c r="A30" s="26" t="str">
        <f t="shared" si="1"/>
        <v>RECV</v>
      </c>
      <c r="B30" s="26" t="str">
        <f t="shared" si="2"/>
        <v/>
      </c>
      <c r="C30" s="207" t="str">
        <f t="shared" si="3"/>
        <v/>
      </c>
      <c r="D30" s="200" t="s">
        <v>555</v>
      </c>
      <c r="E30" s="194">
        <f>IFERROR(__xludf.DUMMYFUNCTION("IF(D30&lt;&gt;"""",SPLIT(D30,"" 
""),)"),12.89317638)</f>
        <v>12.89317638</v>
      </c>
      <c r="F30" s="194" t="str">
        <f>IFERROR(__xludf.DUMMYFUNCTION("""COMPUTED_VALUE"""),"SOL")</f>
        <v>SOL</v>
      </c>
      <c r="G30" s="194"/>
      <c r="H30" s="194"/>
    </row>
    <row r="31">
      <c r="A31" s="26" t="str">
        <f t="shared" si="1"/>
        <v>TRANS</v>
      </c>
      <c r="B31" s="26" t="str">
        <f t="shared" si="2"/>
        <v/>
      </c>
      <c r="C31" s="207" t="str">
        <f t="shared" si="3"/>
        <v/>
      </c>
      <c r="D31" s="200" t="s">
        <v>556</v>
      </c>
      <c r="E31" s="194">
        <f>IFERROR(__xludf.DUMMYFUNCTION("IF(D31&lt;&gt;"""",SPLIT(D31,"" 
""),)"),1.61519201)</f>
        <v>1.61519201</v>
      </c>
      <c r="F31" s="194" t="str">
        <f>IFERROR(__xludf.DUMMYFUNCTION("""COMPUTED_VALUE"""),"LDO")</f>
        <v>LDO</v>
      </c>
    </row>
    <row r="32">
      <c r="A32" s="26" t="str">
        <f t="shared" si="1"/>
        <v>TRANS</v>
      </c>
      <c r="B32" s="26" t="str">
        <f t="shared" si="2"/>
        <v/>
      </c>
      <c r="C32" s="207">
        <f t="shared" si="3"/>
        <v>-0.000005</v>
      </c>
      <c r="D32" s="200" t="s">
        <v>557</v>
      </c>
      <c r="E32" s="194">
        <f>IFERROR(__xludf.DUMMYFUNCTION("IF(D32&lt;&gt;"""",SPLIT(D32,"" 
""),)"),-0.629993)</f>
        <v>-0.629993</v>
      </c>
      <c r="F32" s="194" t="str">
        <f>IFERROR(__xludf.DUMMYFUNCTION("""COMPUTED_VALUE"""),"UST")</f>
        <v>UST</v>
      </c>
      <c r="G32" s="194">
        <f>IFERROR(__xludf.DUMMYFUNCTION("""COMPUTED_VALUE"""),-5.0E-6)</f>
        <v>-0.000005</v>
      </c>
      <c r="H32" s="194" t="str">
        <f>IFERROR(__xludf.DUMMYFUNCTION("""COMPUTED_VALUE"""),"SOL")</f>
        <v>SOL</v>
      </c>
    </row>
    <row r="33">
      <c r="A33" s="26" t="str">
        <f t="shared" si="1"/>
        <v>UST-LARIX</v>
      </c>
      <c r="B33" s="26">
        <f t="shared" si="2"/>
        <v>-0.003879627755</v>
      </c>
      <c r="C33" s="207">
        <f t="shared" si="3"/>
        <v>-0.000005</v>
      </c>
      <c r="D33" s="200" t="s">
        <v>558</v>
      </c>
      <c r="E33" s="194">
        <f>IFERROR(__xludf.DUMMYFUNCTION("IF(D33&lt;&gt;"""",SPLIT(D33,"" 
""),)"),0.629993)</f>
        <v>0.629993</v>
      </c>
      <c r="F33" s="194" t="str">
        <f>IFERROR(__xludf.DUMMYFUNCTION("""COMPUTED_VALUE"""),"UST")</f>
        <v>UST</v>
      </c>
      <c r="G33" s="194">
        <f>IFERROR(__xludf.DUMMYFUNCTION("""COMPUTED_VALUE"""),-162.384909)</f>
        <v>-162.384909</v>
      </c>
      <c r="H33" s="194" t="str">
        <f>IFERROR(__xludf.DUMMYFUNCTION("""COMPUTED_VALUE"""),"LARIX")</f>
        <v>LARIX</v>
      </c>
      <c r="I33" s="194">
        <f>IFERROR(__xludf.DUMMYFUNCTION("""COMPUTED_VALUE"""),-5.0E-6)</f>
        <v>-0.000005</v>
      </c>
      <c r="J33" s="194" t="str">
        <f>IFERROR(__xludf.DUMMYFUNCTION("""COMPUTED_VALUE"""),"SOL")</f>
        <v>SOL</v>
      </c>
    </row>
    <row r="34">
      <c r="A34" s="26" t="str">
        <f t="shared" si="1"/>
        <v>TRANS</v>
      </c>
      <c r="B34" s="26" t="str">
        <f t="shared" si="2"/>
        <v/>
      </c>
      <c r="C34" s="207">
        <f t="shared" si="3"/>
        <v>-0.000005</v>
      </c>
      <c r="D34" s="200" t="s">
        <v>559</v>
      </c>
      <c r="E34" s="194">
        <f>IFERROR(__xludf.DUMMYFUNCTION("IF(D34&lt;&gt;"""",SPLIT(D34,"" 
""),)"),14.563193)</f>
        <v>14.563193</v>
      </c>
      <c r="F34" s="194" t="str">
        <f>IFERROR(__xludf.DUMMYFUNCTION("""COMPUTED_VALUE"""),"LARIX")</f>
        <v>LARIX</v>
      </c>
      <c r="G34" s="194">
        <f>IFERROR(__xludf.DUMMYFUNCTION("""COMPUTED_VALUE"""),-5.0E-6)</f>
        <v>-0.000005</v>
      </c>
      <c r="H34" s="194" t="str">
        <f>IFERROR(__xludf.DUMMYFUNCTION("""COMPUTED_VALUE"""),"SOL")</f>
        <v>SOL</v>
      </c>
    </row>
    <row r="35">
      <c r="A35" s="26" t="str">
        <f t="shared" si="1"/>
        <v>TRANS</v>
      </c>
      <c r="B35" s="26" t="str">
        <f t="shared" si="2"/>
        <v/>
      </c>
      <c r="C35" s="207">
        <f t="shared" si="3"/>
        <v>-0.000005</v>
      </c>
      <c r="D35" s="200" t="s">
        <v>560</v>
      </c>
      <c r="E35" s="194">
        <f>IFERROR(__xludf.DUMMYFUNCTION("IF(D35&lt;&gt;"""",SPLIT(D35,"" 
""),)"),147.821714)</f>
        <v>147.821714</v>
      </c>
      <c r="F35" s="194" t="str">
        <f>IFERROR(__xludf.DUMMYFUNCTION("""COMPUTED_VALUE"""),"LARIX")</f>
        <v>LARIX</v>
      </c>
      <c r="G35" s="194">
        <f>IFERROR(__xludf.DUMMYFUNCTION("""COMPUTED_VALUE"""),-5.0E-6)</f>
        <v>-0.000005</v>
      </c>
      <c r="H35" s="194" t="str">
        <f>IFERROR(__xludf.DUMMYFUNCTION("""COMPUTED_VALUE"""),"SOL")</f>
        <v>SOL</v>
      </c>
    </row>
    <row r="36">
      <c r="A36" s="26" t="str">
        <f t="shared" si="1"/>
        <v>TRANS</v>
      </c>
      <c r="B36" s="26" t="str">
        <f t="shared" si="2"/>
        <v/>
      </c>
      <c r="C36" s="207">
        <f t="shared" si="3"/>
        <v>-0.000005</v>
      </c>
      <c r="D36" s="200" t="s">
        <v>561</v>
      </c>
      <c r="E36" s="194">
        <f>IFERROR(__xludf.DUMMYFUNCTION("IF(D36&lt;&gt;"""",SPLIT(D36,"" 
""),)"),-12.824025567)</f>
        <v>-12.82402557</v>
      </c>
      <c r="F36" s="194" t="str">
        <f>IFERROR(__xludf.DUMMYFUNCTION("""COMPUTED_VALUE"""),"stSOL")</f>
        <v>stSOL</v>
      </c>
      <c r="G36" s="194">
        <f>IFERROR(__xludf.DUMMYFUNCTION("""COMPUTED_VALUE"""),-5.0E-6)</f>
        <v>-0.000005</v>
      </c>
      <c r="H36" s="194" t="str">
        <f>IFERROR(__xludf.DUMMYFUNCTION("""COMPUTED_VALUE"""),"SOL")</f>
        <v>SOL</v>
      </c>
    </row>
    <row r="37">
      <c r="A37" s="26" t="str">
        <f t="shared" si="1"/>
        <v>TRANS</v>
      </c>
      <c r="B37" s="26" t="str">
        <f t="shared" si="2"/>
        <v/>
      </c>
      <c r="C37" s="207">
        <f t="shared" si="3"/>
        <v>-0.000005</v>
      </c>
      <c r="D37" s="200" t="s">
        <v>562</v>
      </c>
      <c r="E37" s="194">
        <f>IFERROR(__xludf.DUMMYFUNCTION("IF(D37&lt;&gt;"""",SPLIT(D37,"" 
""),)"),12.824025567)</f>
        <v>12.82402557</v>
      </c>
      <c r="F37" s="194" t="str">
        <f>IFERROR(__xludf.DUMMYFUNCTION("""COMPUTED_VALUE"""),"stSOL")</f>
        <v>stSOL</v>
      </c>
      <c r="G37" s="194">
        <f>IFERROR(__xludf.DUMMYFUNCTION("""COMPUTED_VALUE"""),-13.200005)</f>
        <v>-13.200005</v>
      </c>
      <c r="H37" s="194" t="str">
        <f>IFERROR(__xludf.DUMMYFUNCTION("""COMPUTED_VALUE"""),"SOL")</f>
        <v>SOL</v>
      </c>
    </row>
    <row r="38">
      <c r="A38" s="26" t="str">
        <f t="shared" si="1"/>
        <v>RECV</v>
      </c>
      <c r="B38" s="26" t="str">
        <f t="shared" si="2"/>
        <v/>
      </c>
      <c r="C38" s="207" t="str">
        <f t="shared" si="3"/>
        <v/>
      </c>
      <c r="D38" s="200" t="s">
        <v>563</v>
      </c>
      <c r="E38" s="194">
        <f>IFERROR(__xludf.DUMMYFUNCTION("IF(D38&lt;&gt;"""",SPLIT(D38,"" 
""),)"),13.26644657)</f>
        <v>13.26644657</v>
      </c>
      <c r="F38" s="194" t="str">
        <f>IFERROR(__xludf.DUMMYFUNCTION("""COMPUTED_VALUE"""),"SOL")</f>
        <v>SOL</v>
      </c>
      <c r="G38" s="194"/>
      <c r="H38" s="194"/>
    </row>
    <row r="39">
      <c r="A39" s="26" t="str">
        <f t="shared" si="1"/>
        <v>TRANS</v>
      </c>
      <c r="B39" s="26" t="str">
        <f t="shared" si="2"/>
        <v/>
      </c>
      <c r="C39" s="207" t="str">
        <f t="shared" si="3"/>
        <v/>
      </c>
      <c r="D39" s="200" t="s">
        <v>564</v>
      </c>
      <c r="E39" s="194">
        <f>IFERROR(__xludf.DUMMYFUNCTION("IF(D39&lt;&gt;"""",SPLIT(D39,"" 
""),)"),1.31573399)</f>
        <v>1.31573399</v>
      </c>
      <c r="F39" s="194" t="str">
        <f>IFERROR(__xludf.DUMMYFUNCTION("""COMPUTED_VALUE"""),"LDO")</f>
        <v>LDO</v>
      </c>
    </row>
    <row r="40">
      <c r="A40" s="26" t="str">
        <f t="shared" si="1"/>
        <v>TRANS</v>
      </c>
      <c r="B40" s="26" t="str">
        <f t="shared" si="2"/>
        <v/>
      </c>
      <c r="C40" s="207" t="str">
        <f t="shared" si="3"/>
        <v/>
      </c>
      <c r="D40" s="200" t="s">
        <v>565</v>
      </c>
      <c r="E40" s="194">
        <f>IFERROR(__xludf.DUMMYFUNCTION("IF(D40&lt;&gt;"""",SPLIT(D40,"" 
""),)"),1.6270845)</f>
        <v>1.6270845</v>
      </c>
      <c r="F40" s="194" t="str">
        <f>IFERROR(__xludf.DUMMYFUNCTION("""COMPUTED_VALUE"""),"LDO")</f>
        <v>LDO</v>
      </c>
    </row>
    <row r="41">
      <c r="A41" s="26" t="str">
        <f t="shared" si="1"/>
        <v>TRANS</v>
      </c>
      <c r="B41" s="26" t="str">
        <f t="shared" si="2"/>
        <v/>
      </c>
      <c r="C41" s="207">
        <f t="shared" si="3"/>
        <v>-0.000005</v>
      </c>
      <c r="D41" s="200" t="s">
        <v>566</v>
      </c>
      <c r="E41" s="194">
        <f>IFERROR(__xludf.DUMMYFUNCTION("IF(D41&lt;&gt;"""",SPLIT(D41,"" 
""),)"),-0.183224)</f>
        <v>-0.183224</v>
      </c>
      <c r="F41" s="194" t="str">
        <f>IFERROR(__xludf.DUMMYFUNCTION("""COMPUTED_VALUE"""),"USDC")</f>
        <v>USDC</v>
      </c>
      <c r="G41" s="194">
        <f>IFERROR(__xludf.DUMMYFUNCTION("""COMPUTED_VALUE"""),-5.0E-6)</f>
        <v>-0.000005</v>
      </c>
      <c r="H41" s="194" t="str">
        <f>IFERROR(__xludf.DUMMYFUNCTION("""COMPUTED_VALUE"""),"SOL")</f>
        <v>SOL</v>
      </c>
    </row>
    <row r="42">
      <c r="A42" s="26" t="str">
        <f t="shared" si="1"/>
        <v>TRANS</v>
      </c>
      <c r="B42" s="26" t="str">
        <f t="shared" si="2"/>
        <v/>
      </c>
      <c r="C42" s="207">
        <f t="shared" si="3"/>
        <v>-0.00179176</v>
      </c>
      <c r="D42" s="200" t="s">
        <v>567</v>
      </c>
      <c r="E42" s="194">
        <f>IFERROR(__xludf.DUMMYFUNCTION("IF(D42&lt;&gt;"""",SPLIT(D42,"" 
""),)"),-0.227292)</f>
        <v>-0.227292</v>
      </c>
      <c r="F42" s="194" t="str">
        <f>IFERROR(__xludf.DUMMYFUNCTION("""COMPUTED_VALUE"""),"USDC")</f>
        <v>USDC</v>
      </c>
      <c r="G42" s="194">
        <f>IFERROR(__xludf.DUMMYFUNCTION("""COMPUTED_VALUE"""),-0.00179176)</f>
        <v>-0.00179176</v>
      </c>
      <c r="H42" s="194" t="str">
        <f>IFERROR(__xludf.DUMMYFUNCTION("""COMPUTED_VALUE"""),"SOL")</f>
        <v>SOL</v>
      </c>
    </row>
    <row r="43">
      <c r="A43" s="26" t="str">
        <f t="shared" si="1"/>
        <v>TRANS</v>
      </c>
      <c r="B43" s="26" t="str">
        <f t="shared" si="2"/>
        <v/>
      </c>
      <c r="C43" s="207">
        <f t="shared" si="3"/>
        <v>-0.000005</v>
      </c>
      <c r="D43" s="200" t="s">
        <v>568</v>
      </c>
      <c r="E43" s="194">
        <f>IFERROR(__xludf.DUMMYFUNCTION("IF(D43&lt;&gt;"""",SPLIT(D43,"" 
""),)"),-5.0E-6)</f>
        <v>-0.000005</v>
      </c>
      <c r="F43" s="194" t="str">
        <f>IFERROR(__xludf.DUMMYFUNCTION("""COMPUTED_VALUE"""),"SOL")</f>
        <v>SOL</v>
      </c>
    </row>
    <row r="44">
      <c r="A44" s="26" t="str">
        <f t="shared" si="1"/>
        <v>USDC-LARIX</v>
      </c>
      <c r="B44" s="26">
        <f t="shared" si="2"/>
        <v>-0.004184353238</v>
      </c>
      <c r="C44" s="207">
        <f t="shared" si="3"/>
        <v>-0.00204428</v>
      </c>
      <c r="D44" s="200" t="s">
        <v>569</v>
      </c>
      <c r="E44" s="194">
        <f>IFERROR(__xludf.DUMMYFUNCTION("IF(D44&lt;&gt;"""",SPLIT(D44,"" 
""),)"),0.36557)</f>
        <v>0.36557</v>
      </c>
      <c r="F44" s="194" t="str">
        <f>IFERROR(__xludf.DUMMYFUNCTION("""COMPUTED_VALUE"""),"USDC")</f>
        <v>USDC</v>
      </c>
      <c r="G44" s="194">
        <f>IFERROR(__xludf.DUMMYFUNCTION("""COMPUTED_VALUE"""),-87.365951)</f>
        <v>-87.365951</v>
      </c>
      <c r="H44" s="194" t="str">
        <f>IFERROR(__xludf.DUMMYFUNCTION("""COMPUTED_VALUE"""),"LARIX")</f>
        <v>LARIX</v>
      </c>
      <c r="I44" s="194">
        <f>IFERROR(__xludf.DUMMYFUNCTION("""COMPUTED_VALUE"""),-0.00204428)</f>
        <v>-0.00204428</v>
      </c>
      <c r="J44" s="194" t="str">
        <f>IFERROR(__xludf.DUMMYFUNCTION("""COMPUTED_VALUE"""),"SOL")</f>
        <v>SOL</v>
      </c>
    </row>
    <row r="45">
      <c r="A45" s="26" t="str">
        <f t="shared" si="1"/>
        <v>TRANS</v>
      </c>
      <c r="B45" s="26" t="str">
        <f t="shared" si="2"/>
        <v/>
      </c>
      <c r="C45" s="207">
        <f t="shared" si="3"/>
        <v>-0.000005</v>
      </c>
      <c r="D45" s="200" t="s">
        <v>570</v>
      </c>
      <c r="E45" s="194">
        <f>IFERROR(__xludf.DUMMYFUNCTION("IF(D45&lt;&gt;"""",SPLIT(D45,"" 
""),)"),87.276933)</f>
        <v>87.276933</v>
      </c>
      <c r="F45" s="194" t="str">
        <f>IFERROR(__xludf.DUMMYFUNCTION("""COMPUTED_VALUE"""),"LARIX")</f>
        <v>LARIX</v>
      </c>
      <c r="G45" s="194">
        <f>IFERROR(__xludf.DUMMYFUNCTION("""COMPUTED_VALUE"""),-5.0E-6)</f>
        <v>-0.000005</v>
      </c>
      <c r="H45" s="194" t="str">
        <f>IFERROR(__xludf.DUMMYFUNCTION("""COMPUTED_VALUE"""),"SOL")</f>
        <v>SOL</v>
      </c>
    </row>
    <row r="46">
      <c r="A46" s="26" t="str">
        <f t="shared" si="1"/>
        <v>TRANS</v>
      </c>
      <c r="B46" s="26" t="str">
        <f t="shared" si="2"/>
        <v/>
      </c>
      <c r="C46" s="207">
        <f t="shared" si="3"/>
        <v>-0.00179176</v>
      </c>
      <c r="D46" s="200" t="s">
        <v>571</v>
      </c>
      <c r="E46" s="194">
        <f>IFERROR(__xludf.DUMMYFUNCTION("IF(D46&lt;&gt;"""",SPLIT(D46,"" 
""),)"),-0.359905)</f>
        <v>-0.359905</v>
      </c>
      <c r="F46" s="194" t="str">
        <f>IFERROR(__xludf.DUMMYFUNCTION("""COMPUTED_VALUE"""),"USDC")</f>
        <v>USDC</v>
      </c>
      <c r="G46" s="194">
        <f>IFERROR(__xludf.DUMMYFUNCTION("""COMPUTED_VALUE"""),-0.00179176)</f>
        <v>-0.00179176</v>
      </c>
      <c r="H46" s="194" t="str">
        <f>IFERROR(__xludf.DUMMYFUNCTION("""COMPUTED_VALUE"""),"SOL")</f>
        <v>SOL</v>
      </c>
    </row>
    <row r="47">
      <c r="A47" s="26" t="str">
        <f t="shared" si="1"/>
        <v>TRANS</v>
      </c>
      <c r="B47" s="26" t="str">
        <f t="shared" si="2"/>
        <v/>
      </c>
      <c r="C47" s="207">
        <f t="shared" si="3"/>
        <v>-0.00151336</v>
      </c>
      <c r="D47" s="200" t="s">
        <v>572</v>
      </c>
      <c r="E47" s="194">
        <f>IFERROR(__xludf.DUMMYFUNCTION("IF(D47&lt;&gt;"""",SPLIT(D47,"" 
""),)"),-0.00151336)</f>
        <v>-0.00151336</v>
      </c>
      <c r="F47" s="194" t="str">
        <f>IFERROR(__xludf.DUMMYFUNCTION("""COMPUTED_VALUE"""),"SOL")</f>
        <v>SOL</v>
      </c>
    </row>
    <row r="48">
      <c r="A48" s="26" t="str">
        <f t="shared" si="1"/>
        <v>USDC-LARIX</v>
      </c>
      <c r="B48" s="26">
        <f t="shared" si="2"/>
        <v>-0.004187689277</v>
      </c>
      <c r="C48" s="207">
        <f t="shared" si="3"/>
        <v>-0.02336276</v>
      </c>
      <c r="D48" s="200" t="s">
        <v>573</v>
      </c>
      <c r="E48" s="194">
        <f>IFERROR(__xludf.DUMMYFUNCTION("IF(D48&lt;&gt;"""",SPLIT(D48,"" 
""),)"),0.404851)</f>
        <v>0.404851</v>
      </c>
      <c r="F48" s="194" t="str">
        <f>IFERROR(__xludf.DUMMYFUNCTION("""COMPUTED_VALUE"""),"USDC")</f>
        <v>USDC</v>
      </c>
      <c r="G48" s="194">
        <f>IFERROR(__xludf.DUMMYFUNCTION("""COMPUTED_VALUE"""),-96.676466)</f>
        <v>-96.676466</v>
      </c>
      <c r="H48" s="194" t="str">
        <f>IFERROR(__xludf.DUMMYFUNCTION("""COMPUTED_VALUE"""),"LARIX")</f>
        <v>LARIX</v>
      </c>
      <c r="I48" s="194">
        <f>IFERROR(__xludf.DUMMYFUNCTION("""COMPUTED_VALUE"""),-0.02336276)</f>
        <v>-0.02336276</v>
      </c>
      <c r="J48" s="194" t="str">
        <f>IFERROR(__xludf.DUMMYFUNCTION("""COMPUTED_VALUE"""),"SOL")</f>
        <v>SOL</v>
      </c>
    </row>
    <row r="49">
      <c r="A49" s="26" t="str">
        <f t="shared" si="1"/>
        <v>TRANS</v>
      </c>
      <c r="B49" s="26" t="str">
        <f t="shared" si="2"/>
        <v/>
      </c>
      <c r="C49" s="207">
        <f t="shared" si="3"/>
        <v>0.032150499</v>
      </c>
      <c r="D49" s="200" t="s">
        <v>574</v>
      </c>
      <c r="E49" s="194">
        <f>IFERROR(__xludf.DUMMYFUNCTION("IF(D49&lt;&gt;"""",SPLIT(D49,"" 
""),)"),0.032150499)</f>
        <v>0.032150499</v>
      </c>
      <c r="F49" s="194" t="str">
        <f>IFERROR(__xludf.DUMMYFUNCTION("""COMPUTED_VALUE"""),"SOL")</f>
        <v>SOL</v>
      </c>
      <c r="G49" s="194">
        <f>IFERROR(__xludf.DUMMYFUNCTION("""COMPUTED_VALUE"""),-1.0475955)</f>
        <v>-1.0475955</v>
      </c>
      <c r="H49" s="194" t="str">
        <f>IFERROR(__xludf.DUMMYFUNCTION("""COMPUTED_VALUE"""),"LDO")</f>
        <v>LDO</v>
      </c>
    </row>
    <row r="50">
      <c r="A50" s="26" t="str">
        <f t="shared" si="1"/>
        <v>TRANS</v>
      </c>
      <c r="B50" s="26" t="str">
        <f t="shared" si="2"/>
        <v/>
      </c>
      <c r="C50" s="207">
        <f t="shared" si="3"/>
        <v>-0.000005</v>
      </c>
      <c r="D50" s="200" t="s">
        <v>575</v>
      </c>
      <c r="E50" s="194">
        <f>IFERROR(__xludf.DUMMYFUNCTION("IF(D50&lt;&gt;"""",SPLIT(D50,"" 
""),)"),-20.887047207)</f>
        <v>-20.88704721</v>
      </c>
      <c r="F50" s="194" t="str">
        <f>IFERROR(__xludf.DUMMYFUNCTION("""COMPUTED_VALUE"""),"stSOL")</f>
        <v>stSOL</v>
      </c>
      <c r="G50" s="194">
        <f>IFERROR(__xludf.DUMMYFUNCTION("""COMPUTED_VALUE"""),-5.0E-6)</f>
        <v>-0.000005</v>
      </c>
      <c r="H50" s="194" t="str">
        <f>IFERROR(__xludf.DUMMYFUNCTION("""COMPUTED_VALUE"""),"SOL")</f>
        <v>SOL</v>
      </c>
    </row>
    <row r="51">
      <c r="A51" s="26" t="str">
        <f t="shared" si="1"/>
        <v>TRANS</v>
      </c>
      <c r="B51" s="26" t="str">
        <f t="shared" si="2"/>
        <v/>
      </c>
      <c r="C51" s="207">
        <f t="shared" si="3"/>
        <v>-0.000005</v>
      </c>
      <c r="D51" s="200" t="s">
        <v>576</v>
      </c>
      <c r="E51" s="194">
        <f>IFERROR(__xludf.DUMMYFUNCTION("IF(D51&lt;&gt;"""",SPLIT(D51,"" 
""),)"),20.887047207)</f>
        <v>20.88704721</v>
      </c>
      <c r="F51" s="194" t="str">
        <f>IFERROR(__xludf.DUMMYFUNCTION("""COMPUTED_VALUE"""),"stSOL")</f>
        <v>stSOL</v>
      </c>
      <c r="G51" s="194">
        <f>IFERROR(__xludf.DUMMYFUNCTION("""COMPUTED_VALUE"""),-21.490005)</f>
        <v>-21.490005</v>
      </c>
      <c r="H51" s="194" t="str">
        <f>IFERROR(__xludf.DUMMYFUNCTION("""COMPUTED_VALUE"""),"SOL")</f>
        <v>SOL</v>
      </c>
    </row>
    <row r="52">
      <c r="A52" s="26" t="str">
        <f t="shared" si="1"/>
        <v>RECV</v>
      </c>
      <c r="B52" s="26" t="str">
        <f t="shared" si="2"/>
        <v/>
      </c>
      <c r="C52" s="207" t="str">
        <f t="shared" si="3"/>
        <v/>
      </c>
      <c r="D52" s="200" t="s">
        <v>577</v>
      </c>
      <c r="E52" s="194">
        <f>IFERROR(__xludf.DUMMYFUNCTION("IF(D52&lt;&gt;"""",SPLIT(D52,"" 
""),)"),21.489995)</f>
        <v>21.489995</v>
      </c>
      <c r="F52" s="194" t="str">
        <f>IFERROR(__xludf.DUMMYFUNCTION("""COMPUTED_VALUE"""),"SOL")</f>
        <v>SOL</v>
      </c>
      <c r="G52" s="194"/>
      <c r="H52" s="194"/>
    </row>
    <row r="53">
      <c r="A53" s="26" t="str">
        <f t="shared" si="1"/>
        <v>TRANS</v>
      </c>
      <c r="B53" s="26" t="str">
        <f t="shared" si="2"/>
        <v/>
      </c>
      <c r="C53" s="207">
        <f t="shared" si="3"/>
        <v>-0.000005</v>
      </c>
      <c r="D53" s="200" t="s">
        <v>578</v>
      </c>
      <c r="E53" s="194">
        <f>IFERROR(__xludf.DUMMYFUNCTION("IF(D53&lt;&gt;"""",SPLIT(D53,"" 
""),)"),-12.82964277)</f>
        <v>-12.82964277</v>
      </c>
      <c r="F53" s="194" t="str">
        <f>IFERROR(__xludf.DUMMYFUNCTION("""COMPUTED_VALUE"""),"stSOL")</f>
        <v>stSOL</v>
      </c>
      <c r="G53" s="194">
        <f>IFERROR(__xludf.DUMMYFUNCTION("""COMPUTED_VALUE"""),-5.0E-6)</f>
        <v>-0.000005</v>
      </c>
      <c r="H53" s="194" t="str">
        <f>IFERROR(__xludf.DUMMYFUNCTION("""COMPUTED_VALUE"""),"SOL")</f>
        <v>SOL</v>
      </c>
    </row>
    <row r="54">
      <c r="A54" s="26" t="str">
        <f t="shared" si="1"/>
        <v>TRANS</v>
      </c>
      <c r="B54" s="26" t="str">
        <f t="shared" si="2"/>
        <v/>
      </c>
      <c r="C54" s="207">
        <f t="shared" si="3"/>
        <v>-0.000005</v>
      </c>
      <c r="D54" s="200" t="s">
        <v>579</v>
      </c>
      <c r="E54" s="194">
        <f>IFERROR(__xludf.DUMMYFUNCTION("IF(D54&lt;&gt;"""",SPLIT(D54,"" 
""),)"),12.82964277)</f>
        <v>12.82964277</v>
      </c>
      <c r="F54" s="194" t="str">
        <f>IFERROR(__xludf.DUMMYFUNCTION("""COMPUTED_VALUE"""),"stSOL")</f>
        <v>stSOL</v>
      </c>
      <c r="G54" s="194">
        <f>IFERROR(__xludf.DUMMYFUNCTION("""COMPUTED_VALUE"""),-13.200005)</f>
        <v>-13.200005</v>
      </c>
      <c r="H54" s="194" t="str">
        <f>IFERROR(__xludf.DUMMYFUNCTION("""COMPUTED_VALUE"""),"SOL")</f>
        <v>SOL</v>
      </c>
    </row>
    <row r="55">
      <c r="A55" s="26" t="str">
        <f t="shared" si="1"/>
        <v>RECV</v>
      </c>
      <c r="B55" s="26" t="str">
        <f t="shared" si="2"/>
        <v/>
      </c>
      <c r="C55" s="207" t="str">
        <f t="shared" si="3"/>
        <v/>
      </c>
      <c r="D55" s="200" t="s">
        <v>580</v>
      </c>
      <c r="E55" s="194">
        <f>IFERROR(__xludf.DUMMYFUNCTION("IF(D55&lt;&gt;"""",SPLIT(D55,"" 
""),)"),13.20066271)</f>
        <v>13.20066271</v>
      </c>
      <c r="F55" s="194" t="str">
        <f>IFERROR(__xludf.DUMMYFUNCTION("""COMPUTED_VALUE"""),"SOL")</f>
        <v>SOL</v>
      </c>
      <c r="G55" s="194"/>
      <c r="H55" s="194"/>
    </row>
    <row r="56">
      <c r="A56" s="26" t="str">
        <f t="shared" si="1"/>
        <v>TRANS</v>
      </c>
      <c r="B56" s="26" t="str">
        <f t="shared" si="2"/>
        <v/>
      </c>
      <c r="C56" s="207">
        <f t="shared" si="3"/>
        <v>-0.000005</v>
      </c>
      <c r="D56" s="200" t="s">
        <v>581</v>
      </c>
      <c r="E56" s="194">
        <f>IFERROR(__xludf.DUMMYFUNCTION("IF(D56&lt;&gt;"""",SPLIT(D56,"" 
""),)"),-23.015601575)</f>
        <v>-23.01560158</v>
      </c>
      <c r="F56" s="194" t="str">
        <f>IFERROR(__xludf.DUMMYFUNCTION("""COMPUTED_VALUE"""),"stSOL")</f>
        <v>stSOL</v>
      </c>
      <c r="G56" s="194">
        <f>IFERROR(__xludf.DUMMYFUNCTION("""COMPUTED_VALUE"""),-5.0E-6)</f>
        <v>-0.000005</v>
      </c>
      <c r="H56" s="194" t="str">
        <f>IFERROR(__xludf.DUMMYFUNCTION("""COMPUTED_VALUE"""),"SOL")</f>
        <v>SOL</v>
      </c>
    </row>
    <row r="57">
      <c r="A57" s="26" t="str">
        <f t="shared" si="1"/>
        <v>TRANS</v>
      </c>
      <c r="B57" s="26" t="str">
        <f t="shared" si="2"/>
        <v/>
      </c>
      <c r="C57" s="207">
        <f t="shared" si="3"/>
        <v>-0.000005</v>
      </c>
      <c r="D57" s="200" t="s">
        <v>582</v>
      </c>
      <c r="E57" s="194">
        <f>IFERROR(__xludf.DUMMYFUNCTION("IF(D57&lt;&gt;"""",SPLIT(D57,"" 
""),)"),23.015601575)</f>
        <v>23.01560158</v>
      </c>
      <c r="F57" s="194" t="str">
        <f>IFERROR(__xludf.DUMMYFUNCTION("""COMPUTED_VALUE"""),"stSOL")</f>
        <v>stSOL</v>
      </c>
      <c r="G57" s="194">
        <f>IFERROR(__xludf.DUMMYFUNCTION("""COMPUTED_VALUE"""),-23.680005)</f>
        <v>-23.680005</v>
      </c>
      <c r="H57" s="194" t="str">
        <f>IFERROR(__xludf.DUMMYFUNCTION("""COMPUTED_VALUE"""),"SOL")</f>
        <v>SOL</v>
      </c>
    </row>
    <row r="58">
      <c r="A58" s="26" t="str">
        <f t="shared" si="1"/>
        <v>RECV</v>
      </c>
      <c r="B58" s="26" t="str">
        <f t="shared" si="2"/>
        <v/>
      </c>
      <c r="C58" s="207" t="str">
        <f t="shared" si="3"/>
        <v/>
      </c>
      <c r="D58" s="200" t="s">
        <v>583</v>
      </c>
      <c r="E58" s="194">
        <f>IFERROR(__xludf.DUMMYFUNCTION("IF(D58&lt;&gt;"""",SPLIT(D58,"" 
""),)"),23.679995)</f>
        <v>23.679995</v>
      </c>
      <c r="F58" s="194" t="str">
        <f>IFERROR(__xludf.DUMMYFUNCTION("""COMPUTED_VALUE"""),"SOL")</f>
        <v>SOL</v>
      </c>
      <c r="G58" s="194"/>
      <c r="H58" s="194"/>
    </row>
    <row r="59">
      <c r="A59" s="26" t="str">
        <f t="shared" si="1"/>
        <v>TRANS</v>
      </c>
      <c r="B59" s="26" t="str">
        <f t="shared" si="2"/>
        <v/>
      </c>
      <c r="C59" s="207">
        <f t="shared" si="3"/>
        <v>-0.000005</v>
      </c>
      <c r="D59" s="200" t="s">
        <v>584</v>
      </c>
      <c r="E59" s="194">
        <f>IFERROR(__xludf.DUMMYFUNCTION("IF(D59&lt;&gt;"""",SPLIT(D59,"" 
""),)"),-12.819863707)</f>
        <v>-12.81986371</v>
      </c>
      <c r="F59" s="194" t="str">
        <f>IFERROR(__xludf.DUMMYFUNCTION("""COMPUTED_VALUE"""),"stSOL")</f>
        <v>stSOL</v>
      </c>
      <c r="G59" s="194">
        <f>IFERROR(__xludf.DUMMYFUNCTION("""COMPUTED_VALUE"""),-5.0E-6)</f>
        <v>-0.000005</v>
      </c>
      <c r="H59" s="194" t="str">
        <f>IFERROR(__xludf.DUMMYFUNCTION("""COMPUTED_VALUE"""),"SOL")</f>
        <v>SOL</v>
      </c>
    </row>
    <row r="60">
      <c r="A60" s="26" t="str">
        <f t="shared" si="1"/>
        <v>TRANS</v>
      </c>
      <c r="B60" s="26" t="str">
        <f t="shared" si="2"/>
        <v/>
      </c>
      <c r="C60" s="207">
        <f t="shared" si="3"/>
        <v>-0.000005</v>
      </c>
      <c r="D60" s="200" t="s">
        <v>585</v>
      </c>
      <c r="E60" s="194">
        <f>IFERROR(__xludf.DUMMYFUNCTION("IF(D60&lt;&gt;"""",SPLIT(D60,"" 
""),)"),12.72272908)</f>
        <v>12.72272908</v>
      </c>
      <c r="F60" s="194" t="str">
        <f>IFERROR(__xludf.DUMMYFUNCTION("""COMPUTED_VALUE"""),"stSOL")</f>
        <v>stSOL</v>
      </c>
      <c r="G60" s="194">
        <f>IFERROR(__xludf.DUMMYFUNCTION("""COMPUTED_VALUE"""),-13.090005)</f>
        <v>-13.090005</v>
      </c>
      <c r="H60" s="194" t="str">
        <f>IFERROR(__xludf.DUMMYFUNCTION("""COMPUTED_VALUE"""),"SOL")</f>
        <v>SOL</v>
      </c>
    </row>
    <row r="61">
      <c r="A61" s="26" t="str">
        <f t="shared" si="1"/>
        <v>RECV</v>
      </c>
      <c r="B61" s="26" t="str">
        <f t="shared" si="2"/>
        <v/>
      </c>
      <c r="C61" s="207" t="str">
        <f t="shared" si="3"/>
        <v/>
      </c>
      <c r="D61" s="200" t="s">
        <v>586</v>
      </c>
      <c r="E61" s="194">
        <f>IFERROR(__xludf.DUMMYFUNCTION("IF(D61&lt;&gt;"""",SPLIT(D61,"" 
""),)"),13.08638106)</f>
        <v>13.08638106</v>
      </c>
      <c r="F61" s="194" t="str">
        <f>IFERROR(__xludf.DUMMYFUNCTION("""COMPUTED_VALUE"""),"SOL")</f>
        <v>SOL</v>
      </c>
      <c r="G61" s="194"/>
      <c r="H61" s="194"/>
    </row>
    <row r="62">
      <c r="A62" s="26" t="str">
        <f t="shared" si="1"/>
        <v>TRANS</v>
      </c>
      <c r="B62" s="26" t="str">
        <f t="shared" si="2"/>
        <v/>
      </c>
      <c r="C62" s="207" t="str">
        <f t="shared" si="3"/>
        <v/>
      </c>
      <c r="D62" s="200" t="s">
        <v>587</v>
      </c>
      <c r="E62" s="194">
        <f>IFERROR(__xludf.DUMMYFUNCTION("IF(D62&lt;&gt;"""",SPLIT(D62,"" 
""),)"),1.0475955)</f>
        <v>1.0475955</v>
      </c>
      <c r="F62" s="194" t="str">
        <f>IFERROR(__xludf.DUMMYFUNCTION("""COMPUTED_VALUE"""),"LDO")</f>
        <v>LDO</v>
      </c>
    </row>
    <row r="63">
      <c r="A63" s="26" t="str">
        <f t="shared" si="1"/>
        <v>stSOL-LDO</v>
      </c>
      <c r="B63" s="26">
        <f t="shared" si="2"/>
        <v>-0.02621986837</v>
      </c>
      <c r="C63" s="207">
        <f t="shared" si="3"/>
        <v>-0.000005</v>
      </c>
      <c r="D63" s="200" t="s">
        <v>588</v>
      </c>
      <c r="E63" s="194">
        <f>IFERROR(__xludf.DUMMYFUNCTION("IF(D63&lt;&gt;"""",SPLIT(D63,"" 
""),)"),0.097134627)</f>
        <v>0.097134627</v>
      </c>
      <c r="F63" s="194" t="str">
        <f>IFERROR(__xludf.DUMMYFUNCTION("""COMPUTED_VALUE"""),"stSOL")</f>
        <v>stSOL</v>
      </c>
      <c r="G63" s="194">
        <f>IFERROR(__xludf.DUMMYFUNCTION("""COMPUTED_VALUE"""),-3.70461917)</f>
        <v>-3.70461917</v>
      </c>
      <c r="H63" s="194" t="str">
        <f>IFERROR(__xludf.DUMMYFUNCTION("""COMPUTED_VALUE"""),"LDO")</f>
        <v>LDO</v>
      </c>
      <c r="I63" s="194">
        <f>IFERROR(__xludf.DUMMYFUNCTION("""COMPUTED_VALUE"""),-5.0E-6)</f>
        <v>-0.000005</v>
      </c>
      <c r="J63" s="194" t="str">
        <f>IFERROR(__xludf.DUMMYFUNCTION("""COMPUTED_VALUE"""),"SOL")</f>
        <v>SOL</v>
      </c>
    </row>
    <row r="64">
      <c r="A64" s="26" t="str">
        <f t="shared" si="1"/>
        <v>TRANS</v>
      </c>
      <c r="B64" s="26" t="str">
        <f t="shared" si="2"/>
        <v/>
      </c>
      <c r="C64" s="207">
        <f t="shared" si="3"/>
        <v>-0.000005</v>
      </c>
      <c r="D64" s="200" t="s">
        <v>589</v>
      </c>
      <c r="E64" s="194">
        <f>IFERROR(__xludf.DUMMYFUNCTION("IF(D64&lt;&gt;"""",SPLIT(D64,"" 
""),)"),96.765486)</f>
        <v>96.765486</v>
      </c>
      <c r="F64" s="194" t="str">
        <f>IFERROR(__xludf.DUMMYFUNCTION("""COMPUTED_VALUE"""),"LARIX")</f>
        <v>LARIX</v>
      </c>
      <c r="G64" s="194">
        <f>IFERROR(__xludf.DUMMYFUNCTION("""COMPUTED_VALUE"""),-5.0E-6)</f>
        <v>-0.000005</v>
      </c>
      <c r="H64" s="194" t="str">
        <f>IFERROR(__xludf.DUMMYFUNCTION("""COMPUTED_VALUE"""),"SOL")</f>
        <v>SOL</v>
      </c>
    </row>
    <row r="65">
      <c r="A65" s="26" t="str">
        <f t="shared" si="1"/>
        <v>TRANS</v>
      </c>
      <c r="B65" s="26" t="str">
        <f t="shared" si="2"/>
        <v/>
      </c>
      <c r="C65" s="207">
        <f t="shared" si="3"/>
        <v>-0.000005</v>
      </c>
      <c r="D65" s="200" t="s">
        <v>590</v>
      </c>
      <c r="E65" s="194">
        <f>IFERROR(__xludf.DUMMYFUNCTION("IF(D65&lt;&gt;"""",SPLIT(D65,"" 
""),)"),-9.563915519)</f>
        <v>-9.563915519</v>
      </c>
      <c r="F65" s="194" t="str">
        <f>IFERROR(__xludf.DUMMYFUNCTION("""COMPUTED_VALUE"""),"stSOL")</f>
        <v>stSOL</v>
      </c>
      <c r="G65" s="194">
        <f>IFERROR(__xludf.DUMMYFUNCTION("""COMPUTED_VALUE"""),-5.0E-6)</f>
        <v>-0.000005</v>
      </c>
      <c r="H65" s="194" t="str">
        <f>IFERROR(__xludf.DUMMYFUNCTION("""COMPUTED_VALUE"""),"SOL")</f>
        <v>SOL</v>
      </c>
    </row>
    <row r="66">
      <c r="A66" s="26" t="str">
        <f t="shared" si="1"/>
        <v>TRANS</v>
      </c>
      <c r="B66" s="26" t="str">
        <f t="shared" si="2"/>
        <v/>
      </c>
      <c r="C66" s="207">
        <f t="shared" si="3"/>
        <v>-0.000005</v>
      </c>
      <c r="D66" s="200" t="s">
        <v>591</v>
      </c>
      <c r="E66" s="194">
        <f>IFERROR(__xludf.DUMMYFUNCTION("IF(D66&lt;&gt;"""",SPLIT(D66,"" 
""),)"),9.563915519)</f>
        <v>9.563915519</v>
      </c>
      <c r="F66" s="194" t="str">
        <f>IFERROR(__xludf.DUMMYFUNCTION("""COMPUTED_VALUE"""),"stSOL")</f>
        <v>stSOL</v>
      </c>
      <c r="G66" s="194">
        <f>IFERROR(__xludf.DUMMYFUNCTION("""COMPUTED_VALUE"""),-9.840005)</f>
        <v>-9.840005</v>
      </c>
      <c r="H66" s="194" t="str">
        <f>IFERROR(__xludf.DUMMYFUNCTION("""COMPUTED_VALUE"""),"SOL")</f>
        <v>SOL</v>
      </c>
    </row>
    <row r="67">
      <c r="A67" s="26" t="str">
        <f t="shared" si="1"/>
        <v>RECV</v>
      </c>
      <c r="B67" s="26" t="str">
        <f t="shared" si="2"/>
        <v/>
      </c>
      <c r="C67" s="207" t="str">
        <f t="shared" si="3"/>
        <v/>
      </c>
      <c r="D67" s="200" t="s">
        <v>592</v>
      </c>
      <c r="E67" s="194">
        <f>IFERROR(__xludf.DUMMYFUNCTION("IF(D67&lt;&gt;"""",SPLIT(D67,"" 
""),)"),9.839995)</f>
        <v>9.839995</v>
      </c>
      <c r="F67" s="194" t="str">
        <f>IFERROR(__xludf.DUMMYFUNCTION("""COMPUTED_VALUE"""),"SOL")</f>
        <v>SOL</v>
      </c>
      <c r="G67" s="194"/>
      <c r="H67" s="194"/>
    </row>
    <row r="68">
      <c r="A68" s="26" t="str">
        <f t="shared" si="1"/>
        <v>TRANS</v>
      </c>
      <c r="B68" s="26" t="str">
        <f t="shared" si="2"/>
        <v/>
      </c>
      <c r="C68" s="207">
        <f t="shared" si="3"/>
        <v>-0.000005</v>
      </c>
      <c r="D68" s="200" t="s">
        <v>593</v>
      </c>
      <c r="E68" s="194">
        <f>IFERROR(__xludf.DUMMYFUNCTION("IF(D68&lt;&gt;"""",SPLIT(D68,"" 
""),)"),-12.761606785)</f>
        <v>-12.76160679</v>
      </c>
      <c r="F68" s="194" t="str">
        <f>IFERROR(__xludf.DUMMYFUNCTION("""COMPUTED_VALUE"""),"stSOL")</f>
        <v>stSOL</v>
      </c>
      <c r="G68" s="194">
        <f>IFERROR(__xludf.DUMMYFUNCTION("""COMPUTED_VALUE"""),-5.0E-6)</f>
        <v>-0.000005</v>
      </c>
      <c r="H68" s="194" t="str">
        <f>IFERROR(__xludf.DUMMYFUNCTION("""COMPUTED_VALUE"""),"SOL")</f>
        <v>SOL</v>
      </c>
    </row>
    <row r="69">
      <c r="A69" s="26" t="str">
        <f t="shared" si="1"/>
        <v>TRANS</v>
      </c>
      <c r="B69" s="26" t="str">
        <f t="shared" si="2"/>
        <v/>
      </c>
      <c r="C69" s="207">
        <f t="shared" si="3"/>
        <v>-0.000005</v>
      </c>
      <c r="D69" s="200" t="s">
        <v>594</v>
      </c>
      <c r="E69" s="194">
        <f>IFERROR(__xludf.DUMMYFUNCTION("IF(D69&lt;&gt;"""",SPLIT(D69,"" 
""),)"),12.761606785)</f>
        <v>12.76160679</v>
      </c>
      <c r="F69" s="194" t="str">
        <f>IFERROR(__xludf.DUMMYFUNCTION("""COMPUTED_VALUE"""),"stSOL")</f>
        <v>stSOL</v>
      </c>
      <c r="G69" s="194">
        <f>IFERROR(__xludf.DUMMYFUNCTION("""COMPUTED_VALUE"""),-13.130005)</f>
        <v>-13.130005</v>
      </c>
      <c r="H69" s="194" t="str">
        <f>IFERROR(__xludf.DUMMYFUNCTION("""COMPUTED_VALUE"""),"SOL")</f>
        <v>SOL</v>
      </c>
    </row>
    <row r="70">
      <c r="A70" s="26" t="str">
        <f t="shared" si="1"/>
        <v>RECV</v>
      </c>
      <c r="B70" s="26" t="str">
        <f t="shared" si="2"/>
        <v/>
      </c>
      <c r="C70" s="207" t="str">
        <f t="shared" si="3"/>
        <v/>
      </c>
      <c r="D70" s="200" t="s">
        <v>595</v>
      </c>
      <c r="E70" s="194">
        <f>IFERROR(__xludf.DUMMYFUNCTION("IF(D70&lt;&gt;"""",SPLIT(D70,"" 
""),)"),13.06319325)</f>
        <v>13.06319325</v>
      </c>
      <c r="F70" s="194" t="str">
        <f>IFERROR(__xludf.DUMMYFUNCTION("""COMPUTED_VALUE"""),"SOL")</f>
        <v>SOL</v>
      </c>
      <c r="G70" s="194"/>
      <c r="H70" s="194"/>
    </row>
    <row r="71">
      <c r="A71" s="26" t="str">
        <f t="shared" si="1"/>
        <v>TRANS</v>
      </c>
      <c r="B71" s="26" t="str">
        <f t="shared" si="2"/>
        <v/>
      </c>
      <c r="C71" s="207" t="str">
        <f t="shared" si="3"/>
        <v/>
      </c>
      <c r="D71" s="200" t="s">
        <v>596</v>
      </c>
      <c r="E71" s="194">
        <f>IFERROR(__xludf.DUMMYFUNCTION("IF(D71&lt;&gt;"""",SPLIT(D71,"" 
""),)"),0.90604598)</f>
        <v>0.90604598</v>
      </c>
      <c r="F71" s="194" t="str">
        <f>IFERROR(__xludf.DUMMYFUNCTION("""COMPUTED_VALUE"""),"LDO")</f>
        <v>LDO</v>
      </c>
    </row>
    <row r="72">
      <c r="A72" s="26" t="str">
        <f t="shared" si="1"/>
        <v>TRANS</v>
      </c>
      <c r="B72" s="26" t="str">
        <f t="shared" si="2"/>
        <v/>
      </c>
      <c r="C72" s="207" t="str">
        <f t="shared" si="3"/>
        <v/>
      </c>
      <c r="D72" s="200" t="s">
        <v>597</v>
      </c>
      <c r="E72" s="194">
        <f>IFERROR(__xludf.DUMMYFUNCTION("IF(D72&lt;&gt;"""",SPLIT(D72,"" 
""),)"),0.907307)</f>
        <v>0.907307</v>
      </c>
      <c r="F72" s="194" t="str">
        <f>IFERROR(__xludf.DUMMYFUNCTION("""COMPUTED_VALUE"""),"LDO")</f>
        <v>LDO</v>
      </c>
    </row>
    <row r="73">
      <c r="A73" s="26" t="str">
        <f t="shared" si="1"/>
        <v>TRANS</v>
      </c>
      <c r="B73" s="26" t="str">
        <f t="shared" si="2"/>
        <v/>
      </c>
      <c r="C73" s="207" t="str">
        <f t="shared" si="3"/>
        <v/>
      </c>
      <c r="D73" s="200" t="s">
        <v>598</v>
      </c>
      <c r="E73" s="194">
        <f>IFERROR(__xludf.DUMMYFUNCTION("IF(D73&lt;&gt;"""",SPLIT(D73,"" 
""),)"),0.69061369)</f>
        <v>0.69061369</v>
      </c>
      <c r="F73" s="194" t="str">
        <f>IFERROR(__xludf.DUMMYFUNCTION("""COMPUTED_VALUE"""),"LDO")</f>
        <v>LDO</v>
      </c>
    </row>
    <row r="74">
      <c r="A74" s="26" t="str">
        <f t="shared" si="1"/>
        <v>RECV</v>
      </c>
      <c r="B74" s="26" t="str">
        <f t="shared" si="2"/>
        <v/>
      </c>
      <c r="C74" s="207" t="str">
        <f t="shared" si="3"/>
        <v/>
      </c>
      <c r="D74" s="200" t="s">
        <v>599</v>
      </c>
      <c r="E74" s="194">
        <f>IFERROR(__xludf.DUMMYFUNCTION("IF(D74&lt;&gt;"""",SPLIT(D74,"" 
""),)"),0.06784533)</f>
        <v>0.06784533</v>
      </c>
      <c r="F74" s="194" t="str">
        <f>IFERROR(__xludf.DUMMYFUNCTION("""COMPUTED_VALUE"""),"SOL")</f>
        <v>SOL</v>
      </c>
      <c r="G74" s="194"/>
      <c r="H74" s="194"/>
    </row>
    <row r="75">
      <c r="A75" s="26" t="str">
        <f t="shared" si="1"/>
        <v>TRANS</v>
      </c>
      <c r="B75" s="26" t="str">
        <f t="shared" si="2"/>
        <v/>
      </c>
      <c r="C75" s="207">
        <f t="shared" si="3"/>
        <v>-0.00204428</v>
      </c>
      <c r="D75" s="200" t="s">
        <v>600</v>
      </c>
      <c r="E75" s="194">
        <f>IFERROR(__xludf.DUMMYFUNCTION("IF(D75&lt;&gt;"""",SPLIT(D75,"" 
""),)"),-41.857517)</f>
        <v>-41.857517</v>
      </c>
      <c r="F75" s="194" t="str">
        <f>IFERROR(__xludf.DUMMYFUNCTION("""COMPUTED_VALUE"""),"UST")</f>
        <v>UST</v>
      </c>
      <c r="G75" s="194">
        <f>IFERROR(__xludf.DUMMYFUNCTION("""COMPUTED_VALUE"""),-0.00204428)</f>
        <v>-0.00204428</v>
      </c>
      <c r="H75" s="194" t="str">
        <f>IFERROR(__xludf.DUMMYFUNCTION("""COMPUTED_VALUE"""),"SOL")</f>
        <v>SOL</v>
      </c>
    </row>
    <row r="76">
      <c r="A76" s="26" t="str">
        <f t="shared" si="1"/>
        <v>UST-USDC</v>
      </c>
      <c r="B76" s="26">
        <f t="shared" si="2"/>
        <v>-0.9956188981</v>
      </c>
      <c r="C76" s="207">
        <f t="shared" si="3"/>
        <v>-0.00204428</v>
      </c>
      <c r="D76" s="200" t="s">
        <v>601</v>
      </c>
      <c r="E76" s="194">
        <f>IFERROR(__xludf.DUMMYFUNCTION("IF(D76&lt;&gt;"""",SPLIT(D76,"" 
""),)"),41.857517)</f>
        <v>41.857517</v>
      </c>
      <c r="F76" s="194" t="str">
        <f>IFERROR(__xludf.DUMMYFUNCTION("""COMPUTED_VALUE"""),"UST")</f>
        <v>UST</v>
      </c>
      <c r="G76" s="194">
        <f>IFERROR(__xludf.DUMMYFUNCTION("""COMPUTED_VALUE"""),-42.041706)</f>
        <v>-42.041706</v>
      </c>
      <c r="H76" s="194" t="str">
        <f>IFERROR(__xludf.DUMMYFUNCTION("""COMPUTED_VALUE"""),"USDC")</f>
        <v>USDC</v>
      </c>
      <c r="I76" s="194">
        <f>IFERROR(__xludf.DUMMYFUNCTION("""COMPUTED_VALUE"""),-0.00204428)</f>
        <v>-0.00204428</v>
      </c>
      <c r="J76" s="194" t="str">
        <f>IFERROR(__xludf.DUMMYFUNCTION("""COMPUTED_VALUE"""),"SOL")</f>
        <v>SOL</v>
      </c>
    </row>
    <row r="77">
      <c r="A77" s="26" t="str">
        <f t="shared" si="1"/>
        <v>TRANS</v>
      </c>
      <c r="B77" s="26" t="str">
        <f t="shared" si="2"/>
        <v/>
      </c>
      <c r="C77" s="207">
        <f t="shared" si="3"/>
        <v>-0.000005</v>
      </c>
      <c r="D77" s="200" t="s">
        <v>602</v>
      </c>
      <c r="E77" s="194">
        <f>IFERROR(__xludf.DUMMYFUNCTION("IF(D77&lt;&gt;"""",SPLIT(D77,"" 
""),)"),42.041706)</f>
        <v>42.041706</v>
      </c>
      <c r="F77" s="194" t="str">
        <f>IFERROR(__xludf.DUMMYFUNCTION("""COMPUTED_VALUE"""),"USDC")</f>
        <v>USDC</v>
      </c>
      <c r="G77" s="194">
        <f>IFERROR(__xludf.DUMMYFUNCTION("""COMPUTED_VALUE"""),-5.0E-6)</f>
        <v>-0.000005</v>
      </c>
      <c r="H77" s="194" t="str">
        <f>IFERROR(__xludf.DUMMYFUNCTION("""COMPUTED_VALUE"""),"SOL")</f>
        <v>SOL</v>
      </c>
    </row>
    <row r="78">
      <c r="A78" s="26" t="str">
        <f t="shared" si="1"/>
        <v>TRANS</v>
      </c>
      <c r="B78" s="26" t="str">
        <f t="shared" si="2"/>
        <v/>
      </c>
      <c r="C78" s="207">
        <f t="shared" si="3"/>
        <v>-0.000005</v>
      </c>
      <c r="D78" s="200" t="s">
        <v>603</v>
      </c>
      <c r="E78" s="194">
        <f>IFERROR(__xludf.DUMMYFUNCTION("IF(D78&lt;&gt;"""",SPLIT(D78,"" 
""),)"),-6.952456147)</f>
        <v>-6.952456147</v>
      </c>
      <c r="F78" s="194" t="str">
        <f>IFERROR(__xludf.DUMMYFUNCTION("""COMPUTED_VALUE"""),"stSOL")</f>
        <v>stSOL</v>
      </c>
      <c r="G78" s="194">
        <f>IFERROR(__xludf.DUMMYFUNCTION("""COMPUTED_VALUE"""),-5.0E-6)</f>
        <v>-0.000005</v>
      </c>
      <c r="H78" s="194" t="str">
        <f>IFERROR(__xludf.DUMMYFUNCTION("""COMPUTED_VALUE"""),"SOL")</f>
        <v>SOL</v>
      </c>
    </row>
    <row r="79">
      <c r="A79" s="26" t="str">
        <f t="shared" si="1"/>
        <v>TRANS</v>
      </c>
      <c r="B79" s="26" t="str">
        <f t="shared" si="2"/>
        <v/>
      </c>
      <c r="C79" s="207">
        <f t="shared" si="3"/>
        <v>-0.000005</v>
      </c>
      <c r="D79" s="200" t="s">
        <v>604</v>
      </c>
      <c r="E79" s="194">
        <f>IFERROR(__xludf.DUMMYFUNCTION("IF(D79&lt;&gt;"""",SPLIT(D79,"" 
""),)"),6.952456147)</f>
        <v>6.952456147</v>
      </c>
      <c r="F79" s="194" t="str">
        <f>IFERROR(__xludf.DUMMYFUNCTION("""COMPUTED_VALUE"""),"stSOL")</f>
        <v>stSOL</v>
      </c>
      <c r="G79" s="194">
        <f>IFERROR(__xludf.DUMMYFUNCTION("""COMPUTED_VALUE"""),-7.150005)</f>
        <v>-7.150005</v>
      </c>
      <c r="H79" s="194" t="str">
        <f>IFERROR(__xludf.DUMMYFUNCTION("""COMPUTED_VALUE"""),"SOL")</f>
        <v>SOL</v>
      </c>
    </row>
    <row r="80">
      <c r="A80" s="26" t="str">
        <f t="shared" si="1"/>
        <v>RECV</v>
      </c>
      <c r="B80" s="26" t="str">
        <f t="shared" si="2"/>
        <v/>
      </c>
      <c r="C80" s="207" t="str">
        <f t="shared" si="3"/>
        <v/>
      </c>
      <c r="D80" s="200" t="s">
        <v>605</v>
      </c>
      <c r="E80" s="194">
        <f>IFERROR(__xludf.DUMMYFUNCTION("IF(D80&lt;&gt;"""",SPLIT(D80,"" 
""),)"),7.149995)</f>
        <v>7.149995</v>
      </c>
      <c r="F80" s="194" t="str">
        <f>IFERROR(__xludf.DUMMYFUNCTION("""COMPUTED_VALUE"""),"SOL")</f>
        <v>SOL</v>
      </c>
      <c r="G80" s="194"/>
      <c r="H80" s="194"/>
    </row>
    <row r="81">
      <c r="A81" s="26" t="str">
        <f t="shared" si="1"/>
        <v>TRANS</v>
      </c>
      <c r="B81" s="26" t="str">
        <f t="shared" si="2"/>
        <v/>
      </c>
      <c r="C81" s="207">
        <f t="shared" si="3"/>
        <v>-0.000005</v>
      </c>
      <c r="D81" s="200" t="s">
        <v>606</v>
      </c>
      <c r="E81" s="194">
        <f>IFERROR(__xludf.DUMMYFUNCTION("IF(D81&lt;&gt;"""",SPLIT(D81,"" 
""),)"),-11.755971304)</f>
        <v>-11.7559713</v>
      </c>
      <c r="F81" s="194" t="str">
        <f>IFERROR(__xludf.DUMMYFUNCTION("""COMPUTED_VALUE"""),"stSOL")</f>
        <v>stSOL</v>
      </c>
      <c r="G81" s="194">
        <f>IFERROR(__xludf.DUMMYFUNCTION("""COMPUTED_VALUE"""),-5.0E-6)</f>
        <v>-0.000005</v>
      </c>
      <c r="H81" s="194" t="str">
        <f>IFERROR(__xludf.DUMMYFUNCTION("""COMPUTED_VALUE"""),"SOL")</f>
        <v>SOL</v>
      </c>
    </row>
    <row r="82">
      <c r="A82" s="26" t="str">
        <f t="shared" si="1"/>
        <v>TRANS</v>
      </c>
      <c r="B82" s="26" t="str">
        <f t="shared" si="2"/>
        <v/>
      </c>
      <c r="C82" s="207">
        <f t="shared" si="3"/>
        <v>-0.000005</v>
      </c>
      <c r="D82" s="200" t="s">
        <v>607</v>
      </c>
      <c r="E82" s="194">
        <f>IFERROR(__xludf.DUMMYFUNCTION("IF(D82&lt;&gt;"""",SPLIT(D82,"" 
""),)"),11.755971304)</f>
        <v>11.7559713</v>
      </c>
      <c r="F82" s="194" t="str">
        <f>IFERROR(__xludf.DUMMYFUNCTION("""COMPUTED_VALUE"""),"stSOL")</f>
        <v>stSOL</v>
      </c>
      <c r="G82" s="194">
        <f>IFERROR(__xludf.DUMMYFUNCTION("""COMPUTED_VALUE"""),-12.090005)</f>
        <v>-12.090005</v>
      </c>
      <c r="H82" s="194" t="str">
        <f>IFERROR(__xludf.DUMMYFUNCTION("""COMPUTED_VALUE"""),"SOL")</f>
        <v>SOL</v>
      </c>
    </row>
    <row r="83">
      <c r="A83" s="26" t="str">
        <f t="shared" si="1"/>
        <v>RECV</v>
      </c>
      <c r="B83" s="26" t="str">
        <f t="shared" si="2"/>
        <v/>
      </c>
      <c r="C83" s="207" t="str">
        <f t="shared" si="3"/>
        <v/>
      </c>
      <c r="D83" s="200" t="s">
        <v>608</v>
      </c>
      <c r="E83" s="194">
        <f>IFERROR(__xludf.DUMMYFUNCTION("IF(D83&lt;&gt;"""",SPLIT(D83,"" 
""),)"),12.09006818)</f>
        <v>12.09006818</v>
      </c>
      <c r="F83" s="194" t="str">
        <f>IFERROR(__xludf.DUMMYFUNCTION("""COMPUTED_VALUE"""),"SOL")</f>
        <v>SOL</v>
      </c>
      <c r="G83" s="194"/>
      <c r="H83" s="194"/>
    </row>
    <row r="84">
      <c r="A84" s="26" t="str">
        <f t="shared" si="1"/>
        <v>TRANS</v>
      </c>
      <c r="B84" s="26" t="str">
        <f t="shared" si="2"/>
        <v/>
      </c>
      <c r="C84" s="207">
        <f t="shared" si="3"/>
        <v>-0.000005</v>
      </c>
      <c r="D84" s="200" t="s">
        <v>568</v>
      </c>
      <c r="E84" s="194">
        <f>IFERROR(__xludf.DUMMYFUNCTION("IF(D84&lt;&gt;"""",SPLIT(D84,"" 
""),)"),-5.0E-6)</f>
        <v>-0.000005</v>
      </c>
      <c r="F84" s="194" t="str">
        <f>IFERROR(__xludf.DUMMYFUNCTION("""COMPUTED_VALUE"""),"SOL")</f>
        <v>SOL</v>
      </c>
    </row>
    <row r="85">
      <c r="A85" s="26" t="str">
        <f t="shared" si="1"/>
        <v>TRANS</v>
      </c>
      <c r="B85" s="26" t="str">
        <f t="shared" si="2"/>
        <v/>
      </c>
      <c r="C85" s="207">
        <f t="shared" si="3"/>
        <v>-0.00204428</v>
      </c>
      <c r="D85" s="200" t="s">
        <v>609</v>
      </c>
      <c r="E85" s="194">
        <f>IFERROR(__xludf.DUMMYFUNCTION("IF(D85&lt;&gt;"""",SPLIT(D85,"" 
""),)"),-0.159965)</f>
        <v>-0.159965</v>
      </c>
      <c r="F85" s="194" t="str">
        <f>IFERROR(__xludf.DUMMYFUNCTION("""COMPUTED_VALUE"""),"USDC")</f>
        <v>USDC</v>
      </c>
      <c r="G85" s="194">
        <f>IFERROR(__xludf.DUMMYFUNCTION("""COMPUTED_VALUE"""),-0.00204428)</f>
        <v>-0.00204428</v>
      </c>
      <c r="H85" s="194" t="str">
        <f>IFERROR(__xludf.DUMMYFUNCTION("""COMPUTED_VALUE"""),"SOL")</f>
        <v>SOL</v>
      </c>
    </row>
    <row r="86">
      <c r="A86" s="26" t="str">
        <f t="shared" si="1"/>
        <v>USDC-LARIX</v>
      </c>
      <c r="B86" s="26">
        <f t="shared" si="2"/>
        <v>-0.004442309201</v>
      </c>
      <c r="C86" s="207">
        <f t="shared" si="3"/>
        <v>-0.000005</v>
      </c>
      <c r="D86" s="200" t="s">
        <v>610</v>
      </c>
      <c r="E86" s="194">
        <f>IFERROR(__xludf.DUMMYFUNCTION("IF(D86&lt;&gt;"""",SPLIT(D86,"" 
""),)"),0.159965)</f>
        <v>0.159965</v>
      </c>
      <c r="F86" s="194" t="str">
        <f>IFERROR(__xludf.DUMMYFUNCTION("""COMPUTED_VALUE"""),"USDC")</f>
        <v>USDC</v>
      </c>
      <c r="G86" s="194">
        <f>IFERROR(__xludf.DUMMYFUNCTION("""COMPUTED_VALUE"""),-36.009425)</f>
        <v>-36.009425</v>
      </c>
      <c r="H86" s="194" t="str">
        <f>IFERROR(__xludf.DUMMYFUNCTION("""COMPUTED_VALUE"""),"LARIX")</f>
        <v>LARIX</v>
      </c>
      <c r="I86" s="194">
        <f>IFERROR(__xludf.DUMMYFUNCTION("""COMPUTED_VALUE"""),-5.0E-6)</f>
        <v>-0.000005</v>
      </c>
      <c r="J86" s="194" t="str">
        <f>IFERROR(__xludf.DUMMYFUNCTION("""COMPUTED_VALUE"""),"SOL")</f>
        <v>SOL</v>
      </c>
    </row>
    <row r="87">
      <c r="A87" s="26" t="str">
        <f t="shared" si="1"/>
        <v>TRANS</v>
      </c>
      <c r="B87" s="26" t="str">
        <f t="shared" si="2"/>
        <v/>
      </c>
      <c r="C87" s="207">
        <f t="shared" si="3"/>
        <v>-0.000005</v>
      </c>
      <c r="D87" s="200" t="s">
        <v>611</v>
      </c>
      <c r="E87" s="194">
        <f>IFERROR(__xludf.DUMMYFUNCTION("IF(D87&lt;&gt;"""",SPLIT(D87,"" 
""),)"),35.301504)</f>
        <v>35.301504</v>
      </c>
      <c r="F87" s="194" t="str">
        <f>IFERROR(__xludf.DUMMYFUNCTION("""COMPUTED_VALUE"""),"LARIX")</f>
        <v>LARIX</v>
      </c>
      <c r="G87" s="194">
        <f>IFERROR(__xludf.DUMMYFUNCTION("""COMPUTED_VALUE"""),-5.0E-6)</f>
        <v>-0.000005</v>
      </c>
      <c r="H87" s="194" t="str">
        <f>IFERROR(__xludf.DUMMYFUNCTION("""COMPUTED_VALUE"""),"SOL")</f>
        <v>SOL</v>
      </c>
    </row>
    <row r="88">
      <c r="A88" s="26" t="str">
        <f t="shared" si="1"/>
        <v>TRANS</v>
      </c>
      <c r="B88" s="26" t="str">
        <f t="shared" si="2"/>
        <v/>
      </c>
      <c r="C88" s="207">
        <f t="shared" si="3"/>
        <v>-0.000005</v>
      </c>
      <c r="D88" s="200" t="s">
        <v>612</v>
      </c>
      <c r="E88" s="194">
        <f>IFERROR(__xludf.DUMMYFUNCTION("IF(D88&lt;&gt;"""",SPLIT(D88,"" 
""),)"),-13.956350747)</f>
        <v>-13.95635075</v>
      </c>
      <c r="F88" s="194" t="str">
        <f>IFERROR(__xludf.DUMMYFUNCTION("""COMPUTED_VALUE"""),"stSOL")</f>
        <v>stSOL</v>
      </c>
      <c r="G88" s="194">
        <f>IFERROR(__xludf.DUMMYFUNCTION("""COMPUTED_VALUE"""),-5.0E-6)</f>
        <v>-0.000005</v>
      </c>
      <c r="H88" s="194" t="str">
        <f>IFERROR(__xludf.DUMMYFUNCTION("""COMPUTED_VALUE"""),"SOL")</f>
        <v>SOL</v>
      </c>
    </row>
    <row r="89">
      <c r="A89" s="26" t="str">
        <f t="shared" si="1"/>
        <v>TRANS</v>
      </c>
      <c r="B89" s="26" t="str">
        <f t="shared" si="2"/>
        <v/>
      </c>
      <c r="C89" s="207">
        <f t="shared" si="3"/>
        <v>-0.000005</v>
      </c>
      <c r="D89" s="200" t="s">
        <v>613</v>
      </c>
      <c r="E89" s="194">
        <f>IFERROR(__xludf.DUMMYFUNCTION("IF(D89&lt;&gt;"""",SPLIT(D89,"" 
""),)"),13.956350747)</f>
        <v>13.95635075</v>
      </c>
      <c r="F89" s="194" t="str">
        <f>IFERROR(__xludf.DUMMYFUNCTION("""COMPUTED_VALUE"""),"stSOL")</f>
        <v>stSOL</v>
      </c>
      <c r="G89" s="194">
        <f>IFERROR(__xludf.DUMMYFUNCTION("""COMPUTED_VALUE"""),-14.352905)</f>
        <v>-14.352905</v>
      </c>
      <c r="H89" s="194" t="str">
        <f>IFERROR(__xludf.DUMMYFUNCTION("""COMPUTED_VALUE"""),"SOL")</f>
        <v>SOL</v>
      </c>
    </row>
    <row r="90">
      <c r="A90" s="26" t="str">
        <f t="shared" si="1"/>
        <v>RECV</v>
      </c>
      <c r="B90" s="26" t="str">
        <f t="shared" si="2"/>
        <v/>
      </c>
      <c r="C90" s="207" t="str">
        <f t="shared" si="3"/>
        <v/>
      </c>
      <c r="D90" s="200" t="s">
        <v>614</v>
      </c>
      <c r="E90" s="194">
        <f>IFERROR(__xludf.DUMMYFUNCTION("IF(D90&lt;&gt;"""",SPLIT(D90,"" 
""),)"),14.354995)</f>
        <v>14.354995</v>
      </c>
      <c r="F90" s="194" t="str">
        <f>IFERROR(__xludf.DUMMYFUNCTION("""COMPUTED_VALUE"""),"SOL")</f>
        <v>SOL</v>
      </c>
      <c r="G90" s="194"/>
      <c r="H90" s="194"/>
    </row>
    <row r="91">
      <c r="A91" s="26" t="str">
        <f t="shared" si="1"/>
        <v>TRANS</v>
      </c>
      <c r="B91" s="26" t="str">
        <f t="shared" si="2"/>
        <v/>
      </c>
      <c r="C91" s="207">
        <f t="shared" si="3"/>
        <v>-0.000005</v>
      </c>
      <c r="D91" s="200" t="s">
        <v>615</v>
      </c>
      <c r="E91" s="194">
        <f>IFERROR(__xludf.DUMMYFUNCTION("IF(D91&lt;&gt;"""",SPLIT(D91,"" 
""),)"),-12.410377316)</f>
        <v>-12.41037732</v>
      </c>
      <c r="F91" s="194" t="str">
        <f>IFERROR(__xludf.DUMMYFUNCTION("""COMPUTED_VALUE"""),"stSOL")</f>
        <v>stSOL</v>
      </c>
      <c r="G91" s="194">
        <f>IFERROR(__xludf.DUMMYFUNCTION("""COMPUTED_VALUE"""),-5.0E-6)</f>
        <v>-0.000005</v>
      </c>
      <c r="H91" s="194" t="str">
        <f>IFERROR(__xludf.DUMMYFUNCTION("""COMPUTED_VALUE"""),"SOL")</f>
        <v>SOL</v>
      </c>
    </row>
    <row r="92">
      <c r="A92" s="26" t="str">
        <f t="shared" si="1"/>
        <v>TRANS</v>
      </c>
      <c r="B92" s="26" t="str">
        <f t="shared" si="2"/>
        <v/>
      </c>
      <c r="C92" s="207">
        <f t="shared" si="3"/>
        <v>-0.000005</v>
      </c>
      <c r="D92" s="200" t="s">
        <v>616</v>
      </c>
      <c r="E92" s="194">
        <f>IFERROR(__xludf.DUMMYFUNCTION("IF(D92&lt;&gt;"""",SPLIT(D92,"" 
""),)"),12.410377316)</f>
        <v>12.41037732</v>
      </c>
      <c r="F92" s="194" t="str">
        <f>IFERROR(__xludf.DUMMYFUNCTION("""COMPUTED_VALUE"""),"stSOL")</f>
        <v>stSOL</v>
      </c>
      <c r="G92" s="194">
        <f>IFERROR(__xludf.DUMMYFUNCTION("""COMPUTED_VALUE"""),-12.763005)</f>
        <v>-12.763005</v>
      </c>
      <c r="H92" s="194" t="str">
        <f>IFERROR(__xludf.DUMMYFUNCTION("""COMPUTED_VALUE"""),"SOL")</f>
        <v>SOL</v>
      </c>
    </row>
    <row r="93">
      <c r="A93" s="26" t="str">
        <f t="shared" si="1"/>
        <v>RECV</v>
      </c>
      <c r="B93" s="26" t="str">
        <f t="shared" si="2"/>
        <v/>
      </c>
      <c r="C93" s="207" t="str">
        <f t="shared" si="3"/>
        <v/>
      </c>
      <c r="D93" s="200" t="s">
        <v>617</v>
      </c>
      <c r="E93" s="194">
        <f>IFERROR(__xludf.DUMMYFUNCTION("IF(D93&lt;&gt;"""",SPLIT(D93,"" 
""),)"),12.76300412)</f>
        <v>12.76300412</v>
      </c>
      <c r="F93" s="194" t="str">
        <f>IFERROR(__xludf.DUMMYFUNCTION("""COMPUTED_VALUE"""),"SOL")</f>
        <v>SOL</v>
      </c>
      <c r="G93" s="194"/>
      <c r="H93" s="194"/>
    </row>
    <row r="94">
      <c r="A94" s="26" t="str">
        <f t="shared" si="1"/>
        <v>TRANS</v>
      </c>
      <c r="B94" s="26" t="str">
        <f t="shared" si="2"/>
        <v/>
      </c>
      <c r="C94" s="207" t="str">
        <f t="shared" si="3"/>
        <v/>
      </c>
      <c r="D94" s="200" t="s">
        <v>618</v>
      </c>
      <c r="E94" s="194">
        <f>IFERROR(__xludf.DUMMYFUNCTION("IF(D94&lt;&gt;"""",SPLIT(D94,"" 
""),)"),0.48461008)</f>
        <v>0.48461008</v>
      </c>
      <c r="F94" s="194" t="str">
        <f>IFERROR(__xludf.DUMMYFUNCTION("""COMPUTED_VALUE"""),"LDO")</f>
        <v>LDO</v>
      </c>
    </row>
    <row r="95">
      <c r="A95" s="26" t="str">
        <f t="shared" si="1"/>
        <v>TRANS</v>
      </c>
      <c r="B95" s="26" t="str">
        <f t="shared" si="2"/>
        <v/>
      </c>
      <c r="C95" s="207" t="str">
        <f t="shared" si="3"/>
        <v/>
      </c>
      <c r="D95" s="200" t="s">
        <v>619</v>
      </c>
      <c r="E95" s="194">
        <f>IFERROR(__xludf.DUMMYFUNCTION("IF(D95&lt;&gt;"""",SPLIT(D95,"" 
""),)"),0.45469004)</f>
        <v>0.45469004</v>
      </c>
      <c r="F95" s="194" t="str">
        <f>IFERROR(__xludf.DUMMYFUNCTION("""COMPUTED_VALUE"""),"LDO")</f>
        <v>LDO</v>
      </c>
    </row>
    <row r="96">
      <c r="A96" s="26" t="str">
        <f t="shared" si="1"/>
        <v>TRANS</v>
      </c>
      <c r="B96" s="26" t="str">
        <f t="shared" si="2"/>
        <v/>
      </c>
      <c r="C96" s="207">
        <f t="shared" si="3"/>
        <v>-0.000005</v>
      </c>
      <c r="D96" s="200" t="s">
        <v>620</v>
      </c>
      <c r="E96" s="194">
        <f>IFERROR(__xludf.DUMMYFUNCTION("IF(D96&lt;&gt;"""",SPLIT(D96,"" 
""),)"),-11.518070077)</f>
        <v>-11.51807008</v>
      </c>
      <c r="F96" s="194" t="str">
        <f>IFERROR(__xludf.DUMMYFUNCTION("""COMPUTED_VALUE"""),"stSOL")</f>
        <v>stSOL</v>
      </c>
      <c r="G96" s="194">
        <f>IFERROR(__xludf.DUMMYFUNCTION("""COMPUTED_VALUE"""),-5.0E-6)</f>
        <v>-0.000005</v>
      </c>
      <c r="H96" s="194" t="str">
        <f>IFERROR(__xludf.DUMMYFUNCTION("""COMPUTED_VALUE"""),"SOL")</f>
        <v>SOL</v>
      </c>
    </row>
    <row r="97">
      <c r="A97" s="26" t="str">
        <f t="shared" si="1"/>
        <v>TRANS</v>
      </c>
      <c r="B97" s="26" t="str">
        <f t="shared" si="2"/>
        <v/>
      </c>
      <c r="C97" s="207">
        <f t="shared" si="3"/>
        <v>-0.000005</v>
      </c>
      <c r="D97" s="200" t="s">
        <v>621</v>
      </c>
      <c r="E97" s="194">
        <f>IFERROR(__xludf.DUMMYFUNCTION("IF(D97&lt;&gt;"""",SPLIT(D97,"" 
""),)"),11.518070077)</f>
        <v>11.51807008</v>
      </c>
      <c r="F97" s="194" t="str">
        <f>IFERROR(__xludf.DUMMYFUNCTION("""COMPUTED_VALUE"""),"stSOL")</f>
        <v>stSOL</v>
      </c>
      <c r="G97" s="194">
        <f>IFERROR(__xludf.DUMMYFUNCTION("""COMPUTED_VALUE"""),-11.840005)</f>
        <v>-11.840005</v>
      </c>
      <c r="H97" s="194" t="str">
        <f>IFERROR(__xludf.DUMMYFUNCTION("""COMPUTED_VALUE"""),"SOL")</f>
        <v>SOL</v>
      </c>
    </row>
    <row r="98">
      <c r="A98" s="26" t="str">
        <f t="shared" si="1"/>
        <v>RECV</v>
      </c>
      <c r="B98" s="26" t="str">
        <f t="shared" si="2"/>
        <v/>
      </c>
      <c r="C98" s="207" t="str">
        <f t="shared" si="3"/>
        <v/>
      </c>
      <c r="D98" s="200" t="s">
        <v>622</v>
      </c>
      <c r="E98" s="194">
        <f>IFERROR(__xludf.DUMMYFUNCTION("IF(D98&lt;&gt;"""",SPLIT(D98,"" 
""),)"),11.847995)</f>
        <v>11.847995</v>
      </c>
      <c r="F98" s="194" t="str">
        <f>IFERROR(__xludf.DUMMYFUNCTION("""COMPUTED_VALUE"""),"SOL")</f>
        <v>SOL</v>
      </c>
      <c r="G98" s="194"/>
      <c r="H98" s="194"/>
    </row>
    <row r="99">
      <c r="A99" s="26" t="str">
        <f t="shared" si="1"/>
        <v>TRANS</v>
      </c>
      <c r="B99" s="26" t="str">
        <f t="shared" si="2"/>
        <v/>
      </c>
      <c r="C99" s="207">
        <f t="shared" si="3"/>
        <v>0.00203428</v>
      </c>
      <c r="D99" s="200" t="s">
        <v>623</v>
      </c>
      <c r="E99" s="194">
        <f>IFERROR(__xludf.DUMMYFUNCTION("IF(D99&lt;&gt;"""",SPLIT(D99,"" 
""),)"),0.00203428)</f>
        <v>0.00203428</v>
      </c>
      <c r="F99" s="194" t="str">
        <f>IFERROR(__xludf.DUMMYFUNCTION("""COMPUTED_VALUE"""),"SOL")</f>
        <v>SOL</v>
      </c>
    </row>
    <row r="100">
      <c r="A100" s="26" t="str">
        <f t="shared" si="1"/>
        <v>TRANS</v>
      </c>
      <c r="B100" s="26" t="str">
        <f t="shared" si="2"/>
        <v/>
      </c>
      <c r="C100" s="207">
        <f t="shared" si="3"/>
        <v>-0.000005</v>
      </c>
      <c r="D100" s="200" t="s">
        <v>624</v>
      </c>
      <c r="E100" s="194">
        <f>IFERROR(__xludf.DUMMYFUNCTION("IF(D100&lt;&gt;"""",SPLIT(D100,"" 
""),)"),-11.936475646)</f>
        <v>-11.93647565</v>
      </c>
      <c r="F100" s="194" t="str">
        <f>IFERROR(__xludf.DUMMYFUNCTION("""COMPUTED_VALUE"""),"stSOL")</f>
        <v>stSOL</v>
      </c>
      <c r="G100" s="194">
        <f>IFERROR(__xludf.DUMMYFUNCTION("""COMPUTED_VALUE"""),-5.0E-6)</f>
        <v>-0.000005</v>
      </c>
      <c r="H100" s="194" t="str">
        <f>IFERROR(__xludf.DUMMYFUNCTION("""COMPUTED_VALUE"""),"SOL")</f>
        <v>SOL</v>
      </c>
    </row>
    <row r="101">
      <c r="A101" s="26" t="str">
        <f t="shared" si="1"/>
        <v>TRANS</v>
      </c>
      <c r="B101" s="26" t="str">
        <f t="shared" si="2"/>
        <v/>
      </c>
      <c r="C101" s="207">
        <f t="shared" si="3"/>
        <v>-0.000005</v>
      </c>
      <c r="D101" s="200" t="s">
        <v>625</v>
      </c>
      <c r="E101" s="194">
        <f>IFERROR(__xludf.DUMMYFUNCTION("IF(D101&lt;&gt;"""",SPLIT(D101,"" 
""),)"),11.936475646)</f>
        <v>11.93647565</v>
      </c>
      <c r="F101" s="194" t="str">
        <f>IFERROR(__xludf.DUMMYFUNCTION("""COMPUTED_VALUE"""),"stSOL")</f>
        <v>stSOL</v>
      </c>
      <c r="G101" s="194">
        <f>IFERROR(__xludf.DUMMYFUNCTION("""COMPUTED_VALUE"""),-12.270105)</f>
        <v>-12.270105</v>
      </c>
      <c r="H101" s="194" t="str">
        <f>IFERROR(__xludf.DUMMYFUNCTION("""COMPUTED_VALUE"""),"SOL")</f>
        <v>SOL</v>
      </c>
    </row>
    <row r="102">
      <c r="A102" s="26" t="str">
        <f t="shared" si="1"/>
        <v>RECV</v>
      </c>
      <c r="B102" s="26" t="str">
        <f t="shared" si="2"/>
        <v/>
      </c>
      <c r="C102" s="207" t="str">
        <f t="shared" si="3"/>
        <v/>
      </c>
      <c r="D102" s="200" t="s">
        <v>626</v>
      </c>
      <c r="E102" s="194">
        <f>IFERROR(__xludf.DUMMYFUNCTION("IF(D102&lt;&gt;"""",SPLIT(D102,"" 
""),)"),12.27015514)</f>
        <v>12.27015514</v>
      </c>
      <c r="F102" s="194" t="str">
        <f>IFERROR(__xludf.DUMMYFUNCTION("""COMPUTED_VALUE"""),"SOL")</f>
        <v>SOL</v>
      </c>
      <c r="G102" s="194"/>
      <c r="H102" s="194"/>
    </row>
    <row r="103">
      <c r="A103" s="26" t="str">
        <f t="shared" si="1"/>
        <v>TRANS</v>
      </c>
      <c r="B103" s="26" t="str">
        <f t="shared" si="2"/>
        <v/>
      </c>
      <c r="C103" s="207" t="str">
        <f t="shared" si="3"/>
        <v/>
      </c>
      <c r="D103" s="200" t="s">
        <v>627</v>
      </c>
      <c r="E103" s="194">
        <f>IFERROR(__xludf.DUMMYFUNCTION("IF(D103&lt;&gt;"""",SPLIT(D103,"" 
""),)"),0.23913851)</f>
        <v>0.23913851</v>
      </c>
      <c r="F103" s="194" t="str">
        <f>IFERROR(__xludf.DUMMYFUNCTION("""COMPUTED_VALUE"""),"LDO")</f>
        <v>LDO</v>
      </c>
    </row>
    <row r="104">
      <c r="A104" s="26" t="str">
        <f t="shared" si="1"/>
        <v>TRANS</v>
      </c>
      <c r="B104" s="26" t="str">
        <f t="shared" si="2"/>
        <v/>
      </c>
      <c r="C104" s="207" t="str">
        <f t="shared" si="3"/>
        <v/>
      </c>
      <c r="D104" s="200" t="s">
        <v>628</v>
      </c>
      <c r="E104" s="194">
        <f>IFERROR(__xludf.DUMMYFUNCTION("IF(D104&lt;&gt;"""",SPLIT(D104,"" 
""),)"),0.02221388)</f>
        <v>0.02221388</v>
      </c>
      <c r="F104" s="194" t="str">
        <f>IFERROR(__xludf.DUMMYFUNCTION("""COMPUTED_VALUE"""),"LDO")</f>
        <v>LDO</v>
      </c>
    </row>
    <row r="105">
      <c r="A105" s="26" t="str">
        <f t="shared" si="1"/>
        <v>TRANS</v>
      </c>
      <c r="B105" s="26" t="str">
        <f t="shared" si="2"/>
        <v/>
      </c>
      <c r="C105" s="207">
        <f t="shared" si="3"/>
        <v>-0.00204428</v>
      </c>
      <c r="D105" s="200" t="s">
        <v>629</v>
      </c>
      <c r="E105" s="194">
        <f>IFERROR(__xludf.DUMMYFUNCTION("IF(D105&lt;&gt;"""",SPLIT(D105,"" 
""),)"),-7.812309573)</f>
        <v>-7.812309573</v>
      </c>
      <c r="F105" s="194" t="str">
        <f>IFERROR(__xludf.DUMMYFUNCTION("""COMPUTED_VALUE"""),"stSOL")</f>
        <v>stSOL</v>
      </c>
      <c r="G105" s="194">
        <f>IFERROR(__xludf.DUMMYFUNCTION("""COMPUTED_VALUE"""),-0.00204428)</f>
        <v>-0.00204428</v>
      </c>
      <c r="H105" s="194" t="str">
        <f>IFERROR(__xludf.DUMMYFUNCTION("""COMPUTED_VALUE"""),"SOL")</f>
        <v>SOL</v>
      </c>
    </row>
    <row r="106">
      <c r="A106" s="26" t="str">
        <f t="shared" si="1"/>
        <v>TRANS</v>
      </c>
      <c r="B106" s="26" t="str">
        <f t="shared" si="2"/>
        <v/>
      </c>
      <c r="C106" s="207">
        <f t="shared" si="3"/>
        <v>0.00203428</v>
      </c>
      <c r="D106" s="200" t="s">
        <v>623</v>
      </c>
      <c r="E106" s="194">
        <f>IFERROR(__xludf.DUMMYFUNCTION("IF(D106&lt;&gt;"""",SPLIT(D106,"" 
""),)"),0.00203428)</f>
        <v>0.00203428</v>
      </c>
      <c r="F106" s="194" t="str">
        <f>IFERROR(__xludf.DUMMYFUNCTION("""COMPUTED_VALUE"""),"SOL")</f>
        <v>SOL</v>
      </c>
    </row>
    <row r="107">
      <c r="A107" s="26" t="str">
        <f t="shared" si="1"/>
        <v>TRANS</v>
      </c>
      <c r="B107" s="26" t="str">
        <f t="shared" si="2"/>
        <v/>
      </c>
      <c r="C107" s="207">
        <f t="shared" si="3"/>
        <v>-0.000005</v>
      </c>
      <c r="D107" s="200" t="s">
        <v>630</v>
      </c>
      <c r="E107" s="194">
        <f>IFERROR(__xludf.DUMMYFUNCTION("IF(D107&lt;&gt;"""",SPLIT(D107,"" 
""),)"),0.707921)</f>
        <v>0.707921</v>
      </c>
      <c r="F107" s="194" t="str">
        <f>IFERROR(__xludf.DUMMYFUNCTION("""COMPUTED_VALUE"""),"LARIX")</f>
        <v>LARIX</v>
      </c>
      <c r="G107" s="194">
        <f>IFERROR(__xludf.DUMMYFUNCTION("""COMPUTED_VALUE"""),-5.0E-6)</f>
        <v>-0.000005</v>
      </c>
      <c r="H107" s="194" t="str">
        <f>IFERROR(__xludf.DUMMYFUNCTION("""COMPUTED_VALUE"""),"SOL")</f>
        <v>SOL</v>
      </c>
    </row>
    <row r="108">
      <c r="A108" s="26" t="str">
        <f t="shared" si="1"/>
        <v>TRANS</v>
      </c>
      <c r="B108" s="26" t="str">
        <f t="shared" si="2"/>
        <v/>
      </c>
      <c r="C108" s="207">
        <f t="shared" si="3"/>
        <v>-0.000005</v>
      </c>
      <c r="D108" s="200" t="s">
        <v>631</v>
      </c>
      <c r="E108" s="194">
        <f>IFERROR(__xludf.DUMMYFUNCTION("IF(D108&lt;&gt;"""",SPLIT(D108,"" 
""),)"),7.810691271)</f>
        <v>7.810691271</v>
      </c>
      <c r="F108" s="194" t="str">
        <f>IFERROR(__xludf.DUMMYFUNCTION("""COMPUTED_VALUE"""),"stSOL")</f>
        <v>stSOL</v>
      </c>
      <c r="G108" s="194">
        <f>IFERROR(__xludf.DUMMYFUNCTION("""COMPUTED_VALUE"""),-8.029005)</f>
        <v>-8.029005</v>
      </c>
      <c r="H108" s="194" t="str">
        <f>IFERROR(__xludf.DUMMYFUNCTION("""COMPUTED_VALUE"""),"SOL")</f>
        <v>SOL</v>
      </c>
    </row>
    <row r="109">
      <c r="A109" s="26" t="str">
        <f t="shared" si="1"/>
        <v>stSOL-LDO</v>
      </c>
      <c r="B109" s="26">
        <f t="shared" si="2"/>
        <v>-0.02356724369</v>
      </c>
      <c r="C109" s="207">
        <f t="shared" si="3"/>
        <v>-0.000005</v>
      </c>
      <c r="D109" s="200" t="s">
        <v>632</v>
      </c>
      <c r="E109" s="194">
        <f>IFERROR(__xludf.DUMMYFUNCTION("IF(D109&lt;&gt;"""",SPLIT(D109,"" 
""),)"),0.001609729)</f>
        <v>0.001609729</v>
      </c>
      <c r="F109" s="194" t="str">
        <f>IFERROR(__xludf.DUMMYFUNCTION("""COMPUTED_VALUE"""),"stSOL")</f>
        <v>stSOL</v>
      </c>
      <c r="G109" s="194">
        <f>IFERROR(__xludf.DUMMYFUNCTION("""COMPUTED_VALUE"""),-0.06830366)</f>
        <v>-0.06830366</v>
      </c>
      <c r="H109" s="194" t="str">
        <f>IFERROR(__xludf.DUMMYFUNCTION("""COMPUTED_VALUE"""),"LDO")</f>
        <v>LDO</v>
      </c>
      <c r="I109" s="194">
        <f>IFERROR(__xludf.DUMMYFUNCTION("""COMPUTED_VALUE"""),-5.0E-6)</f>
        <v>-0.000005</v>
      </c>
      <c r="J109" s="194" t="str">
        <f>IFERROR(__xludf.DUMMYFUNCTION("""COMPUTED_VALUE"""),"SOL")</f>
        <v>SOL</v>
      </c>
    </row>
    <row r="110">
      <c r="A110" s="26" t="str">
        <f t="shared" si="1"/>
        <v>stSOL-MNDE</v>
      </c>
      <c r="B110" s="26">
        <f t="shared" si="2"/>
        <v>-0.0009307913779</v>
      </c>
      <c r="C110" s="207">
        <f t="shared" si="3"/>
        <v>-0.000005</v>
      </c>
      <c r="D110" s="200" t="s">
        <v>633</v>
      </c>
      <c r="E110" s="194">
        <f>IFERROR(__xludf.DUMMYFUNCTION("IF(D110&lt;&gt;"""",SPLIT(D110,"" 
""),)"),8.573E-6)</f>
        <v>0.000008573</v>
      </c>
      <c r="F110" s="194" t="str">
        <f>IFERROR(__xludf.DUMMYFUNCTION("""COMPUTED_VALUE"""),"stSOL")</f>
        <v>stSOL</v>
      </c>
      <c r="G110" s="194">
        <f>IFERROR(__xludf.DUMMYFUNCTION("""COMPUTED_VALUE"""),-0.009210442)</f>
        <v>-0.009210442</v>
      </c>
      <c r="H110" s="194" t="str">
        <f>IFERROR(__xludf.DUMMYFUNCTION("""COMPUTED_VALUE"""),"MNDE")</f>
        <v>MNDE</v>
      </c>
      <c r="I110" s="194">
        <f>IFERROR(__xludf.DUMMYFUNCTION("""COMPUTED_VALUE"""),-5.0E-6)</f>
        <v>-0.000005</v>
      </c>
      <c r="J110" s="194" t="str">
        <f>IFERROR(__xludf.DUMMYFUNCTION("""COMPUTED_VALUE"""),"SOL")</f>
        <v>SOL</v>
      </c>
    </row>
    <row r="111">
      <c r="A111" s="26" t="str">
        <f t="shared" si="1"/>
        <v>RECV</v>
      </c>
      <c r="B111" s="26" t="str">
        <f t="shared" si="2"/>
        <v/>
      </c>
      <c r="C111" s="207" t="str">
        <f t="shared" si="3"/>
        <v/>
      </c>
      <c r="D111" s="200" t="s">
        <v>634</v>
      </c>
      <c r="E111" s="194">
        <f>IFERROR(__xludf.DUMMYFUNCTION("IF(D111&lt;&gt;"""",SPLIT(D111,"" 
""),)"),8.026995)</f>
        <v>8.026995</v>
      </c>
      <c r="F111" s="194" t="str">
        <f>IFERROR(__xludf.DUMMYFUNCTION("""COMPUTED_VALUE"""),"SOL")</f>
        <v>SOL</v>
      </c>
      <c r="G111" s="194"/>
      <c r="H111" s="194"/>
    </row>
    <row r="112">
      <c r="A112" s="26" t="str">
        <f t="shared" si="1"/>
        <v>TRANS</v>
      </c>
      <c r="B112" s="26" t="str">
        <f t="shared" si="2"/>
        <v/>
      </c>
      <c r="C112" s="207">
        <f t="shared" si="3"/>
        <v>0.00203428</v>
      </c>
      <c r="D112" s="200" t="s">
        <v>623</v>
      </c>
      <c r="E112" s="194">
        <f>IFERROR(__xludf.DUMMYFUNCTION("IF(D112&lt;&gt;"""",SPLIT(D112,"" 
""),)"),0.00203428)</f>
        <v>0.00203428</v>
      </c>
      <c r="F112" s="194" t="str">
        <f>IFERROR(__xludf.DUMMYFUNCTION("""COMPUTED_VALUE"""),"SOL")</f>
        <v>SOL</v>
      </c>
    </row>
    <row r="113">
      <c r="A113" s="26" t="str">
        <f t="shared" si="1"/>
        <v>TRANS</v>
      </c>
      <c r="B113" s="26" t="str">
        <f t="shared" si="2"/>
        <v/>
      </c>
      <c r="C113" s="207">
        <f t="shared" si="3"/>
        <v>-0.000005</v>
      </c>
      <c r="D113" s="200" t="s">
        <v>568</v>
      </c>
      <c r="E113" s="194">
        <f>IFERROR(__xludf.DUMMYFUNCTION("IF(D113&lt;&gt;"""",SPLIT(D113,"" 
""),)"),-5.0E-6)</f>
        <v>-0.000005</v>
      </c>
      <c r="F113" s="194" t="str">
        <f>IFERROR(__xludf.DUMMYFUNCTION("""COMPUTED_VALUE"""),"SOL")</f>
        <v>SOL</v>
      </c>
    </row>
    <row r="114">
      <c r="A114" s="26" t="str">
        <f t="shared" si="1"/>
        <v>TRANS</v>
      </c>
      <c r="B114" s="26" t="str">
        <f t="shared" si="2"/>
        <v/>
      </c>
      <c r="C114" s="207">
        <f t="shared" si="3"/>
        <v>-0.000007439</v>
      </c>
      <c r="D114" s="200" t="s">
        <v>635</v>
      </c>
      <c r="E114" s="194">
        <f>IFERROR(__xludf.DUMMYFUNCTION("IF(D114&lt;&gt;"""",SPLIT(D114,"" 
""),)"),-11.6920085)</f>
        <v>-11.6920085</v>
      </c>
      <c r="F114" s="194" t="str">
        <f>IFERROR(__xludf.DUMMYFUNCTION("""COMPUTED_VALUE"""),"stSOL")</f>
        <v>stSOL</v>
      </c>
      <c r="G114" s="194">
        <f>IFERROR(__xludf.DUMMYFUNCTION("""COMPUTED_VALUE"""),-7.439E-6)</f>
        <v>-0.000007439</v>
      </c>
      <c r="H114" s="194" t="str">
        <f>IFERROR(__xludf.DUMMYFUNCTION("""COMPUTED_VALUE"""),"SOL")</f>
        <v>SOL</v>
      </c>
    </row>
    <row r="115">
      <c r="A115" s="26" t="str">
        <f t="shared" si="1"/>
        <v>TRANS</v>
      </c>
      <c r="B115" s="26" t="str">
        <f t="shared" si="2"/>
        <v/>
      </c>
      <c r="C115" s="207">
        <f t="shared" si="3"/>
        <v>-0.000005</v>
      </c>
      <c r="D115" s="200" t="s">
        <v>636</v>
      </c>
      <c r="E115" s="194">
        <f>IFERROR(__xludf.DUMMYFUNCTION("IF(D115&lt;&gt;"""",SPLIT(D115,"" 
""),)"),11.6920085)</f>
        <v>11.6920085</v>
      </c>
      <c r="F115" s="194" t="str">
        <f>IFERROR(__xludf.DUMMYFUNCTION("""COMPUTED_VALUE"""),"stSOL")</f>
        <v>stSOL</v>
      </c>
      <c r="G115" s="194">
        <f>IFERROR(__xludf.DUMMYFUNCTION("""COMPUTED_VALUE"""),-12.018805)</f>
        <v>-12.018805</v>
      </c>
      <c r="H115" s="194" t="str">
        <f>IFERROR(__xludf.DUMMYFUNCTION("""COMPUTED_VALUE"""),"SOL")</f>
        <v>SOL</v>
      </c>
    </row>
    <row r="116">
      <c r="A116" s="26" t="str">
        <f t="shared" si="1"/>
        <v>RECV</v>
      </c>
      <c r="B116" s="26" t="str">
        <f t="shared" si="2"/>
        <v/>
      </c>
      <c r="C116" s="207" t="str">
        <f t="shared" si="3"/>
        <v/>
      </c>
      <c r="D116" s="200" t="s">
        <v>637</v>
      </c>
      <c r="E116" s="194">
        <f>IFERROR(__xludf.DUMMYFUNCTION("IF(D116&lt;&gt;"""",SPLIT(D116,"" 
""),)"),12.01272048)</f>
        <v>12.01272048</v>
      </c>
      <c r="F116" s="194" t="str">
        <f>IFERROR(__xludf.DUMMYFUNCTION("""COMPUTED_VALUE"""),"SOL")</f>
        <v>SOL</v>
      </c>
      <c r="G116" s="194"/>
      <c r="H116" s="194"/>
    </row>
    <row r="117">
      <c r="A117" s="26" t="str">
        <f t="shared" si="1"/>
        <v>TRANS</v>
      </c>
      <c r="B117" s="26" t="str">
        <f t="shared" si="2"/>
        <v/>
      </c>
      <c r="C117" s="207" t="str">
        <f t="shared" si="3"/>
        <v/>
      </c>
      <c r="D117" s="200" t="s">
        <v>638</v>
      </c>
      <c r="E117" s="194">
        <f>IFERROR(__xludf.DUMMYFUNCTION("IF(D117&lt;&gt;"""",SPLIT(D117,"" 
""),)"),0.01802194)</f>
        <v>0.01802194</v>
      </c>
      <c r="F117" s="194" t="str">
        <f>IFERROR(__xludf.DUMMYFUNCTION("""COMPUTED_VALUE"""),"LDO")</f>
        <v>LDO</v>
      </c>
    </row>
    <row r="118">
      <c r="A118" s="26" t="str">
        <f t="shared" si="1"/>
        <v>TRANS</v>
      </c>
      <c r="B118" s="26" t="str">
        <f t="shared" si="2"/>
        <v/>
      </c>
      <c r="C118" s="207" t="str">
        <f t="shared" si="3"/>
        <v/>
      </c>
      <c r="D118" s="200" t="s">
        <v>639</v>
      </c>
      <c r="E118" s="194">
        <f>IFERROR(__xludf.DUMMYFUNCTION("IF(D118&lt;&gt;"""",SPLIT(D118,"" 
""),)"),0.01753851)</f>
        <v>0.01753851</v>
      </c>
      <c r="F118" s="194" t="str">
        <f>IFERROR(__xludf.DUMMYFUNCTION("""COMPUTED_VALUE"""),"LDO")</f>
        <v>LDO</v>
      </c>
    </row>
    <row r="119">
      <c r="A119" s="26" t="str">
        <f t="shared" si="1"/>
        <v>TRANS</v>
      </c>
      <c r="B119" s="26" t="str">
        <f t="shared" si="2"/>
        <v/>
      </c>
      <c r="C119" s="207" t="str">
        <f t="shared" si="3"/>
        <v/>
      </c>
      <c r="D119" s="200" t="s">
        <v>640</v>
      </c>
      <c r="E119" s="194">
        <f>IFERROR(__xludf.DUMMYFUNCTION("IF(D119&lt;&gt;"""",SPLIT(D119,"" 
""),)"),0.01783061)</f>
        <v>0.01783061</v>
      </c>
      <c r="F119" s="194" t="str">
        <f>IFERROR(__xludf.DUMMYFUNCTION("""COMPUTED_VALUE"""),"LDO")</f>
        <v>LDO</v>
      </c>
    </row>
    <row r="120">
      <c r="A120" s="26" t="str">
        <f t="shared" si="1"/>
        <v>TRANS</v>
      </c>
      <c r="B120" s="26" t="str">
        <f t="shared" si="2"/>
        <v/>
      </c>
      <c r="C120" s="207" t="str">
        <f t="shared" si="3"/>
        <v/>
      </c>
      <c r="D120" s="200" t="s">
        <v>641</v>
      </c>
      <c r="E120" s="194">
        <f>IFERROR(__xludf.DUMMYFUNCTION("IF(D120&lt;&gt;"""",SPLIT(D120,"" 
""),)"),0.004036274)</f>
        <v>0.004036274</v>
      </c>
      <c r="F120" s="194" t="str">
        <f>IFERROR(__xludf.DUMMYFUNCTION("""COMPUTED_VALUE"""),"MNDE")</f>
        <v>MNDE</v>
      </c>
    </row>
    <row r="121">
      <c r="A121" s="26" t="str">
        <f t="shared" si="1"/>
        <v>TRANS</v>
      </c>
      <c r="B121" s="26" t="str">
        <f t="shared" si="2"/>
        <v/>
      </c>
      <c r="C121" s="207" t="str">
        <f t="shared" si="3"/>
        <v/>
      </c>
      <c r="D121" s="200" t="s">
        <v>642</v>
      </c>
      <c r="E121" s="194">
        <f>IFERROR(__xludf.DUMMYFUNCTION("IF(D121&lt;&gt;"""",SPLIT(D121,"" 
""),)"),0.005174491)</f>
        <v>0.005174491</v>
      </c>
      <c r="F121" s="194" t="str">
        <f>IFERROR(__xludf.DUMMYFUNCTION("""COMPUTED_VALUE"""),"MNDE")</f>
        <v>MNDE</v>
      </c>
    </row>
    <row r="122">
      <c r="A122" s="26" t="str">
        <f t="shared" si="1"/>
        <v>TRANS</v>
      </c>
      <c r="B122" s="26" t="str">
        <f t="shared" si="2"/>
        <v/>
      </c>
      <c r="C122" s="207" t="str">
        <f t="shared" si="3"/>
        <v/>
      </c>
      <c r="D122" s="200" t="s">
        <v>643</v>
      </c>
      <c r="E122" s="194">
        <f>IFERROR(__xludf.DUMMYFUNCTION("IF(D122&lt;&gt;"""",SPLIT(D122,"" 
""),)"),0.0149126)</f>
        <v>0.0149126</v>
      </c>
      <c r="F122" s="194" t="str">
        <f>IFERROR(__xludf.DUMMYFUNCTION("""COMPUTED_VALUE"""),"LDO")</f>
        <v>LDO</v>
      </c>
    </row>
    <row r="123">
      <c r="A123" s="26" t="str">
        <f t="shared" si="1"/>
        <v>TRANS</v>
      </c>
      <c r="B123" s="26" t="str">
        <f t="shared" si="2"/>
        <v/>
      </c>
      <c r="C123" s="207">
        <f t="shared" si="3"/>
        <v>-0.000005</v>
      </c>
      <c r="D123" s="200" t="s">
        <v>644</v>
      </c>
      <c r="E123" s="194">
        <f>IFERROR(__xludf.DUMMYFUNCTION("IF(D123&lt;&gt;"""",SPLIT(D123,"" 
""),)"),-1.685969833)</f>
        <v>-1.685969833</v>
      </c>
      <c r="F123" s="194" t="str">
        <f>IFERROR(__xludf.DUMMYFUNCTION("""COMPUTED_VALUE"""),"stSOL")</f>
        <v>stSOL</v>
      </c>
      <c r="G123" s="194">
        <f>IFERROR(__xludf.DUMMYFUNCTION("""COMPUTED_VALUE"""),-5.0E-6)</f>
        <v>-0.000005</v>
      </c>
      <c r="H123" s="194" t="str">
        <f>IFERROR(__xludf.DUMMYFUNCTION("""COMPUTED_VALUE"""),"SOL")</f>
        <v>SOL</v>
      </c>
    </row>
    <row r="124">
      <c r="A124" s="26" t="str">
        <f t="shared" si="1"/>
        <v>TRANS</v>
      </c>
      <c r="B124" s="26" t="str">
        <f t="shared" si="2"/>
        <v/>
      </c>
      <c r="C124" s="207">
        <f t="shared" si="3"/>
        <v>-0.00204428</v>
      </c>
      <c r="D124" s="200" t="s">
        <v>645</v>
      </c>
      <c r="E124" s="194">
        <f>IFERROR(__xludf.DUMMYFUNCTION("IF(D124&lt;&gt;"""",SPLIT(D124,"" 
""),)"),1.685969833)</f>
        <v>1.685969833</v>
      </c>
      <c r="F124" s="194" t="str">
        <f>IFERROR(__xludf.DUMMYFUNCTION("""COMPUTED_VALUE"""),"stSOL")</f>
        <v>stSOL</v>
      </c>
      <c r="G124" s="194">
        <f>IFERROR(__xludf.DUMMYFUNCTION("""COMPUTED_VALUE"""),-0.00204428)</f>
        <v>-0.00204428</v>
      </c>
      <c r="H124" s="194" t="str">
        <f>IFERROR(__xludf.DUMMYFUNCTION("""COMPUTED_VALUE"""),"SOL")</f>
        <v>SOL</v>
      </c>
    </row>
    <row r="125">
      <c r="A125" s="26" t="str">
        <f t="shared" si="1"/>
        <v>TRANS</v>
      </c>
      <c r="B125" s="26" t="str">
        <f t="shared" si="2"/>
        <v/>
      </c>
      <c r="C125" s="207">
        <f t="shared" si="3"/>
        <v>0.00203428</v>
      </c>
      <c r="D125" s="200" t="s">
        <v>623</v>
      </c>
      <c r="E125" s="194">
        <f>IFERROR(__xludf.DUMMYFUNCTION("IF(D125&lt;&gt;"""",SPLIT(D125,"" 
""),)"),0.00203428)</f>
        <v>0.00203428</v>
      </c>
      <c r="F125" s="194" t="str">
        <f>IFERROR(__xludf.DUMMYFUNCTION("""COMPUTED_VALUE"""),"SOL")</f>
        <v>SOL</v>
      </c>
    </row>
    <row r="126">
      <c r="A126" s="26" t="str">
        <f t="shared" si="1"/>
        <v>TRANS</v>
      </c>
      <c r="B126" s="26" t="str">
        <f t="shared" si="2"/>
        <v/>
      </c>
      <c r="C126" s="207">
        <f t="shared" si="3"/>
        <v>0.00203428</v>
      </c>
      <c r="D126" s="200" t="s">
        <v>623</v>
      </c>
      <c r="E126" s="194">
        <f>IFERROR(__xludf.DUMMYFUNCTION("IF(D126&lt;&gt;"""",SPLIT(D126,"" 
""),)"),0.00203428)</f>
        <v>0.00203428</v>
      </c>
      <c r="F126" s="194" t="str">
        <f>IFERROR(__xludf.DUMMYFUNCTION("""COMPUTED_VALUE"""),"SOL")</f>
        <v>SOL</v>
      </c>
    </row>
    <row r="127">
      <c r="A127" s="26" t="str">
        <f t="shared" si="1"/>
        <v>TRANS</v>
      </c>
      <c r="B127" s="26" t="str">
        <f t="shared" si="2"/>
        <v/>
      </c>
      <c r="C127" s="207">
        <f t="shared" si="3"/>
        <v>0.00203428</v>
      </c>
      <c r="D127" s="200" t="s">
        <v>623</v>
      </c>
      <c r="E127" s="194">
        <f>IFERROR(__xludf.DUMMYFUNCTION("IF(D127&lt;&gt;"""",SPLIT(D127,"" 
""),)"),0.00203428)</f>
        <v>0.00203428</v>
      </c>
      <c r="F127" s="194" t="str">
        <f>IFERROR(__xludf.DUMMYFUNCTION("""COMPUTED_VALUE"""),"SOL")</f>
        <v>SOL</v>
      </c>
    </row>
    <row r="128">
      <c r="A128" s="26" t="str">
        <f t="shared" si="1"/>
        <v>TRANS</v>
      </c>
      <c r="B128" s="26" t="str">
        <f t="shared" si="2"/>
        <v/>
      </c>
      <c r="C128" s="207">
        <f t="shared" si="3"/>
        <v>0.00203428</v>
      </c>
      <c r="D128" s="200" t="s">
        <v>623</v>
      </c>
      <c r="E128" s="194">
        <f>IFERROR(__xludf.DUMMYFUNCTION("IF(D128&lt;&gt;"""",SPLIT(D128,"" 
""),)"),0.00203428)</f>
        <v>0.00203428</v>
      </c>
      <c r="F128" s="194" t="str">
        <f>IFERROR(__xludf.DUMMYFUNCTION("""COMPUTED_VALUE"""),"SOL")</f>
        <v>SOL</v>
      </c>
    </row>
    <row r="129">
      <c r="A129" s="26" t="str">
        <f t="shared" si="1"/>
        <v>TRANS</v>
      </c>
      <c r="B129" s="26" t="str">
        <f t="shared" si="2"/>
        <v/>
      </c>
      <c r="C129" s="207">
        <f t="shared" si="3"/>
        <v>-0.00204428</v>
      </c>
      <c r="D129" s="200" t="s">
        <v>646</v>
      </c>
      <c r="E129" s="194">
        <f>IFERROR(__xludf.DUMMYFUNCTION("IF(D129&lt;&gt;"""",SPLIT(D129,"" 
""),)"),-1.685967904)</f>
        <v>-1.685967904</v>
      </c>
      <c r="F129" s="194" t="str">
        <f>IFERROR(__xludf.DUMMYFUNCTION("""COMPUTED_VALUE"""),"stSOL")</f>
        <v>stSOL</v>
      </c>
      <c r="G129" s="194">
        <f>IFERROR(__xludf.DUMMYFUNCTION("""COMPUTED_VALUE"""),-0.00204428)</f>
        <v>-0.00204428</v>
      </c>
      <c r="H129" s="194" t="str">
        <f>IFERROR(__xludf.DUMMYFUNCTION("""COMPUTED_VALUE"""),"SOL")</f>
        <v>SOL</v>
      </c>
    </row>
    <row r="130">
      <c r="A130" s="26" t="str">
        <f t="shared" si="1"/>
        <v>TRANS</v>
      </c>
      <c r="B130" s="26" t="str">
        <f t="shared" si="2"/>
        <v/>
      </c>
      <c r="C130" s="207">
        <f t="shared" si="3"/>
        <v>0.002031841</v>
      </c>
      <c r="D130" s="200" t="s">
        <v>647</v>
      </c>
      <c r="E130" s="194">
        <f>IFERROR(__xludf.DUMMYFUNCTION("IF(D130&lt;&gt;"""",SPLIT(D130,"" 
""),)"),0.002031841)</f>
        <v>0.002031841</v>
      </c>
      <c r="F130" s="194" t="str">
        <f>IFERROR(__xludf.DUMMYFUNCTION("""COMPUTED_VALUE"""),"SOL")</f>
        <v>SOL</v>
      </c>
    </row>
    <row r="131">
      <c r="A131" s="26" t="str">
        <f t="shared" si="1"/>
        <v>TRANS</v>
      </c>
      <c r="B131" s="26" t="str">
        <f t="shared" si="2"/>
        <v/>
      </c>
      <c r="C131" s="207">
        <f t="shared" si="3"/>
        <v>-0.000005</v>
      </c>
      <c r="D131" s="200" t="s">
        <v>648</v>
      </c>
      <c r="E131" s="194">
        <f>IFERROR(__xludf.DUMMYFUNCTION("IF(D131&lt;&gt;"""",SPLIT(D131,"" 
""),)"),1.685967904)</f>
        <v>1.685967904</v>
      </c>
      <c r="F131" s="194" t="str">
        <f>IFERROR(__xludf.DUMMYFUNCTION("""COMPUTED_VALUE"""),"stSOL")</f>
        <v>stSOL</v>
      </c>
      <c r="G131" s="194">
        <f>IFERROR(__xludf.DUMMYFUNCTION("""COMPUTED_VALUE"""),-1.73354428)</f>
        <v>-1.73354428</v>
      </c>
      <c r="H131" s="194" t="str">
        <f>IFERROR(__xludf.DUMMYFUNCTION("""COMPUTED_VALUE"""),"SOL")</f>
        <v>SOL</v>
      </c>
    </row>
    <row r="132">
      <c r="A132" s="26" t="str">
        <f t="shared" si="1"/>
        <v>RECV</v>
      </c>
      <c r="B132" s="26" t="str">
        <f t="shared" si="2"/>
        <v/>
      </c>
      <c r="C132" s="207" t="str">
        <f t="shared" si="3"/>
        <v/>
      </c>
      <c r="D132" s="200" t="s">
        <v>649</v>
      </c>
      <c r="E132" s="194">
        <f>IFERROR(__xludf.DUMMYFUNCTION("IF(D132&lt;&gt;"""",SPLIT(D132,"" 
""),)"),1.727432293)</f>
        <v>1.727432293</v>
      </c>
      <c r="F132" s="194" t="str">
        <f>IFERROR(__xludf.DUMMYFUNCTION("""COMPUTED_VALUE"""),"SOL")</f>
        <v>SOL</v>
      </c>
      <c r="G132" s="194"/>
      <c r="H132" s="194"/>
    </row>
    <row r="133">
      <c r="A133" s="26" t="str">
        <f t="shared" si="1"/>
        <v>TRANS</v>
      </c>
      <c r="B133" s="26" t="str">
        <f t="shared" si="2"/>
        <v/>
      </c>
      <c r="C133" s="207">
        <f t="shared" si="3"/>
        <v>-0.00204428</v>
      </c>
      <c r="D133" s="200" t="s">
        <v>650</v>
      </c>
      <c r="E133" s="194">
        <f>IFERROR(__xludf.DUMMYFUNCTION("IF(D133&lt;&gt;"""",SPLIT(D133,"" 
""),)"),-41.849691)</f>
        <v>-41.849691</v>
      </c>
      <c r="F133" s="194" t="str">
        <f>IFERROR(__xludf.DUMMYFUNCTION("""COMPUTED_VALUE"""),"USDC")</f>
        <v>USDC</v>
      </c>
      <c r="G133" s="194">
        <f>IFERROR(__xludf.DUMMYFUNCTION("""COMPUTED_VALUE"""),-0.00204428)</f>
        <v>-0.00204428</v>
      </c>
      <c r="H133" s="194" t="str">
        <f>IFERROR(__xludf.DUMMYFUNCTION("""COMPUTED_VALUE"""),"SOL")</f>
        <v>SOL</v>
      </c>
    </row>
    <row r="134">
      <c r="A134" s="26" t="str">
        <f t="shared" si="1"/>
        <v>TRANS</v>
      </c>
      <c r="B134" s="26" t="str">
        <f t="shared" si="2"/>
        <v/>
      </c>
      <c r="C134" s="207">
        <f t="shared" si="3"/>
        <v>-0.00151336</v>
      </c>
      <c r="D134" s="200" t="s">
        <v>651</v>
      </c>
      <c r="E134" s="194">
        <f>IFERROR(__xludf.DUMMYFUNCTION("IF(D134&lt;&gt;"""",SPLIT(D134,"" 
""),)"),-1.668789761)</f>
        <v>-1.668789761</v>
      </c>
      <c r="F134" s="194" t="str">
        <f>IFERROR(__xludf.DUMMYFUNCTION("""COMPUTED_VALUE"""),"mSOL")</f>
        <v>mSOL</v>
      </c>
      <c r="G134" s="194">
        <f>IFERROR(__xludf.DUMMYFUNCTION("""COMPUTED_VALUE"""),-0.00151336)</f>
        <v>-0.00151336</v>
      </c>
      <c r="H134" s="194" t="str">
        <f>IFERROR(__xludf.DUMMYFUNCTION("""COMPUTED_VALUE"""),"SOL")</f>
        <v>SOL</v>
      </c>
    </row>
    <row r="135">
      <c r="A135" s="26" t="str">
        <f t="shared" si="1"/>
        <v>TRANS</v>
      </c>
      <c r="B135" s="26" t="str">
        <f t="shared" si="2"/>
        <v/>
      </c>
      <c r="C135" s="207">
        <f t="shared" si="3"/>
        <v>0.00203428</v>
      </c>
      <c r="D135" s="200" t="s">
        <v>623</v>
      </c>
      <c r="E135" s="194">
        <f>IFERROR(__xludf.DUMMYFUNCTION("IF(D135&lt;&gt;"""",SPLIT(D135,"" 
""),)"),0.00203428)</f>
        <v>0.00203428</v>
      </c>
      <c r="F135" s="194" t="str">
        <f>IFERROR(__xludf.DUMMYFUNCTION("""COMPUTED_VALUE"""),"SOL")</f>
        <v>SOL</v>
      </c>
    </row>
    <row r="136">
      <c r="A136" s="26" t="str">
        <f t="shared" si="1"/>
        <v>USDC-xUSD</v>
      </c>
      <c r="B136" s="26">
        <f t="shared" si="2"/>
        <v>-0.9900651138</v>
      </c>
      <c r="C136" s="207">
        <f t="shared" si="3"/>
        <v>-0.000005</v>
      </c>
      <c r="D136" s="200" t="s">
        <v>652</v>
      </c>
      <c r="E136" s="194">
        <f>IFERROR(__xludf.DUMMYFUNCTION("IF(D136&lt;&gt;"""",SPLIT(D136,"" 
""),)"),0.014749)</f>
        <v>0.014749</v>
      </c>
      <c r="F136" s="194" t="str">
        <f>IFERROR(__xludf.DUMMYFUNCTION("""COMPUTED_VALUE"""),"USDC")</f>
        <v>USDC</v>
      </c>
      <c r="G136" s="194">
        <f>IFERROR(__xludf.DUMMYFUNCTION("""COMPUTED_VALUE"""),-0.014897)</f>
        <v>-0.014897</v>
      </c>
      <c r="H136" s="194" t="str">
        <f>IFERROR(__xludf.DUMMYFUNCTION("""COMPUTED_VALUE"""),"xUSD")</f>
        <v>xUSD</v>
      </c>
      <c r="I136" s="194">
        <f>IFERROR(__xludf.DUMMYFUNCTION("""COMPUTED_VALUE"""),-5.0E-6)</f>
        <v>-0.000005</v>
      </c>
      <c r="J136" s="194" t="str">
        <f>IFERROR(__xludf.DUMMYFUNCTION("""COMPUTED_VALUE"""),"SOL")</f>
        <v>SOL</v>
      </c>
    </row>
    <row r="137">
      <c r="A137" s="26" t="str">
        <f t="shared" si="1"/>
        <v>TRANS</v>
      </c>
      <c r="B137" s="26" t="str">
        <f t="shared" si="2"/>
        <v/>
      </c>
      <c r="C137" s="207">
        <f t="shared" si="3"/>
        <v>-0.00204428</v>
      </c>
      <c r="D137" s="200" t="s">
        <v>653</v>
      </c>
      <c r="E137" s="194">
        <f>IFERROR(__xludf.DUMMYFUNCTION("IF(D137&lt;&gt;"""",SPLIT(D137,"" 
""),)"),-0.00204428)</f>
        <v>-0.00204428</v>
      </c>
      <c r="F137" s="194" t="str">
        <f>IFERROR(__xludf.DUMMYFUNCTION("""COMPUTED_VALUE"""),"SOL")</f>
        <v>SOL</v>
      </c>
    </row>
    <row r="138">
      <c r="A138" s="26" t="str">
        <f t="shared" si="1"/>
        <v>TRANS</v>
      </c>
      <c r="B138" s="26" t="str">
        <f t="shared" si="2"/>
        <v/>
      </c>
      <c r="C138" s="207">
        <f t="shared" si="3"/>
        <v>-0.000005</v>
      </c>
      <c r="D138" s="200" t="s">
        <v>654</v>
      </c>
      <c r="E138" s="194">
        <f>IFERROR(__xludf.DUMMYFUNCTION("IF(D138&lt;&gt;"""",SPLIT(D138,"" 
""),)"),1.668789761)</f>
        <v>1.668789761</v>
      </c>
      <c r="F138" s="194" t="str">
        <f>IFERROR(__xludf.DUMMYFUNCTION("""COMPUTED_VALUE"""),"mSOL")</f>
        <v>mSOL</v>
      </c>
      <c r="G138" s="194">
        <f>IFERROR(__xludf.DUMMYFUNCTION("""COMPUTED_VALUE"""),-5.0E-6)</f>
        <v>-0.000005</v>
      </c>
      <c r="H138" s="194" t="str">
        <f>IFERROR(__xludf.DUMMYFUNCTION("""COMPUTED_VALUE"""),"SOL")</f>
        <v>SOL</v>
      </c>
    </row>
    <row r="139">
      <c r="A139" s="26" t="str">
        <f t="shared" si="1"/>
        <v>TRANS</v>
      </c>
      <c r="B139" s="26" t="str">
        <f t="shared" si="2"/>
        <v/>
      </c>
      <c r="C139" s="207">
        <f t="shared" si="3"/>
        <v>-0.000005</v>
      </c>
      <c r="D139" s="200" t="s">
        <v>655</v>
      </c>
      <c r="E139" s="194">
        <f>IFERROR(__xludf.DUMMYFUNCTION("IF(D139&lt;&gt;"""",SPLIT(D139,"" 
""),)"),-9.184183)</f>
        <v>-9.184183</v>
      </c>
      <c r="F139" s="194" t="str">
        <f>IFERROR(__xludf.DUMMYFUNCTION("""COMPUTED_VALUE"""),"xUSD")</f>
        <v>xUSD</v>
      </c>
      <c r="G139" s="194">
        <f>IFERROR(__xludf.DUMMYFUNCTION("""COMPUTED_VALUE"""),-5.0E-6)</f>
        <v>-0.000005</v>
      </c>
      <c r="H139" s="194" t="str">
        <f>IFERROR(__xludf.DUMMYFUNCTION("""COMPUTED_VALUE"""),"SOL")</f>
        <v>SOL</v>
      </c>
    </row>
    <row r="140">
      <c r="A140" s="26" t="str">
        <f t="shared" si="1"/>
        <v>xUSD-USDC</v>
      </c>
      <c r="B140" s="26">
        <f t="shared" si="2"/>
        <v>-0.99</v>
      </c>
      <c r="C140" s="207">
        <f t="shared" si="3"/>
        <v>-0.000005</v>
      </c>
      <c r="D140" s="200" t="s">
        <v>656</v>
      </c>
      <c r="E140" s="194">
        <f>IFERROR(__xludf.DUMMYFUNCTION("IF(D140&lt;&gt;"""",SPLIT(D140,"" 
""),)"),9.19908)</f>
        <v>9.19908</v>
      </c>
      <c r="F140" s="194" t="str">
        <f>IFERROR(__xludf.DUMMYFUNCTION("""COMPUTED_VALUE"""),"xUSD")</f>
        <v>xUSD</v>
      </c>
      <c r="G140" s="194">
        <f>IFERROR(__xludf.DUMMYFUNCTION("""COMPUTED_VALUE"""),-9.292)</f>
        <v>-9.292</v>
      </c>
      <c r="H140" s="194" t="str">
        <f>IFERROR(__xludf.DUMMYFUNCTION("""COMPUTED_VALUE"""),"USDC")</f>
        <v>USDC</v>
      </c>
      <c r="I140" s="194">
        <f>IFERROR(__xludf.DUMMYFUNCTION("""COMPUTED_VALUE"""),-5.0E-6)</f>
        <v>-0.000005</v>
      </c>
      <c r="J140" s="194" t="str">
        <f>IFERROR(__xludf.DUMMYFUNCTION("""COMPUTED_VALUE"""),"SOL")</f>
        <v>SOL</v>
      </c>
    </row>
    <row r="141">
      <c r="A141" s="26" t="str">
        <f t="shared" si="1"/>
        <v>TRANS</v>
      </c>
      <c r="B141" s="26" t="str">
        <f t="shared" si="2"/>
        <v/>
      </c>
      <c r="C141" s="207">
        <f t="shared" si="3"/>
        <v>-0.000005</v>
      </c>
      <c r="D141" s="200" t="s">
        <v>657</v>
      </c>
      <c r="E141" s="194">
        <f>IFERROR(__xludf.DUMMYFUNCTION("IF(D141&lt;&gt;"""",SPLIT(D141,"" 
""),)"),51.126942)</f>
        <v>51.126942</v>
      </c>
      <c r="F141" s="194" t="str">
        <f>IFERROR(__xludf.DUMMYFUNCTION("""COMPUTED_VALUE"""),"USDC")</f>
        <v>USDC</v>
      </c>
      <c r="G141" s="194">
        <f>IFERROR(__xludf.DUMMYFUNCTION("""COMPUTED_VALUE"""),-5.0E-6)</f>
        <v>-0.000005</v>
      </c>
      <c r="H141" s="194" t="str">
        <f>IFERROR(__xludf.DUMMYFUNCTION("""COMPUTED_VALUE"""),"SOL")</f>
        <v>SOL</v>
      </c>
    </row>
    <row r="142">
      <c r="A142" s="26" t="str">
        <f t="shared" si="1"/>
        <v>TRANS</v>
      </c>
      <c r="B142" s="26" t="str">
        <f t="shared" si="2"/>
        <v/>
      </c>
      <c r="C142" s="207">
        <f t="shared" si="3"/>
        <v>-0.000005</v>
      </c>
      <c r="D142" s="200" t="s">
        <v>658</v>
      </c>
      <c r="E142" s="194">
        <f>IFERROR(__xludf.DUMMYFUNCTION("IF(D142&lt;&gt;"""",SPLIT(D142,"" 
""),)"),-132.822933)</f>
        <v>-132.822933</v>
      </c>
      <c r="F142" s="194" t="str">
        <f>IFERROR(__xludf.DUMMYFUNCTION("""COMPUTED_VALUE"""),"xUSD")</f>
        <v>xUSD</v>
      </c>
      <c r="G142" s="194">
        <f>IFERROR(__xludf.DUMMYFUNCTION("""COMPUTED_VALUE"""),-5.0E-6)</f>
        <v>-0.000005</v>
      </c>
      <c r="H142" s="194" t="str">
        <f>IFERROR(__xludf.DUMMYFUNCTION("""COMPUTED_VALUE"""),"SOL")</f>
        <v>SOL</v>
      </c>
    </row>
    <row r="143">
      <c r="A143" s="26" t="str">
        <f t="shared" si="1"/>
        <v>xUSD-xSOL</v>
      </c>
      <c r="B143" s="26">
        <f t="shared" si="2"/>
        <v>-89.96343088</v>
      </c>
      <c r="C143" s="207">
        <f t="shared" si="3"/>
        <v>-0.000005</v>
      </c>
      <c r="D143" s="200" t="s">
        <v>659</v>
      </c>
      <c r="E143" s="194">
        <f>IFERROR(__xludf.DUMMYFUNCTION("IF(D143&lt;&gt;"""",SPLIT(D143,"" 
""),)"),132.822933)</f>
        <v>132.822933</v>
      </c>
      <c r="F143" s="194" t="str">
        <f>IFERROR(__xludf.DUMMYFUNCTION("""COMPUTED_VALUE"""),"xUSD")</f>
        <v>xUSD</v>
      </c>
      <c r="G143" s="194">
        <f>IFERROR(__xludf.DUMMYFUNCTION("""COMPUTED_VALUE"""),-1.476410267)</f>
        <v>-1.476410267</v>
      </c>
      <c r="H143" s="194" t="str">
        <f>IFERROR(__xludf.DUMMYFUNCTION("""COMPUTED_VALUE"""),"xSOL")</f>
        <v>xSOL</v>
      </c>
      <c r="I143" s="194">
        <f>IFERROR(__xludf.DUMMYFUNCTION("""COMPUTED_VALUE"""),-5.0E-6)</f>
        <v>-0.000005</v>
      </c>
      <c r="J143" s="194" t="str">
        <f>IFERROR(__xludf.DUMMYFUNCTION("""COMPUTED_VALUE"""),"SOL")</f>
        <v>SOL</v>
      </c>
    </row>
    <row r="144">
      <c r="A144" s="26" t="str">
        <f t="shared" si="1"/>
        <v>xSOL-xBTC</v>
      </c>
      <c r="B144" s="26">
        <f t="shared" si="2"/>
        <v>-434.2377902</v>
      </c>
      <c r="C144" s="207">
        <f t="shared" si="3"/>
        <v>-0.000005</v>
      </c>
      <c r="D144" s="200" t="s">
        <v>660</v>
      </c>
      <c r="E144" s="194">
        <f>IFERROR(__xludf.DUMMYFUNCTION("IF(D144&lt;&gt;"""",SPLIT(D144,"" 
""),)"),1.476410267)</f>
        <v>1.476410267</v>
      </c>
      <c r="F144" s="194" t="str">
        <f>IFERROR(__xludf.DUMMYFUNCTION("""COMPUTED_VALUE"""),"xSOL")</f>
        <v>xSOL</v>
      </c>
      <c r="G144" s="194">
        <f>IFERROR(__xludf.DUMMYFUNCTION("""COMPUTED_VALUE"""),-0.0034000041)</f>
        <v>-0.0034000041</v>
      </c>
      <c r="H144" s="194" t="str">
        <f>IFERROR(__xludf.DUMMYFUNCTION("""COMPUTED_VALUE"""),"xBTC")</f>
        <v>xBTC</v>
      </c>
      <c r="I144" s="194">
        <f>IFERROR(__xludf.DUMMYFUNCTION("""COMPUTED_VALUE"""),-5.0E-6)</f>
        <v>-0.000005</v>
      </c>
      <c r="J144" s="194" t="str">
        <f>IFERROR(__xludf.DUMMYFUNCTION("""COMPUTED_VALUE"""),"SOL")</f>
        <v>SOL</v>
      </c>
    </row>
    <row r="145">
      <c r="A145" s="26" t="str">
        <f t="shared" si="1"/>
        <v>TRANS</v>
      </c>
      <c r="B145" s="26" t="str">
        <f t="shared" si="2"/>
        <v/>
      </c>
      <c r="C145" s="207">
        <f t="shared" si="3"/>
        <v>-0.00204428</v>
      </c>
      <c r="D145" s="200" t="s">
        <v>653</v>
      </c>
      <c r="E145" s="194">
        <f>IFERROR(__xludf.DUMMYFUNCTION("IF(D145&lt;&gt;"""",SPLIT(D145,"" 
""),)"),-0.00204428)</f>
        <v>-0.00204428</v>
      </c>
      <c r="F145" s="194" t="str">
        <f>IFERROR(__xludf.DUMMYFUNCTION("""COMPUTED_VALUE"""),"SOL")</f>
        <v>SOL</v>
      </c>
    </row>
    <row r="146">
      <c r="A146" s="26" t="str">
        <f t="shared" si="1"/>
        <v>xBTC-xUSD</v>
      </c>
      <c r="B146" s="26">
        <f t="shared" si="2"/>
        <v>-0.00002583062079</v>
      </c>
      <c r="C146" s="207">
        <f t="shared" si="3"/>
        <v>-0.000005</v>
      </c>
      <c r="D146" s="200" t="s">
        <v>661</v>
      </c>
      <c r="E146" s="194">
        <f>IFERROR(__xludf.DUMMYFUNCTION("IF(D146&lt;&gt;"""",SPLIT(D146,"" 
""),)"),0.0034000041)</f>
        <v>0.0034000041</v>
      </c>
      <c r="F146" s="194" t="str">
        <f>IFERROR(__xludf.DUMMYFUNCTION("""COMPUTED_VALUE"""),"xBTC")</f>
        <v>xBTC</v>
      </c>
      <c r="G146" s="194">
        <f>IFERROR(__xludf.DUMMYFUNCTION("""COMPUTED_VALUE"""),-131.626883)</f>
        <v>-131.626883</v>
      </c>
      <c r="H146" s="194" t="str">
        <f>IFERROR(__xludf.DUMMYFUNCTION("""COMPUTED_VALUE"""),"xUSD")</f>
        <v>xUSD</v>
      </c>
      <c r="I146" s="194">
        <f>IFERROR(__xludf.DUMMYFUNCTION("""COMPUTED_VALUE"""),-5.0E-6)</f>
        <v>-0.000005</v>
      </c>
      <c r="J146" s="194" t="str">
        <f>IFERROR(__xludf.DUMMYFUNCTION("""COMPUTED_VALUE"""),"SOL")</f>
        <v>SOL</v>
      </c>
    </row>
    <row r="147">
      <c r="A147" s="26" t="str">
        <f t="shared" si="1"/>
        <v>TRANS</v>
      </c>
      <c r="B147" s="26" t="str">
        <f t="shared" si="2"/>
        <v/>
      </c>
      <c r="C147" s="207">
        <f t="shared" si="3"/>
        <v>0.00203428</v>
      </c>
      <c r="D147" s="200" t="s">
        <v>623</v>
      </c>
      <c r="E147" s="194">
        <f>IFERROR(__xludf.DUMMYFUNCTION("IF(D147&lt;&gt;"""",SPLIT(D147,"" 
""),)"),0.00203428)</f>
        <v>0.00203428</v>
      </c>
      <c r="F147" s="194" t="str">
        <f>IFERROR(__xludf.DUMMYFUNCTION("""COMPUTED_VALUE"""),"SOL")</f>
        <v>SOL</v>
      </c>
    </row>
    <row r="148">
      <c r="A148" s="26" t="str">
        <f t="shared" si="1"/>
        <v>TRANS</v>
      </c>
      <c r="B148" s="26" t="str">
        <f t="shared" si="2"/>
        <v/>
      </c>
      <c r="C148" s="207">
        <f t="shared" si="3"/>
        <v>0.00203428</v>
      </c>
      <c r="D148" s="200" t="s">
        <v>623</v>
      </c>
      <c r="E148" s="194">
        <f>IFERROR(__xludf.DUMMYFUNCTION("IF(D148&lt;&gt;"""",SPLIT(D148,"" 
""),)"),0.00203428)</f>
        <v>0.00203428</v>
      </c>
      <c r="F148" s="194" t="str">
        <f>IFERROR(__xludf.DUMMYFUNCTION("""COMPUTED_VALUE"""),"SOL")</f>
        <v>SOL</v>
      </c>
    </row>
    <row r="149">
      <c r="A149" s="26" t="str">
        <f t="shared" si="1"/>
        <v>TRANS</v>
      </c>
      <c r="B149" s="26" t="str">
        <f t="shared" si="2"/>
        <v/>
      </c>
      <c r="C149" s="207">
        <f t="shared" si="3"/>
        <v>-0.00204428</v>
      </c>
      <c r="D149" s="200" t="s">
        <v>653</v>
      </c>
      <c r="E149" s="194">
        <f>IFERROR(__xludf.DUMMYFUNCTION("IF(D149&lt;&gt;"""",SPLIT(D149,"" 
""),)"),-0.00204428)</f>
        <v>-0.00204428</v>
      </c>
      <c r="F149" s="194" t="str">
        <f>IFERROR(__xludf.DUMMYFUNCTION("""COMPUTED_VALUE"""),"SOL")</f>
        <v>SOL</v>
      </c>
    </row>
    <row r="150">
      <c r="A150" s="26" t="str">
        <f t="shared" si="1"/>
        <v>TRANS</v>
      </c>
      <c r="B150" s="26" t="str">
        <f t="shared" si="2"/>
        <v/>
      </c>
      <c r="C150" s="207">
        <f t="shared" si="3"/>
        <v>-0.000005</v>
      </c>
      <c r="D150" s="200" t="s">
        <v>662</v>
      </c>
      <c r="E150" s="194">
        <f>IFERROR(__xludf.DUMMYFUNCTION("IF(D150&lt;&gt;"""",SPLIT(D150,"" 
""),)"),45.786503)</f>
        <v>45.786503</v>
      </c>
      <c r="F150" s="194" t="str">
        <f>IFERROR(__xludf.DUMMYFUNCTION("""COMPUTED_VALUE"""),"xUSD")</f>
        <v>xUSD</v>
      </c>
      <c r="G150" s="194">
        <f>IFERROR(__xludf.DUMMYFUNCTION("""COMPUTED_VALUE"""),-5.0E-6)</f>
        <v>-0.000005</v>
      </c>
      <c r="H150" s="194" t="str">
        <f>IFERROR(__xludf.DUMMYFUNCTION("""COMPUTED_VALUE"""),"SOL")</f>
        <v>SOL</v>
      </c>
    </row>
    <row r="151">
      <c r="A151" s="26" t="str">
        <f t="shared" si="1"/>
        <v>TRANS</v>
      </c>
      <c r="B151" s="26" t="str">
        <f t="shared" si="2"/>
        <v/>
      </c>
      <c r="C151" s="207">
        <f t="shared" si="3"/>
        <v>-0.000005</v>
      </c>
      <c r="D151" s="200" t="s">
        <v>663</v>
      </c>
      <c r="E151" s="194">
        <f>IFERROR(__xludf.DUMMYFUNCTION("IF(D151&lt;&gt;"""",SPLIT(D151,"" 
""),)"),-0.140529346)</f>
        <v>-0.140529346</v>
      </c>
      <c r="F151" s="194" t="str">
        <f>IFERROR(__xludf.DUMMYFUNCTION("""COMPUTED_VALUE"""),"mSOL")</f>
        <v>mSOL</v>
      </c>
      <c r="G151" s="194">
        <f>IFERROR(__xludf.DUMMYFUNCTION("""COMPUTED_VALUE"""),-5.0E-6)</f>
        <v>-0.000005</v>
      </c>
      <c r="H151" s="194" t="str">
        <f>IFERROR(__xludf.DUMMYFUNCTION("""COMPUTED_VALUE"""),"SOL")</f>
        <v>SOL</v>
      </c>
    </row>
    <row r="152">
      <c r="A152" s="26" t="str">
        <f t="shared" si="1"/>
        <v>TRANS</v>
      </c>
      <c r="B152" s="26" t="str">
        <f t="shared" si="2"/>
        <v/>
      </c>
      <c r="C152" s="207">
        <f t="shared" si="3"/>
        <v>0.002045133</v>
      </c>
      <c r="D152" s="200" t="s">
        <v>664</v>
      </c>
      <c r="E152" s="194">
        <f>IFERROR(__xludf.DUMMYFUNCTION("IF(D152&lt;&gt;"""",SPLIT(D152,"" 
""),)"),0.002045133)</f>
        <v>0.002045133</v>
      </c>
      <c r="F152" s="194" t="str">
        <f>IFERROR(__xludf.DUMMYFUNCTION("""COMPUTED_VALUE"""),"SOL")</f>
        <v>SOL</v>
      </c>
      <c r="G152" s="194">
        <f>IFERROR(__xludf.DUMMYFUNCTION("""COMPUTED_VALUE"""),-0.175068)</f>
        <v>-0.175068</v>
      </c>
      <c r="H152" s="194" t="str">
        <f>IFERROR(__xludf.DUMMYFUNCTION("""COMPUTED_VALUE"""),"LARIX")</f>
        <v>LARIX</v>
      </c>
    </row>
    <row r="153">
      <c r="A153" s="26" t="str">
        <f t="shared" si="1"/>
        <v>TRANS</v>
      </c>
      <c r="B153" s="26" t="str">
        <f t="shared" si="2"/>
        <v/>
      </c>
      <c r="C153" s="207">
        <f t="shared" si="3"/>
        <v>-0.00408356</v>
      </c>
      <c r="D153" s="200" t="s">
        <v>665</v>
      </c>
      <c r="E153" s="194">
        <f>IFERROR(__xludf.DUMMYFUNCTION("IF(D153&lt;&gt;"""",SPLIT(D153,"" 
""),)"),-0.00408356)</f>
        <v>-0.00408356</v>
      </c>
      <c r="F153" s="194" t="str">
        <f>IFERROR(__xludf.DUMMYFUNCTION("""COMPUTED_VALUE"""),"SOL")</f>
        <v>SOL</v>
      </c>
    </row>
    <row r="154">
      <c r="A154" s="26" t="str">
        <f t="shared" si="1"/>
        <v>TRANS</v>
      </c>
      <c r="B154" s="26" t="str">
        <f t="shared" si="2"/>
        <v/>
      </c>
      <c r="C154" s="207">
        <f t="shared" si="3"/>
        <v>-0.000005</v>
      </c>
      <c r="D154" s="200" t="s">
        <v>666</v>
      </c>
      <c r="E154" s="194">
        <f>IFERROR(__xludf.DUMMYFUNCTION("IF(D154&lt;&gt;"""",SPLIT(D154,"" 
""),)"),0.126649153)</f>
        <v>0.126649153</v>
      </c>
      <c r="F154" s="194" t="str">
        <f>IFERROR(__xludf.DUMMYFUNCTION("""COMPUTED_VALUE"""),"mSOL")</f>
        <v>mSOL</v>
      </c>
      <c r="G154" s="194">
        <f>IFERROR(__xludf.DUMMYFUNCTION("""COMPUTED_VALUE"""),-0.130937495)</f>
        <v>-0.130937495</v>
      </c>
      <c r="H154" s="194" t="str">
        <f>IFERROR(__xludf.DUMMYFUNCTION("""COMPUTED_VALUE"""),"SOL")</f>
        <v>SOL</v>
      </c>
    </row>
    <row r="155">
      <c r="A155" s="26" t="str">
        <f t="shared" si="1"/>
        <v>TRANS</v>
      </c>
      <c r="B155" s="26" t="str">
        <f t="shared" si="2"/>
        <v/>
      </c>
      <c r="C155" s="207">
        <f t="shared" si="3"/>
        <v>-0.000005</v>
      </c>
      <c r="D155" s="200" t="s">
        <v>667</v>
      </c>
      <c r="E155" s="194">
        <f>IFERROR(__xludf.DUMMYFUNCTION("IF(D155&lt;&gt;"""",SPLIT(D155,"" 
""),)"),-51.126942)</f>
        <v>-51.126942</v>
      </c>
      <c r="F155" s="194" t="str">
        <f>IFERROR(__xludf.DUMMYFUNCTION("""COMPUTED_VALUE"""),"USDC")</f>
        <v>USDC</v>
      </c>
      <c r="G155" s="194">
        <f>IFERROR(__xludf.DUMMYFUNCTION("""COMPUTED_VALUE"""),-5.0E-6)</f>
        <v>-0.000005</v>
      </c>
      <c r="H155" s="194" t="str">
        <f>IFERROR(__xludf.DUMMYFUNCTION("""COMPUTED_VALUE"""),"SOL")</f>
        <v>SOL</v>
      </c>
    </row>
    <row r="156">
      <c r="A156" s="26" t="str">
        <f t="shared" si="1"/>
        <v>RECV</v>
      </c>
      <c r="B156" s="26" t="str">
        <f t="shared" si="2"/>
        <v/>
      </c>
      <c r="C156" s="207" t="str">
        <f t="shared" si="3"/>
        <v/>
      </c>
      <c r="D156" s="200" t="s">
        <v>668</v>
      </c>
      <c r="E156" s="194">
        <f>IFERROR(__xludf.DUMMYFUNCTION("IF(D156&lt;&gt;"""",SPLIT(D156,"" 
""),)"),0.07248368)</f>
        <v>0.07248368</v>
      </c>
      <c r="F156" s="194" t="str">
        <f>IFERROR(__xludf.DUMMYFUNCTION("""COMPUTED_VALUE"""),"SOL")</f>
        <v>SOL</v>
      </c>
      <c r="G156" s="194"/>
      <c r="H156" s="194"/>
    </row>
    <row r="157">
      <c r="A157" s="26" t="str">
        <f t="shared" si="1"/>
        <v>TRANS</v>
      </c>
      <c r="B157" s="26" t="str">
        <f t="shared" si="2"/>
        <v/>
      </c>
      <c r="C157" s="207">
        <f t="shared" si="3"/>
        <v>-0.00204428</v>
      </c>
      <c r="D157" s="200" t="s">
        <v>669</v>
      </c>
      <c r="E157" s="194">
        <f>IFERROR(__xludf.DUMMYFUNCTION("IF(D157&lt;&gt;"""",SPLIT(D157,"" 
""),)"),0.175068)</f>
        <v>0.175068</v>
      </c>
      <c r="F157" s="194" t="str">
        <f>IFERROR(__xludf.DUMMYFUNCTION("""COMPUTED_VALUE"""),"LARIX")</f>
        <v>LARIX</v>
      </c>
      <c r="G157" s="194">
        <f>IFERROR(__xludf.DUMMYFUNCTION("""COMPUTED_VALUE"""),-0.00204428)</f>
        <v>-0.00204428</v>
      </c>
      <c r="H157" s="194" t="str">
        <f>IFERROR(__xludf.DUMMYFUNCTION("""COMPUTED_VALUE"""),"SOL")</f>
        <v>SOL</v>
      </c>
    </row>
    <row r="158">
      <c r="A158" s="26" t="str">
        <f t="shared" si="1"/>
        <v>TRANS</v>
      </c>
      <c r="B158" s="26" t="str">
        <f t="shared" si="2"/>
        <v/>
      </c>
      <c r="C158" s="207">
        <f t="shared" si="3"/>
        <v>0.022496956</v>
      </c>
      <c r="D158" s="200" t="s">
        <v>670</v>
      </c>
      <c r="E158" s="194">
        <f>IFERROR(__xludf.DUMMYFUNCTION("IF(D158&lt;&gt;"""",SPLIT(D158,"" 
""),)"),0.022496956)</f>
        <v>0.022496956</v>
      </c>
      <c r="F158" s="194" t="str">
        <f>IFERROR(__xludf.DUMMYFUNCTION("""COMPUTED_VALUE"""),"SOL")</f>
        <v>SOL</v>
      </c>
    </row>
    <row r="159">
      <c r="A159" s="26" t="str">
        <f t="shared" si="1"/>
        <v>TRANS</v>
      </c>
      <c r="B159" s="26" t="str">
        <f t="shared" si="2"/>
        <v/>
      </c>
      <c r="C159" s="207">
        <f t="shared" si="3"/>
        <v>-0.000005</v>
      </c>
      <c r="D159" s="200" t="s">
        <v>657</v>
      </c>
      <c r="E159" s="194">
        <f>IFERROR(__xludf.DUMMYFUNCTION("IF(D159&lt;&gt;"""",SPLIT(D159,"" 
""),)"),51.126942)</f>
        <v>51.126942</v>
      </c>
      <c r="F159" s="194" t="str">
        <f>IFERROR(__xludf.DUMMYFUNCTION("""COMPUTED_VALUE"""),"USDC")</f>
        <v>USDC</v>
      </c>
      <c r="G159" s="194">
        <f>IFERROR(__xludf.DUMMYFUNCTION("""COMPUTED_VALUE"""),-5.0E-6)</f>
        <v>-0.000005</v>
      </c>
      <c r="H159" s="194" t="str">
        <f>IFERROR(__xludf.DUMMYFUNCTION("""COMPUTED_VALUE"""),"SOL")</f>
        <v>SOL</v>
      </c>
    </row>
    <row r="160">
      <c r="A160" s="26" t="str">
        <f t="shared" si="1"/>
        <v>TRANS</v>
      </c>
      <c r="B160" s="26" t="str">
        <f t="shared" si="2"/>
        <v/>
      </c>
      <c r="C160" s="207">
        <f t="shared" si="3"/>
        <v>-0.000005</v>
      </c>
      <c r="D160" s="200" t="s">
        <v>671</v>
      </c>
      <c r="E160" s="194">
        <f>IFERROR(__xludf.DUMMYFUNCTION("IF(D160&lt;&gt;"""",SPLIT(D160,"" 
""),)"),0.013880193)</f>
        <v>0.013880193</v>
      </c>
      <c r="F160" s="194" t="str">
        <f>IFERROR(__xludf.DUMMYFUNCTION("""COMPUTED_VALUE"""),"mSOL")</f>
        <v>mSOL</v>
      </c>
      <c r="G160" s="194">
        <f>IFERROR(__xludf.DUMMYFUNCTION("""COMPUTED_VALUE"""),-5.0E-6)</f>
        <v>-0.000005</v>
      </c>
      <c r="H160" s="194" t="str">
        <f>IFERROR(__xludf.DUMMYFUNCTION("""COMPUTED_VALUE"""),"SOL")</f>
        <v>SOL</v>
      </c>
    </row>
    <row r="161">
      <c r="A161" s="26" t="str">
        <f t="shared" si="1"/>
        <v>TRANS</v>
      </c>
      <c r="B161" s="26" t="str">
        <f t="shared" si="2"/>
        <v/>
      </c>
      <c r="C161" s="207">
        <f t="shared" si="3"/>
        <v>-0.000005</v>
      </c>
      <c r="D161" s="200" t="s">
        <v>672</v>
      </c>
      <c r="E161" s="194">
        <f>IFERROR(__xludf.DUMMYFUNCTION("IF(D161&lt;&gt;"""",SPLIT(D161,"" 
""),)"),-51.121147)</f>
        <v>-51.121147</v>
      </c>
      <c r="F161" s="194" t="str">
        <f>IFERROR(__xludf.DUMMYFUNCTION("""COMPUTED_VALUE"""),"USDC")</f>
        <v>USDC</v>
      </c>
      <c r="G161" s="194">
        <f>IFERROR(__xludf.DUMMYFUNCTION("""COMPUTED_VALUE"""),-5.0E-6)</f>
        <v>-0.000005</v>
      </c>
      <c r="H161" s="194" t="str">
        <f>IFERROR(__xludf.DUMMYFUNCTION("""COMPUTED_VALUE"""),"SOL")</f>
        <v>SOL</v>
      </c>
    </row>
    <row r="162">
      <c r="A162" s="26" t="str">
        <f t="shared" si="1"/>
        <v>TRANS</v>
      </c>
      <c r="B162" s="26" t="str">
        <f t="shared" si="2"/>
        <v/>
      </c>
      <c r="C162" s="207">
        <f t="shared" si="3"/>
        <v>-0.000005</v>
      </c>
      <c r="D162" s="200" t="s">
        <v>673</v>
      </c>
      <c r="E162" s="194">
        <f>IFERROR(__xludf.DUMMYFUNCTION("IF(D162&lt;&gt;"""",SPLIT(D162,"" 
""),)"),51.121147)</f>
        <v>51.121147</v>
      </c>
      <c r="F162" s="194" t="str">
        <f>IFERROR(__xludf.DUMMYFUNCTION("""COMPUTED_VALUE"""),"USDC")</f>
        <v>USDC</v>
      </c>
      <c r="G162" s="194">
        <f>IFERROR(__xludf.DUMMYFUNCTION("""COMPUTED_VALUE"""),-5.0E-6)</f>
        <v>-0.000005</v>
      </c>
      <c r="H162" s="194" t="str">
        <f>IFERROR(__xludf.DUMMYFUNCTION("""COMPUTED_VALUE"""),"SOL")</f>
        <v>SOL</v>
      </c>
    </row>
    <row r="163">
      <c r="A163" s="26" t="str">
        <f t="shared" si="1"/>
        <v>TRANS</v>
      </c>
      <c r="B163" s="26" t="str">
        <f t="shared" si="2"/>
        <v/>
      </c>
      <c r="C163" s="207">
        <f t="shared" si="3"/>
        <v>-0.000005</v>
      </c>
      <c r="D163" s="200" t="s">
        <v>674</v>
      </c>
      <c r="E163" s="194">
        <f>IFERROR(__xludf.DUMMYFUNCTION("IF(D163&lt;&gt;"""",SPLIT(D163,"" 
""),)"),-51.121143)</f>
        <v>-51.121143</v>
      </c>
      <c r="F163" s="194" t="str">
        <f>IFERROR(__xludf.DUMMYFUNCTION("""COMPUTED_VALUE"""),"USDC")</f>
        <v>USDC</v>
      </c>
      <c r="G163" s="194">
        <f>IFERROR(__xludf.DUMMYFUNCTION("""COMPUTED_VALUE"""),-5.0E-6)</f>
        <v>-0.000005</v>
      </c>
      <c r="H163" s="194" t="str">
        <f>IFERROR(__xludf.DUMMYFUNCTION("""COMPUTED_VALUE"""),"SOL")</f>
        <v>SOL</v>
      </c>
    </row>
    <row r="164">
      <c r="A164" s="26" t="str">
        <f t="shared" si="1"/>
        <v>TRANS</v>
      </c>
      <c r="B164" s="26" t="str">
        <f t="shared" si="2"/>
        <v/>
      </c>
      <c r="C164" s="207">
        <f t="shared" si="3"/>
        <v>-0.00204428</v>
      </c>
      <c r="D164" s="200" t="s">
        <v>653</v>
      </c>
      <c r="E164" s="194">
        <f>IFERROR(__xludf.DUMMYFUNCTION("IF(D164&lt;&gt;"""",SPLIT(D164,"" 
""),)"),-0.00204428)</f>
        <v>-0.00204428</v>
      </c>
      <c r="F164" s="194" t="str">
        <f>IFERROR(__xludf.DUMMYFUNCTION("""COMPUTED_VALUE"""),"SOL")</f>
        <v>SOL</v>
      </c>
    </row>
    <row r="165">
      <c r="A165" s="26" t="str">
        <f t="shared" si="1"/>
        <v>TRANS</v>
      </c>
      <c r="B165" s="26" t="str">
        <f t="shared" si="2"/>
        <v/>
      </c>
      <c r="C165" s="207" t="str">
        <f t="shared" si="3"/>
        <v/>
      </c>
      <c r="D165" s="200" t="s">
        <v>675</v>
      </c>
      <c r="E165" s="194">
        <f>IFERROR(__xludf.DUMMYFUNCTION("IF(D165&lt;&gt;"""",SPLIT(D165,"" 
""),)"),51.121143)</f>
        <v>51.121143</v>
      </c>
      <c r="F165" s="194" t="str">
        <f>IFERROR(__xludf.DUMMYFUNCTION("""COMPUTED_VALUE"""),"USDC")</f>
        <v>USDC</v>
      </c>
    </row>
    <row r="166">
      <c r="A166" s="26" t="str">
        <f t="shared" si="1"/>
        <v>TRANS</v>
      </c>
      <c r="B166" s="26" t="str">
        <f t="shared" si="2"/>
        <v/>
      </c>
      <c r="C166" s="207">
        <f t="shared" si="3"/>
        <v>-0.00204428</v>
      </c>
      <c r="D166" s="200" t="s">
        <v>653</v>
      </c>
      <c r="E166" s="194">
        <f>IFERROR(__xludf.DUMMYFUNCTION("IF(D166&lt;&gt;"""",SPLIT(D166,"" 
""),)"),-0.00204428)</f>
        <v>-0.00204428</v>
      </c>
      <c r="F166" s="194" t="str">
        <f>IFERROR(__xludf.DUMMYFUNCTION("""COMPUTED_VALUE"""),"SOL")</f>
        <v>SOL</v>
      </c>
    </row>
    <row r="167">
      <c r="A167" s="26" t="str">
        <f t="shared" si="1"/>
        <v>RECV</v>
      </c>
      <c r="B167" s="26" t="str">
        <f t="shared" si="2"/>
        <v/>
      </c>
      <c r="C167" s="207" t="str">
        <f t="shared" si="3"/>
        <v/>
      </c>
      <c r="D167" s="200" t="s">
        <v>676</v>
      </c>
      <c r="E167" s="194">
        <f>IFERROR(__xludf.DUMMYFUNCTION("IF(D167&lt;&gt;"""",SPLIT(D167,"" 
""),)"),-0.700005)</f>
        <v>-0.700005</v>
      </c>
      <c r="F167" s="194" t="str">
        <f>IFERROR(__xludf.DUMMYFUNCTION("""COMPUTED_VALUE"""),"SOL")</f>
        <v>SOL</v>
      </c>
      <c r="G167" s="194"/>
      <c r="H167" s="194"/>
    </row>
    <row r="168">
      <c r="A168" s="26" t="str">
        <f t="shared" si="1"/>
        <v>RECV</v>
      </c>
      <c r="B168" s="26" t="str">
        <f t="shared" si="2"/>
        <v/>
      </c>
      <c r="C168" s="207" t="str">
        <f t="shared" si="3"/>
        <v/>
      </c>
      <c r="D168" s="200" t="s">
        <v>677</v>
      </c>
      <c r="E168" s="194">
        <f>IFERROR(__xludf.DUMMYFUNCTION("IF(D168&lt;&gt;"""",SPLIT(D168,"" 
""),)"),0.72014636)</f>
        <v>0.72014636</v>
      </c>
      <c r="F168" s="194" t="str">
        <f>IFERROR(__xludf.DUMMYFUNCTION("""COMPUTED_VALUE"""),"SOL")</f>
        <v>SOL</v>
      </c>
      <c r="G168" s="194"/>
      <c r="H168" s="194"/>
    </row>
    <row r="169">
      <c r="A169" s="26" t="str">
        <f t="shared" si="1"/>
        <v>TRANS</v>
      </c>
      <c r="B169" s="26" t="str">
        <f t="shared" si="2"/>
        <v/>
      </c>
      <c r="C169" s="207">
        <f t="shared" si="3"/>
        <v>-0.0085012</v>
      </c>
      <c r="D169" s="200" t="s">
        <v>678</v>
      </c>
      <c r="E169" s="194">
        <f>IFERROR(__xludf.DUMMYFUNCTION("IF(D169&lt;&gt;"""",SPLIT(D169,"" 
""),)"),-0.0085012)</f>
        <v>-0.0085012</v>
      </c>
      <c r="F169" s="194" t="str">
        <f>IFERROR(__xludf.DUMMYFUNCTION("""COMPUTED_VALUE"""),"SOL")</f>
        <v>SOL</v>
      </c>
    </row>
    <row r="170">
      <c r="A170" s="26" t="str">
        <f t="shared" si="1"/>
        <v>TRANS</v>
      </c>
      <c r="B170" s="26" t="str">
        <f t="shared" si="2"/>
        <v/>
      </c>
      <c r="C170" s="207">
        <f t="shared" si="3"/>
        <v>-0.02991348</v>
      </c>
      <c r="D170" s="200" t="s">
        <v>679</v>
      </c>
      <c r="E170" s="194">
        <f>IFERROR(__xludf.DUMMYFUNCTION("IF(D170&lt;&gt;"""",SPLIT(D170,"" 
""),)"),-0.02991348)</f>
        <v>-0.02991348</v>
      </c>
      <c r="F170" s="194" t="str">
        <f>IFERROR(__xludf.DUMMYFUNCTION("""COMPUTED_VALUE"""),"SOL")</f>
        <v>SOL</v>
      </c>
    </row>
    <row r="171">
      <c r="A171" s="26" t="str">
        <f t="shared" si="1"/>
        <v>TRANS</v>
      </c>
      <c r="B171" s="26" t="str">
        <f t="shared" si="2"/>
        <v/>
      </c>
      <c r="C171" s="207">
        <f t="shared" si="3"/>
        <v>-0.000005</v>
      </c>
      <c r="D171" s="200" t="s">
        <v>680</v>
      </c>
      <c r="E171" s="194">
        <f>IFERROR(__xludf.DUMMYFUNCTION("IF(D171&lt;&gt;"""",SPLIT(D171,"" 
""),)"),85.84038)</f>
        <v>85.84038</v>
      </c>
      <c r="F171" s="194" t="str">
        <f>IFERROR(__xludf.DUMMYFUNCTION("""COMPUTED_VALUE"""),"xUSD")</f>
        <v>xUSD</v>
      </c>
      <c r="G171" s="194">
        <f>IFERROR(__xludf.DUMMYFUNCTION("""COMPUTED_VALUE"""),-5.0E-6)</f>
        <v>-0.000005</v>
      </c>
      <c r="H171" s="194" t="str">
        <f>IFERROR(__xludf.DUMMYFUNCTION("""COMPUTED_VALUE"""),"SOL")</f>
        <v>SOL</v>
      </c>
    </row>
    <row r="172">
      <c r="A172" s="26" t="str">
        <f t="shared" si="1"/>
        <v>TRANS</v>
      </c>
      <c r="B172" s="26" t="str">
        <f t="shared" si="2"/>
        <v/>
      </c>
      <c r="C172" s="207">
        <f t="shared" si="3"/>
        <v>-0.00204428</v>
      </c>
      <c r="D172" s="200" t="s">
        <v>653</v>
      </c>
      <c r="E172" s="194">
        <f>IFERROR(__xludf.DUMMYFUNCTION("IF(D172&lt;&gt;"""",SPLIT(D172,"" 
""),)"),-0.00204428)</f>
        <v>-0.00204428</v>
      </c>
      <c r="F172" s="194" t="str">
        <f>IFERROR(__xludf.DUMMYFUNCTION("""COMPUTED_VALUE"""),"SOL")</f>
        <v>SOL</v>
      </c>
    </row>
    <row r="173">
      <c r="A173" s="26" t="str">
        <f t="shared" si="1"/>
        <v>RECV</v>
      </c>
      <c r="B173" s="26" t="str">
        <f t="shared" si="2"/>
        <v/>
      </c>
      <c r="C173" s="207" t="str">
        <f t="shared" si="3"/>
        <v/>
      </c>
      <c r="D173" s="200" t="s">
        <v>681</v>
      </c>
      <c r="E173" s="194">
        <f>IFERROR(__xludf.DUMMYFUNCTION("IF(D173&lt;&gt;"""",SPLIT(D173,"" 
""),)"),0.07328138)</f>
        <v>0.07328138</v>
      </c>
      <c r="F173" s="194" t="str">
        <f>IFERROR(__xludf.DUMMYFUNCTION("""COMPUTED_VALUE"""),"SOL")</f>
        <v>SOL</v>
      </c>
      <c r="G173" s="194"/>
      <c r="H173" s="194"/>
    </row>
    <row r="174">
      <c r="A174" s="26" t="str">
        <f t="shared" si="1"/>
        <v>TRANS</v>
      </c>
      <c r="B174" s="26" t="str">
        <f t="shared" si="2"/>
        <v/>
      </c>
      <c r="C174" s="207">
        <f t="shared" si="3"/>
        <v>-0.01077908</v>
      </c>
      <c r="D174" s="200" t="s">
        <v>682</v>
      </c>
      <c r="E174" s="194">
        <f>IFERROR(__xludf.DUMMYFUNCTION("IF(D174&lt;&gt;"""",SPLIT(D174,"" 
""),)"),-1.542140625)</f>
        <v>-1.542140625</v>
      </c>
      <c r="F174" s="194" t="str">
        <f>IFERROR(__xludf.DUMMYFUNCTION("""COMPUTED_VALUE"""),"mSOL")</f>
        <v>mSOL</v>
      </c>
      <c r="G174" s="194">
        <f>IFERROR(__xludf.DUMMYFUNCTION("""COMPUTED_VALUE"""),-0.01077908)</f>
        <v>-0.01077908</v>
      </c>
      <c r="H174" s="194" t="str">
        <f>IFERROR(__xludf.DUMMYFUNCTION("""COMPUTED_VALUE"""),"SOL")</f>
        <v>SOL</v>
      </c>
    </row>
    <row r="175">
      <c r="A175" s="26" t="str">
        <f t="shared" si="1"/>
        <v>TRANS</v>
      </c>
      <c r="B175" s="26" t="str">
        <f t="shared" si="2"/>
        <v/>
      </c>
      <c r="C175" s="207">
        <f t="shared" si="3"/>
        <v>-0.000005</v>
      </c>
      <c r="D175" s="200" t="s">
        <v>683</v>
      </c>
      <c r="E175" s="194">
        <f>IFERROR(__xludf.DUMMYFUNCTION("IF(D175&lt;&gt;"""",SPLIT(D175,"" 
""),)"),0.462726964)</f>
        <v>0.462726964</v>
      </c>
      <c r="F175" s="194" t="str">
        <f>IFERROR(__xludf.DUMMYFUNCTION("""COMPUTED_VALUE"""),"mSOL")</f>
        <v>mSOL</v>
      </c>
      <c r="G175" s="194">
        <f>IFERROR(__xludf.DUMMYFUNCTION("""COMPUTED_VALUE"""),-0.47827485)</f>
        <v>-0.47827485</v>
      </c>
      <c r="H175" s="194" t="str">
        <f>IFERROR(__xludf.DUMMYFUNCTION("""COMPUTED_VALUE"""),"SOL")</f>
        <v>SOL</v>
      </c>
    </row>
    <row r="176">
      <c r="A176" s="26" t="str">
        <f t="shared" si="1"/>
        <v>RECV</v>
      </c>
      <c r="B176" s="26" t="str">
        <f t="shared" si="2"/>
        <v/>
      </c>
      <c r="C176" s="207" t="str">
        <f t="shared" si="3"/>
        <v/>
      </c>
      <c r="D176" s="200" t="s">
        <v>684</v>
      </c>
      <c r="E176" s="194">
        <f>IFERROR(__xludf.DUMMYFUNCTION("IF(D176&lt;&gt;"""",SPLIT(D176,"" 
""),)"),0.48237293)</f>
        <v>0.48237293</v>
      </c>
      <c r="F176" s="194" t="str">
        <f>IFERROR(__xludf.DUMMYFUNCTION("""COMPUTED_VALUE"""),"SOL")</f>
        <v>SOL</v>
      </c>
      <c r="G176" s="194"/>
      <c r="H176" s="194"/>
    </row>
    <row r="177">
      <c r="A177" s="26" t="str">
        <f t="shared" si="1"/>
        <v>TRANS</v>
      </c>
      <c r="B177" s="26" t="str">
        <f t="shared" si="2"/>
        <v/>
      </c>
      <c r="C177" s="207">
        <f t="shared" si="3"/>
        <v>-0.000005</v>
      </c>
      <c r="D177" s="200" t="s">
        <v>685</v>
      </c>
      <c r="E177" s="194">
        <f>IFERROR(__xludf.DUMMYFUNCTION("IF(D177&lt;&gt;"""",SPLIT(D177,"" 
""),)"),1.079413661)</f>
        <v>1.079413661</v>
      </c>
      <c r="F177" s="194" t="str">
        <f>IFERROR(__xludf.DUMMYFUNCTION("""COMPUTED_VALUE"""),"mSOL")</f>
        <v>mSOL</v>
      </c>
      <c r="G177" s="194">
        <f>IFERROR(__xludf.DUMMYFUNCTION("""COMPUTED_VALUE"""),-1.11688928)</f>
        <v>-1.11688928</v>
      </c>
      <c r="H177" s="194" t="str">
        <f>IFERROR(__xludf.DUMMYFUNCTION("""COMPUTED_VALUE"""),"SOL")</f>
        <v>SOL</v>
      </c>
    </row>
    <row r="178">
      <c r="A178" s="26" t="str">
        <f t="shared" si="1"/>
        <v>RECV</v>
      </c>
      <c r="B178" s="26" t="str">
        <f t="shared" si="2"/>
        <v/>
      </c>
      <c r="C178" s="207" t="str">
        <f t="shared" si="3"/>
        <v/>
      </c>
      <c r="D178" s="200" t="s">
        <v>686</v>
      </c>
      <c r="E178" s="194">
        <f>IFERROR(__xludf.DUMMYFUNCTION("IF(D178&lt;&gt;"""",SPLIT(D178,"" 
""),)"),1.12484548)</f>
        <v>1.12484548</v>
      </c>
      <c r="F178" s="194" t="str">
        <f>IFERROR(__xludf.DUMMYFUNCTION("""COMPUTED_VALUE"""),"SOL")</f>
        <v>SOL</v>
      </c>
      <c r="G178" s="194"/>
      <c r="H178" s="194"/>
    </row>
    <row r="179">
      <c r="A179" s="26" t="str">
        <f t="shared" si="1"/>
        <v/>
      </c>
      <c r="B179" s="26" t="str">
        <f t="shared" si="2"/>
        <v/>
      </c>
      <c r="C179" s="207" t="str">
        <f t="shared" si="3"/>
        <v/>
      </c>
      <c r="D179" s="208"/>
      <c r="E179" s="194" t="str">
        <f>IFERROR(__xludf.DUMMYFUNCTION("IF(D179&lt;&gt;"""",SPLIT(D179,"" 
""),)"),"")</f>
        <v/>
      </c>
    </row>
    <row r="180">
      <c r="A180" s="26" t="str">
        <f t="shared" si="1"/>
        <v/>
      </c>
      <c r="B180" s="26" t="str">
        <f t="shared" si="2"/>
        <v/>
      </c>
      <c r="C180" s="207" t="str">
        <f t="shared" si="3"/>
        <v/>
      </c>
      <c r="D180" s="208"/>
      <c r="E180" s="194" t="str">
        <f>IFERROR(__xludf.DUMMYFUNCTION("IF(D180&lt;&gt;"""",SPLIT(D180,"" 
""),)"),"")</f>
        <v/>
      </c>
    </row>
    <row r="181">
      <c r="A181" s="26" t="str">
        <f t="shared" si="1"/>
        <v/>
      </c>
      <c r="B181" s="26" t="str">
        <f t="shared" si="2"/>
        <v/>
      </c>
      <c r="C181" s="207" t="str">
        <f t="shared" si="3"/>
        <v/>
      </c>
      <c r="D181" s="208"/>
      <c r="E181" s="194" t="str">
        <f>IFERROR(__xludf.DUMMYFUNCTION("IF(D181&lt;&gt;"""",SPLIT(D181,"" 
""),)"),"")</f>
        <v/>
      </c>
    </row>
    <row r="182">
      <c r="A182" s="26" t="str">
        <f t="shared" si="1"/>
        <v/>
      </c>
      <c r="B182" s="26" t="str">
        <f t="shared" si="2"/>
        <v/>
      </c>
      <c r="C182" s="207" t="str">
        <f t="shared" si="3"/>
        <v/>
      </c>
      <c r="D182" s="208"/>
      <c r="E182" s="194" t="str">
        <f>IFERROR(__xludf.DUMMYFUNCTION("IF(D182&lt;&gt;"""",SPLIT(D182,"" 
""),)"),"")</f>
        <v/>
      </c>
    </row>
    <row r="183">
      <c r="A183" s="26" t="str">
        <f t="shared" si="1"/>
        <v/>
      </c>
      <c r="B183" s="26" t="str">
        <f t="shared" si="2"/>
        <v/>
      </c>
      <c r="C183" s="207" t="str">
        <f t="shared" si="3"/>
        <v/>
      </c>
      <c r="D183" s="208"/>
      <c r="E183" s="194" t="str">
        <f>IFERROR(__xludf.DUMMYFUNCTION("IF(D183&lt;&gt;"""",SPLIT(D183,"" 
""),)"),"")</f>
        <v/>
      </c>
    </row>
    <row r="184">
      <c r="A184" s="26" t="str">
        <f t="shared" si="1"/>
        <v/>
      </c>
      <c r="B184" s="26" t="str">
        <f t="shared" si="2"/>
        <v/>
      </c>
      <c r="C184" s="207" t="str">
        <f t="shared" si="3"/>
        <v/>
      </c>
      <c r="D184" s="208"/>
      <c r="E184" s="194" t="str">
        <f>IFERROR(__xludf.DUMMYFUNCTION("IF(D184&lt;&gt;"""",SPLIT(D184,"" 
""),)"),"")</f>
        <v/>
      </c>
    </row>
    <row r="185">
      <c r="A185" s="26" t="str">
        <f t="shared" si="1"/>
        <v/>
      </c>
      <c r="B185" s="26" t="str">
        <f t="shared" si="2"/>
        <v/>
      </c>
      <c r="C185" s="207" t="str">
        <f t="shared" si="3"/>
        <v/>
      </c>
      <c r="D185" s="208"/>
      <c r="E185" s="194" t="str">
        <f>IFERROR(__xludf.DUMMYFUNCTION("IF(D185&lt;&gt;"""",SPLIT(D185,"" 
""),)"),"")</f>
        <v/>
      </c>
    </row>
    <row r="186">
      <c r="A186" s="26" t="str">
        <f t="shared" si="1"/>
        <v/>
      </c>
      <c r="B186" s="26" t="str">
        <f t="shared" si="2"/>
        <v/>
      </c>
      <c r="C186" s="207" t="str">
        <f t="shared" si="3"/>
        <v/>
      </c>
      <c r="D186" s="208"/>
      <c r="E186" s="194" t="str">
        <f>IFERROR(__xludf.DUMMYFUNCTION("IF(D186&lt;&gt;"""",SPLIT(D186,"" 
""),)"),"")</f>
        <v/>
      </c>
    </row>
    <row r="187">
      <c r="A187" s="26" t="str">
        <f t="shared" si="1"/>
        <v/>
      </c>
      <c r="B187" s="26" t="str">
        <f t="shared" si="2"/>
        <v/>
      </c>
      <c r="C187" s="207" t="str">
        <f t="shared" si="3"/>
        <v/>
      </c>
      <c r="D187" s="208"/>
      <c r="E187" s="194" t="str">
        <f>IFERROR(__xludf.DUMMYFUNCTION("IF(D187&lt;&gt;"""",SPLIT(D187,"" 
""),)"),"")</f>
        <v/>
      </c>
    </row>
    <row r="188">
      <c r="A188" s="26" t="str">
        <f t="shared" si="1"/>
        <v/>
      </c>
      <c r="B188" s="26" t="str">
        <f t="shared" si="2"/>
        <v/>
      </c>
      <c r="C188" s="207" t="str">
        <f t="shared" si="3"/>
        <v/>
      </c>
      <c r="D188" s="208"/>
      <c r="E188" s="194" t="str">
        <f>IFERROR(__xludf.DUMMYFUNCTION("IF(D188&lt;&gt;"""",SPLIT(D188,"" 
""),)"),"")</f>
        <v/>
      </c>
    </row>
    <row r="189">
      <c r="A189" s="26" t="str">
        <f t="shared" si="1"/>
        <v/>
      </c>
      <c r="B189" s="26" t="str">
        <f t="shared" si="2"/>
        <v/>
      </c>
      <c r="C189" s="207" t="str">
        <f t="shared" si="3"/>
        <v/>
      </c>
      <c r="D189" s="208"/>
      <c r="E189" s="194" t="str">
        <f>IFERROR(__xludf.DUMMYFUNCTION("IF(D189&lt;&gt;"""",SPLIT(D189,"" 
""),)"),"")</f>
        <v/>
      </c>
    </row>
    <row r="190">
      <c r="A190" s="26" t="str">
        <f t="shared" si="1"/>
        <v/>
      </c>
      <c r="B190" s="26" t="str">
        <f t="shared" si="2"/>
        <v/>
      </c>
      <c r="C190" s="207" t="str">
        <f t="shared" si="3"/>
        <v/>
      </c>
      <c r="D190" s="208"/>
      <c r="E190" s="194" t="str">
        <f>IFERROR(__xludf.DUMMYFUNCTION("IF(D190&lt;&gt;"""",SPLIT(D190,"" 
""),)"),"")</f>
        <v/>
      </c>
    </row>
    <row r="191">
      <c r="A191" s="26" t="str">
        <f t="shared" si="1"/>
        <v/>
      </c>
      <c r="B191" s="26" t="str">
        <f t="shared" si="2"/>
        <v/>
      </c>
      <c r="C191" s="207" t="str">
        <f t="shared" si="3"/>
        <v/>
      </c>
      <c r="D191" s="208"/>
      <c r="E191" s="194" t="str">
        <f>IFERROR(__xludf.DUMMYFUNCTION("IF(D191&lt;&gt;"""",SPLIT(D191,"" 
""),)"),"")</f>
        <v/>
      </c>
    </row>
    <row r="192">
      <c r="A192" s="26" t="str">
        <f t="shared" si="1"/>
        <v/>
      </c>
      <c r="B192" s="26" t="str">
        <f t="shared" si="2"/>
        <v/>
      </c>
      <c r="C192" s="207" t="str">
        <f t="shared" si="3"/>
        <v/>
      </c>
      <c r="D192" s="208"/>
      <c r="E192" s="194" t="str">
        <f>IFERROR(__xludf.DUMMYFUNCTION("IF(D192&lt;&gt;"""",SPLIT(D192,"" 
""),)"),"")</f>
        <v/>
      </c>
    </row>
    <row r="193">
      <c r="A193" s="26" t="str">
        <f t="shared" si="1"/>
        <v/>
      </c>
      <c r="B193" s="26" t="str">
        <f t="shared" si="2"/>
        <v/>
      </c>
      <c r="C193" s="207" t="str">
        <f t="shared" si="3"/>
        <v/>
      </c>
      <c r="D193" s="208"/>
      <c r="E193" s="194" t="str">
        <f>IFERROR(__xludf.DUMMYFUNCTION("IF(D193&lt;&gt;"""",SPLIT(D193,"" 
""),)"),"")</f>
        <v/>
      </c>
    </row>
    <row r="194">
      <c r="A194" s="26" t="str">
        <f t="shared" si="1"/>
        <v/>
      </c>
      <c r="B194" s="26" t="str">
        <f t="shared" si="2"/>
        <v/>
      </c>
      <c r="C194" s="207" t="str">
        <f t="shared" si="3"/>
        <v/>
      </c>
      <c r="D194" s="208"/>
      <c r="E194" s="194" t="str">
        <f>IFERROR(__xludf.DUMMYFUNCTION("IF(D194&lt;&gt;"""",SPLIT(D194,"" 
""),)"),"")</f>
        <v/>
      </c>
    </row>
    <row r="195">
      <c r="A195" s="26" t="str">
        <f t="shared" si="1"/>
        <v/>
      </c>
      <c r="B195" s="26" t="str">
        <f t="shared" si="2"/>
        <v/>
      </c>
      <c r="C195" s="207" t="str">
        <f t="shared" si="3"/>
        <v/>
      </c>
      <c r="D195" s="208"/>
      <c r="E195" s="194" t="str">
        <f>IFERROR(__xludf.DUMMYFUNCTION("IF(D195&lt;&gt;"""",SPLIT(D195,"" 
""),)"),"")</f>
        <v/>
      </c>
    </row>
    <row r="196">
      <c r="A196" s="26" t="str">
        <f t="shared" si="1"/>
        <v/>
      </c>
      <c r="B196" s="26" t="str">
        <f t="shared" si="2"/>
        <v/>
      </c>
      <c r="C196" s="207" t="str">
        <f t="shared" si="3"/>
        <v/>
      </c>
      <c r="D196" s="208"/>
      <c r="E196" s="194" t="str">
        <f>IFERROR(__xludf.DUMMYFUNCTION("IF(D196&lt;&gt;"""",SPLIT(D196,"" 
""),)"),"")</f>
        <v/>
      </c>
    </row>
    <row r="197">
      <c r="A197" s="26" t="str">
        <f t="shared" si="1"/>
        <v/>
      </c>
      <c r="B197" s="26" t="str">
        <f t="shared" si="2"/>
        <v/>
      </c>
      <c r="C197" s="207" t="str">
        <f t="shared" si="3"/>
        <v/>
      </c>
      <c r="D197" s="208"/>
      <c r="E197" s="194" t="str">
        <f>IFERROR(__xludf.DUMMYFUNCTION("IF(D197&lt;&gt;"""",SPLIT(D197,"" 
""),)"),"")</f>
        <v/>
      </c>
    </row>
    <row r="198">
      <c r="A198" s="26" t="str">
        <f t="shared" si="1"/>
        <v/>
      </c>
      <c r="B198" s="26" t="str">
        <f t="shared" si="2"/>
        <v/>
      </c>
      <c r="C198" s="207" t="str">
        <f t="shared" si="3"/>
        <v/>
      </c>
      <c r="D198" s="208"/>
      <c r="E198" s="194" t="str">
        <f>IFERROR(__xludf.DUMMYFUNCTION("IF(D198&lt;&gt;"""",SPLIT(D198,"" 
""),)"),"")</f>
        <v/>
      </c>
    </row>
    <row r="199">
      <c r="A199" s="26" t="str">
        <f t="shared" si="1"/>
        <v/>
      </c>
      <c r="B199" s="26" t="str">
        <f t="shared" si="2"/>
        <v/>
      </c>
      <c r="C199" s="207" t="str">
        <f t="shared" si="3"/>
        <v/>
      </c>
      <c r="D199" s="208"/>
      <c r="E199" s="194" t="str">
        <f>IFERROR(__xludf.DUMMYFUNCTION("IF(D199&lt;&gt;"""",SPLIT(D199,"" 
""),)"),"")</f>
        <v/>
      </c>
    </row>
    <row r="200">
      <c r="A200" s="26" t="str">
        <f t="shared" si="1"/>
        <v/>
      </c>
      <c r="B200" s="26" t="str">
        <f t="shared" si="2"/>
        <v/>
      </c>
      <c r="C200" s="207" t="str">
        <f t="shared" si="3"/>
        <v/>
      </c>
      <c r="D200" s="208"/>
      <c r="E200" s="194" t="str">
        <f>IFERROR(__xludf.DUMMYFUNCTION("IF(D200&lt;&gt;"""",SPLIT(D200,"" 
""),)"),"")</f>
        <v/>
      </c>
    </row>
    <row r="201">
      <c r="A201" s="26" t="str">
        <f t="shared" si="1"/>
        <v/>
      </c>
      <c r="B201" s="26" t="str">
        <f t="shared" si="2"/>
        <v/>
      </c>
      <c r="C201" s="207" t="str">
        <f t="shared" si="3"/>
        <v/>
      </c>
      <c r="D201" s="208"/>
      <c r="E201" s="194" t="str">
        <f>IFERROR(__xludf.DUMMYFUNCTION("IF(D201&lt;&gt;"""",SPLIT(D201,"" 
""),)"),"")</f>
        <v/>
      </c>
    </row>
    <row r="202">
      <c r="A202" s="26" t="str">
        <f t="shared" si="1"/>
        <v/>
      </c>
      <c r="B202" s="26" t="str">
        <f t="shared" si="2"/>
        <v/>
      </c>
      <c r="C202" s="207" t="str">
        <f t="shared" si="3"/>
        <v/>
      </c>
      <c r="D202" s="208"/>
      <c r="E202" s="194" t="str">
        <f>IFERROR(__xludf.DUMMYFUNCTION("IF(D202&lt;&gt;"""",SPLIT(D202,"" 
""),)"),"")</f>
        <v/>
      </c>
    </row>
    <row r="203">
      <c r="A203" s="26" t="str">
        <f t="shared" si="1"/>
        <v/>
      </c>
      <c r="B203" s="26" t="str">
        <f t="shared" si="2"/>
        <v/>
      </c>
      <c r="C203" s="207" t="str">
        <f t="shared" si="3"/>
        <v/>
      </c>
      <c r="D203" s="208"/>
      <c r="E203" s="194" t="str">
        <f>IFERROR(__xludf.DUMMYFUNCTION("IF(D203&lt;&gt;"""",SPLIT(D203,"" 
""),)"),"")</f>
        <v/>
      </c>
    </row>
    <row r="204">
      <c r="A204" s="26" t="str">
        <f t="shared" si="1"/>
        <v/>
      </c>
      <c r="B204" s="26" t="str">
        <f t="shared" si="2"/>
        <v/>
      </c>
      <c r="C204" s="207" t="str">
        <f t="shared" si="3"/>
        <v/>
      </c>
      <c r="D204" s="208"/>
      <c r="E204" s="194" t="str">
        <f>IFERROR(__xludf.DUMMYFUNCTION("IF(D204&lt;&gt;"""",SPLIT(D204,"" 
""),)"),"")</f>
        <v/>
      </c>
    </row>
    <row r="205">
      <c r="A205" s="26" t="str">
        <f t="shared" si="1"/>
        <v/>
      </c>
      <c r="B205" s="26" t="str">
        <f t="shared" si="2"/>
        <v/>
      </c>
      <c r="C205" s="207" t="str">
        <f t="shared" si="3"/>
        <v/>
      </c>
      <c r="D205" s="208"/>
      <c r="E205" s="194" t="str">
        <f>IFERROR(__xludf.DUMMYFUNCTION("IF(D205&lt;&gt;"""",SPLIT(D205,"" 
""),)"),"")</f>
        <v/>
      </c>
    </row>
    <row r="206">
      <c r="A206" s="26" t="str">
        <f t="shared" si="1"/>
        <v/>
      </c>
      <c r="B206" s="26" t="str">
        <f t="shared" si="2"/>
        <v/>
      </c>
      <c r="C206" s="207" t="str">
        <f t="shared" si="3"/>
        <v/>
      </c>
      <c r="D206" s="208"/>
      <c r="E206" s="194" t="str">
        <f>IFERROR(__xludf.DUMMYFUNCTION("IF(D206&lt;&gt;"""",SPLIT(D206,"" 
""),)"),"")</f>
        <v/>
      </c>
    </row>
    <row r="207">
      <c r="A207" s="26" t="str">
        <f t="shared" si="1"/>
        <v/>
      </c>
      <c r="B207" s="26" t="str">
        <f t="shared" si="2"/>
        <v/>
      </c>
      <c r="C207" s="207" t="str">
        <f t="shared" si="3"/>
        <v/>
      </c>
      <c r="D207" s="208"/>
      <c r="E207" s="194" t="str">
        <f>IFERROR(__xludf.DUMMYFUNCTION("IF(D207&lt;&gt;"""",SPLIT(D207,"" 
""),)"),"")</f>
        <v/>
      </c>
    </row>
    <row r="208">
      <c r="A208" s="26" t="str">
        <f t="shared" si="1"/>
        <v/>
      </c>
      <c r="B208" s="26" t="str">
        <f t="shared" si="2"/>
        <v/>
      </c>
      <c r="C208" s="207" t="str">
        <f t="shared" si="3"/>
        <v/>
      </c>
      <c r="D208" s="208"/>
      <c r="E208" s="194" t="str">
        <f>IFERROR(__xludf.DUMMYFUNCTION("IF(D208&lt;&gt;"""",SPLIT(D208,"" 
""),)"),"")</f>
        <v/>
      </c>
    </row>
    <row r="209">
      <c r="A209" s="26" t="str">
        <f t="shared" si="1"/>
        <v/>
      </c>
      <c r="B209" s="26" t="str">
        <f t="shared" si="2"/>
        <v/>
      </c>
      <c r="C209" s="207" t="str">
        <f t="shared" si="3"/>
        <v/>
      </c>
      <c r="D209" s="208"/>
      <c r="E209" s="194" t="str">
        <f>IFERROR(__xludf.DUMMYFUNCTION("IF(D209&lt;&gt;"""",SPLIT(D209,"" 
""),)"),"")</f>
        <v/>
      </c>
    </row>
    <row r="210">
      <c r="A210" s="26" t="str">
        <f t="shared" si="1"/>
        <v/>
      </c>
      <c r="B210" s="26" t="str">
        <f t="shared" si="2"/>
        <v/>
      </c>
      <c r="C210" s="207" t="str">
        <f t="shared" si="3"/>
        <v/>
      </c>
      <c r="D210" s="208"/>
      <c r="E210" s="194" t="str">
        <f>IFERROR(__xludf.DUMMYFUNCTION("IF(D210&lt;&gt;"""",SPLIT(D210,"" 
""),)"),"")</f>
        <v/>
      </c>
    </row>
    <row r="211">
      <c r="A211" s="26" t="str">
        <f t="shared" si="1"/>
        <v/>
      </c>
      <c r="B211" s="26" t="str">
        <f t="shared" si="2"/>
        <v/>
      </c>
      <c r="C211" s="207" t="str">
        <f t="shared" si="3"/>
        <v/>
      </c>
      <c r="D211" s="208"/>
      <c r="E211" s="194" t="str">
        <f>IFERROR(__xludf.DUMMYFUNCTION("IF(D211&lt;&gt;"""",SPLIT(D211,"" 
""),)"),"")</f>
        <v/>
      </c>
    </row>
    <row r="212">
      <c r="A212" s="26" t="str">
        <f t="shared" si="1"/>
        <v/>
      </c>
      <c r="B212" s="26" t="str">
        <f t="shared" si="2"/>
        <v/>
      </c>
      <c r="C212" s="207" t="str">
        <f t="shared" si="3"/>
        <v/>
      </c>
      <c r="D212" s="208"/>
      <c r="E212" s="194" t="str">
        <f>IFERROR(__xludf.DUMMYFUNCTION("IF(D212&lt;&gt;"""",SPLIT(D212,"" 
""),)"),"")</f>
        <v/>
      </c>
    </row>
    <row r="213">
      <c r="A213" s="26" t="str">
        <f t="shared" si="1"/>
        <v/>
      </c>
      <c r="B213" s="26" t="str">
        <f t="shared" si="2"/>
        <v/>
      </c>
      <c r="C213" s="207" t="str">
        <f t="shared" si="3"/>
        <v/>
      </c>
      <c r="D213" s="208"/>
      <c r="E213" s="194" t="str">
        <f>IFERROR(__xludf.DUMMYFUNCTION("IF(D213&lt;&gt;"""",SPLIT(D213,"" 
""),)"),"")</f>
        <v/>
      </c>
    </row>
    <row r="214">
      <c r="A214" s="26" t="str">
        <f t="shared" si="1"/>
        <v/>
      </c>
      <c r="B214" s="26" t="str">
        <f t="shared" si="2"/>
        <v/>
      </c>
      <c r="C214" s="207" t="str">
        <f t="shared" si="3"/>
        <v/>
      </c>
      <c r="D214" s="208"/>
      <c r="E214" s="194" t="str">
        <f>IFERROR(__xludf.DUMMYFUNCTION("IF(D214&lt;&gt;"""",SPLIT(D214,"" 
""),)"),"")</f>
        <v/>
      </c>
    </row>
    <row r="215">
      <c r="A215" s="26" t="str">
        <f t="shared" si="1"/>
        <v/>
      </c>
      <c r="B215" s="26" t="str">
        <f t="shared" si="2"/>
        <v/>
      </c>
      <c r="C215" s="207" t="str">
        <f t="shared" si="3"/>
        <v/>
      </c>
      <c r="D215" s="208"/>
      <c r="E215" s="194" t="str">
        <f>IFERROR(__xludf.DUMMYFUNCTION("IF(D215&lt;&gt;"""",SPLIT(D215,"" 
""),)"),"")</f>
        <v/>
      </c>
    </row>
    <row r="216">
      <c r="A216" s="26" t="str">
        <f t="shared" si="1"/>
        <v/>
      </c>
      <c r="B216" s="26" t="str">
        <f t="shared" si="2"/>
        <v/>
      </c>
      <c r="C216" s="207" t="str">
        <f t="shared" si="3"/>
        <v/>
      </c>
      <c r="D216" s="208"/>
      <c r="E216" s="194" t="str">
        <f>IFERROR(__xludf.DUMMYFUNCTION("IF(D216&lt;&gt;"""",SPLIT(D216,"" 
""),)"),"")</f>
        <v/>
      </c>
    </row>
    <row r="217">
      <c r="A217" s="26" t="str">
        <f t="shared" si="1"/>
        <v/>
      </c>
      <c r="B217" s="26" t="str">
        <f t="shared" si="2"/>
        <v/>
      </c>
      <c r="C217" s="207" t="str">
        <f t="shared" si="3"/>
        <v/>
      </c>
      <c r="D217" s="208"/>
      <c r="E217" s="194" t="str">
        <f>IFERROR(__xludf.DUMMYFUNCTION("IF(D217&lt;&gt;"""",SPLIT(D217,"" 
""),)"),"")</f>
        <v/>
      </c>
    </row>
    <row r="218">
      <c r="A218" s="26" t="str">
        <f t="shared" si="1"/>
        <v/>
      </c>
      <c r="B218" s="26" t="str">
        <f t="shared" si="2"/>
        <v/>
      </c>
      <c r="C218" s="207" t="str">
        <f t="shared" si="3"/>
        <v/>
      </c>
      <c r="D218" s="208"/>
      <c r="E218" s="194" t="str">
        <f>IFERROR(__xludf.DUMMYFUNCTION("IF(D218&lt;&gt;"""",SPLIT(D218,"" 
""),)"),"")</f>
        <v/>
      </c>
    </row>
    <row r="219">
      <c r="A219" s="26" t="str">
        <f t="shared" si="1"/>
        <v/>
      </c>
      <c r="B219" s="26" t="str">
        <f t="shared" si="2"/>
        <v/>
      </c>
      <c r="C219" s="207" t="str">
        <f t="shared" si="3"/>
        <v/>
      </c>
      <c r="D219" s="208"/>
      <c r="E219" s="194" t="str">
        <f>IFERROR(__xludf.DUMMYFUNCTION("IF(D219&lt;&gt;"""",SPLIT(D219,"" 
""),)"),"")</f>
        <v/>
      </c>
    </row>
    <row r="220">
      <c r="A220" s="26" t="str">
        <f t="shared" si="1"/>
        <v/>
      </c>
      <c r="B220" s="26" t="str">
        <f t="shared" si="2"/>
        <v/>
      </c>
      <c r="C220" s="207" t="str">
        <f t="shared" si="3"/>
        <v/>
      </c>
      <c r="D220" s="208"/>
      <c r="E220" s="194" t="str">
        <f>IFERROR(__xludf.DUMMYFUNCTION("IF(D220&lt;&gt;"""",SPLIT(D220,"" 
""),)"),"")</f>
        <v/>
      </c>
    </row>
    <row r="221">
      <c r="A221" s="26" t="str">
        <f t="shared" si="1"/>
        <v/>
      </c>
      <c r="B221" s="26" t="str">
        <f t="shared" si="2"/>
        <v/>
      </c>
      <c r="C221" s="207" t="str">
        <f t="shared" si="3"/>
        <v/>
      </c>
      <c r="D221" s="208"/>
      <c r="E221" s="194" t="str">
        <f>IFERROR(__xludf.DUMMYFUNCTION("IF(D221&lt;&gt;"""",SPLIT(D221,"" 
""),)"),"")</f>
        <v/>
      </c>
    </row>
    <row r="222">
      <c r="A222" s="26" t="str">
        <f t="shared" si="1"/>
        <v/>
      </c>
      <c r="B222" s="26" t="str">
        <f t="shared" si="2"/>
        <v/>
      </c>
      <c r="C222" s="207" t="str">
        <f t="shared" si="3"/>
        <v/>
      </c>
      <c r="D222" s="208"/>
      <c r="E222" s="194" t="str">
        <f>IFERROR(__xludf.DUMMYFUNCTION("IF(D222&lt;&gt;"""",SPLIT(D222,"" 
""),)"),"")</f>
        <v/>
      </c>
    </row>
    <row r="223">
      <c r="A223" s="26" t="str">
        <f t="shared" si="1"/>
        <v/>
      </c>
      <c r="B223" s="26" t="str">
        <f t="shared" si="2"/>
        <v/>
      </c>
      <c r="C223" s="207" t="str">
        <f t="shared" si="3"/>
        <v/>
      </c>
      <c r="D223" s="208"/>
      <c r="E223" s="194" t="str">
        <f>IFERROR(__xludf.DUMMYFUNCTION("IF(D223&lt;&gt;"""",SPLIT(D223,"" 
""),)"),"")</f>
        <v/>
      </c>
    </row>
    <row r="224">
      <c r="A224" s="26" t="str">
        <f t="shared" si="1"/>
        <v/>
      </c>
      <c r="B224" s="26" t="str">
        <f t="shared" si="2"/>
        <v/>
      </c>
      <c r="C224" s="207" t="str">
        <f t="shared" si="3"/>
        <v/>
      </c>
      <c r="D224" s="208"/>
      <c r="E224" s="194" t="str">
        <f>IFERROR(__xludf.DUMMYFUNCTION("IF(D224&lt;&gt;"""",SPLIT(D224,"" 
""),)"),"")</f>
        <v/>
      </c>
    </row>
    <row r="225">
      <c r="A225" s="26" t="str">
        <f t="shared" si="1"/>
        <v/>
      </c>
      <c r="B225" s="26" t="str">
        <f t="shared" si="2"/>
        <v/>
      </c>
      <c r="C225" s="207" t="str">
        <f t="shared" si="3"/>
        <v/>
      </c>
      <c r="D225" s="208"/>
      <c r="E225" s="194" t="str">
        <f>IFERROR(__xludf.DUMMYFUNCTION("IF(D225&lt;&gt;"""",SPLIT(D225,"" 
""),)"),"")</f>
        <v/>
      </c>
    </row>
    <row r="226">
      <c r="A226" s="26" t="str">
        <f t="shared" si="1"/>
        <v/>
      </c>
      <c r="B226" s="26" t="str">
        <f t="shared" si="2"/>
        <v/>
      </c>
      <c r="C226" s="207" t="str">
        <f t="shared" si="3"/>
        <v/>
      </c>
      <c r="D226" s="208"/>
      <c r="E226" s="194" t="str">
        <f>IFERROR(__xludf.DUMMYFUNCTION("IF(D226&lt;&gt;"""",SPLIT(D226,"" 
""),)"),"")</f>
        <v/>
      </c>
    </row>
    <row r="227">
      <c r="A227" s="26" t="str">
        <f t="shared" si="1"/>
        <v/>
      </c>
      <c r="B227" s="26" t="str">
        <f t="shared" si="2"/>
        <v/>
      </c>
      <c r="C227" s="207" t="str">
        <f t="shared" si="3"/>
        <v/>
      </c>
      <c r="D227" s="208"/>
      <c r="E227" s="194" t="str">
        <f>IFERROR(__xludf.DUMMYFUNCTION("IF(D227&lt;&gt;"""",SPLIT(D227,"" 
""),)"),"")</f>
        <v/>
      </c>
    </row>
    <row r="228">
      <c r="A228" s="26" t="str">
        <f t="shared" si="1"/>
        <v/>
      </c>
      <c r="B228" s="26" t="str">
        <f t="shared" si="2"/>
        <v/>
      </c>
      <c r="C228" s="207" t="str">
        <f t="shared" si="3"/>
        <v/>
      </c>
      <c r="D228" s="208"/>
      <c r="E228" s="194" t="str">
        <f>IFERROR(__xludf.DUMMYFUNCTION("IF(D228&lt;&gt;"""",SPLIT(D228,"" 
""),)"),"")</f>
        <v/>
      </c>
    </row>
    <row r="229">
      <c r="A229" s="26" t="str">
        <f t="shared" si="1"/>
        <v/>
      </c>
      <c r="B229" s="26" t="str">
        <f t="shared" si="2"/>
        <v/>
      </c>
      <c r="C229" s="207" t="str">
        <f t="shared" si="3"/>
        <v/>
      </c>
      <c r="D229" s="208"/>
      <c r="E229" s="194" t="str">
        <f>IFERROR(__xludf.DUMMYFUNCTION("IF(D229&lt;&gt;"""",SPLIT(D229,"" 
""),)"),"")</f>
        <v/>
      </c>
    </row>
    <row r="230">
      <c r="A230" s="26" t="str">
        <f t="shared" si="1"/>
        <v/>
      </c>
      <c r="B230" s="26" t="str">
        <f t="shared" si="2"/>
        <v/>
      </c>
      <c r="C230" s="207" t="str">
        <f t="shared" si="3"/>
        <v/>
      </c>
      <c r="D230" s="208"/>
      <c r="E230" s="194" t="str">
        <f>IFERROR(__xludf.DUMMYFUNCTION("IF(D230&lt;&gt;"""",SPLIT(D230,"" 
""),)"),"")</f>
        <v/>
      </c>
    </row>
    <row r="231">
      <c r="A231" s="26" t="str">
        <f t="shared" si="1"/>
        <v/>
      </c>
      <c r="B231" s="26" t="str">
        <f t="shared" si="2"/>
        <v/>
      </c>
      <c r="C231" s="207" t="str">
        <f t="shared" si="3"/>
        <v/>
      </c>
      <c r="D231" s="208"/>
      <c r="E231" s="194" t="str">
        <f>IFERROR(__xludf.DUMMYFUNCTION("IF(D231&lt;&gt;"""",SPLIT(D231,"" 
""),)"),"")</f>
        <v/>
      </c>
    </row>
    <row r="232">
      <c r="A232" s="26" t="str">
        <f t="shared" si="1"/>
        <v/>
      </c>
      <c r="B232" s="26" t="str">
        <f t="shared" si="2"/>
        <v/>
      </c>
      <c r="C232" s="207" t="str">
        <f t="shared" si="3"/>
        <v/>
      </c>
      <c r="D232" s="208"/>
      <c r="E232" s="194" t="str">
        <f>IFERROR(__xludf.DUMMYFUNCTION("IF(D232&lt;&gt;"""",SPLIT(D232,"" 
""),)"),"")</f>
        <v/>
      </c>
    </row>
    <row r="233">
      <c r="A233" s="26" t="str">
        <f t="shared" si="1"/>
        <v/>
      </c>
      <c r="B233" s="26" t="str">
        <f t="shared" si="2"/>
        <v/>
      </c>
      <c r="C233" s="207" t="str">
        <f t="shared" si="3"/>
        <v/>
      </c>
      <c r="D233" s="208"/>
      <c r="E233" s="194" t="str">
        <f>IFERROR(__xludf.DUMMYFUNCTION("IF(D233&lt;&gt;"""",SPLIT(D233,"" 
""),)"),"")</f>
        <v/>
      </c>
    </row>
    <row r="234">
      <c r="A234" s="26" t="str">
        <f t="shared" si="1"/>
        <v/>
      </c>
      <c r="B234" s="26" t="str">
        <f t="shared" si="2"/>
        <v/>
      </c>
      <c r="C234" s="207" t="str">
        <f t="shared" si="3"/>
        <v/>
      </c>
      <c r="D234" s="208"/>
      <c r="E234" s="194" t="str">
        <f>IFERROR(__xludf.DUMMYFUNCTION("IF(D234&lt;&gt;"""",SPLIT(D234,"" 
""),)"),"")</f>
        <v/>
      </c>
    </row>
    <row r="235">
      <c r="A235" s="26" t="str">
        <f t="shared" si="1"/>
        <v/>
      </c>
      <c r="B235" s="26" t="str">
        <f t="shared" si="2"/>
        <v/>
      </c>
      <c r="C235" s="207" t="str">
        <f t="shared" si="3"/>
        <v/>
      </c>
      <c r="D235" s="208"/>
      <c r="E235" s="194" t="str">
        <f>IFERROR(__xludf.DUMMYFUNCTION("IF(D235&lt;&gt;"""",SPLIT(D235,"" 
""),)"),"")</f>
        <v/>
      </c>
    </row>
    <row r="236">
      <c r="A236" s="26" t="str">
        <f t="shared" si="1"/>
        <v/>
      </c>
      <c r="B236" s="26" t="str">
        <f t="shared" si="2"/>
        <v/>
      </c>
      <c r="C236" s="207" t="str">
        <f t="shared" si="3"/>
        <v/>
      </c>
      <c r="D236" s="208"/>
      <c r="E236" s="194" t="str">
        <f>IFERROR(__xludf.DUMMYFUNCTION("IF(D236&lt;&gt;"""",SPLIT(D236,"" 
""),)"),"")</f>
        <v/>
      </c>
    </row>
    <row r="237">
      <c r="A237" s="26" t="str">
        <f t="shared" si="1"/>
        <v/>
      </c>
      <c r="B237" s="26" t="str">
        <f t="shared" si="2"/>
        <v/>
      </c>
      <c r="C237" s="207" t="str">
        <f t="shared" si="3"/>
        <v/>
      </c>
      <c r="D237" s="208"/>
      <c r="E237" s="194" t="str">
        <f>IFERROR(__xludf.DUMMYFUNCTION("IF(D237&lt;&gt;"""",SPLIT(D237,"" 
""),)"),"")</f>
        <v/>
      </c>
    </row>
    <row r="238">
      <c r="A238" s="26" t="str">
        <f t="shared" si="1"/>
        <v/>
      </c>
      <c r="B238" s="26" t="str">
        <f t="shared" si="2"/>
        <v/>
      </c>
      <c r="C238" s="207" t="str">
        <f t="shared" si="3"/>
        <v/>
      </c>
      <c r="D238" s="208"/>
      <c r="E238" s="194" t="str">
        <f>IFERROR(__xludf.DUMMYFUNCTION("IF(D238&lt;&gt;"""",SPLIT(D238,"" 
""),)"),"")</f>
        <v/>
      </c>
    </row>
    <row r="239">
      <c r="A239" s="26" t="str">
        <f t="shared" si="1"/>
        <v/>
      </c>
      <c r="B239" s="26" t="str">
        <f t="shared" si="2"/>
        <v/>
      </c>
      <c r="C239" s="207" t="str">
        <f t="shared" si="3"/>
        <v/>
      </c>
      <c r="D239" s="208"/>
      <c r="E239" s="194" t="str">
        <f>IFERROR(__xludf.DUMMYFUNCTION("IF(D239&lt;&gt;"""",SPLIT(D239,"" 
""),)"),"")</f>
        <v/>
      </c>
    </row>
    <row r="240">
      <c r="A240" s="26" t="str">
        <f t="shared" si="1"/>
        <v/>
      </c>
      <c r="B240" s="26" t="str">
        <f t="shared" si="2"/>
        <v/>
      </c>
      <c r="C240" s="207" t="str">
        <f t="shared" si="3"/>
        <v/>
      </c>
      <c r="D240" s="208"/>
      <c r="E240" s="194" t="str">
        <f>IFERROR(__xludf.DUMMYFUNCTION("IF(D240&lt;&gt;"""",SPLIT(D240,"" 
""),)"),"")</f>
        <v/>
      </c>
    </row>
    <row r="241">
      <c r="A241" s="26" t="str">
        <f t="shared" si="1"/>
        <v/>
      </c>
      <c r="B241" s="26" t="str">
        <f t="shared" si="2"/>
        <v/>
      </c>
      <c r="C241" s="207" t="str">
        <f t="shared" si="3"/>
        <v/>
      </c>
      <c r="D241" s="208"/>
      <c r="E241" s="194" t="str">
        <f>IFERROR(__xludf.DUMMYFUNCTION("IF(D241&lt;&gt;"""",SPLIT(D241,"" 
""),)"),"")</f>
        <v/>
      </c>
    </row>
    <row r="242">
      <c r="A242" s="26" t="str">
        <f t="shared" si="1"/>
        <v/>
      </c>
      <c r="B242" s="26" t="str">
        <f t="shared" si="2"/>
        <v/>
      </c>
      <c r="C242" s="207" t="str">
        <f t="shared" si="3"/>
        <v/>
      </c>
      <c r="D242" s="208"/>
      <c r="E242" s="194" t="str">
        <f>IFERROR(__xludf.DUMMYFUNCTION("IF(D242&lt;&gt;"""",SPLIT(D242,"" 
""),)"),"")</f>
        <v/>
      </c>
    </row>
    <row r="243">
      <c r="A243" s="26" t="str">
        <f t="shared" si="1"/>
        <v/>
      </c>
      <c r="B243" s="26" t="str">
        <f t="shared" si="2"/>
        <v/>
      </c>
      <c r="C243" s="207" t="str">
        <f t="shared" si="3"/>
        <v/>
      </c>
      <c r="D243" s="208"/>
      <c r="E243" s="194" t="str">
        <f>IFERROR(__xludf.DUMMYFUNCTION("IF(D243&lt;&gt;"""",SPLIT(D243,"" 
""),)"),"")</f>
        <v/>
      </c>
    </row>
    <row r="244">
      <c r="A244" s="26" t="str">
        <f t="shared" si="1"/>
        <v/>
      </c>
      <c r="B244" s="26" t="str">
        <f t="shared" si="2"/>
        <v/>
      </c>
      <c r="C244" s="207" t="str">
        <f t="shared" si="3"/>
        <v/>
      </c>
      <c r="D244" s="208"/>
      <c r="E244" s="194" t="str">
        <f>IFERROR(__xludf.DUMMYFUNCTION("IF(D244&lt;&gt;"""",SPLIT(D244,"" 
""),)"),"")</f>
        <v/>
      </c>
    </row>
    <row r="245">
      <c r="A245" s="26" t="str">
        <f t="shared" si="1"/>
        <v/>
      </c>
      <c r="B245" s="26" t="str">
        <f t="shared" si="2"/>
        <v/>
      </c>
      <c r="C245" s="207" t="str">
        <f t="shared" si="3"/>
        <v/>
      </c>
      <c r="D245" s="208"/>
      <c r="E245" s="194" t="str">
        <f>IFERROR(__xludf.DUMMYFUNCTION("IF(D245&lt;&gt;"""",SPLIT(D245,"" 
""),)"),"")</f>
        <v/>
      </c>
    </row>
    <row r="246">
      <c r="A246" s="26" t="str">
        <f t="shared" si="1"/>
        <v/>
      </c>
      <c r="B246" s="26" t="str">
        <f t="shared" si="2"/>
        <v/>
      </c>
      <c r="C246" s="207" t="str">
        <f t="shared" si="3"/>
        <v/>
      </c>
      <c r="D246" s="208"/>
      <c r="E246" s="194" t="str">
        <f>IFERROR(__xludf.DUMMYFUNCTION("IF(D246&lt;&gt;"""",SPLIT(D246,"" 
""),)"),"")</f>
        <v/>
      </c>
    </row>
    <row r="247">
      <c r="A247" s="26" t="str">
        <f t="shared" si="1"/>
        <v/>
      </c>
      <c r="B247" s="26" t="str">
        <f t="shared" si="2"/>
        <v/>
      </c>
      <c r="C247" s="207" t="str">
        <f t="shared" si="3"/>
        <v/>
      </c>
      <c r="D247" s="208"/>
      <c r="E247" s="194" t="str">
        <f>IFERROR(__xludf.DUMMYFUNCTION("IF(D247&lt;&gt;"""",SPLIT(D247,"" 
""),)"),"")</f>
        <v/>
      </c>
    </row>
    <row r="248">
      <c r="A248" s="26" t="str">
        <f t="shared" si="1"/>
        <v/>
      </c>
      <c r="B248" s="26" t="str">
        <f t="shared" si="2"/>
        <v/>
      </c>
      <c r="C248" s="207" t="str">
        <f t="shared" si="3"/>
        <v/>
      </c>
      <c r="D248" s="208"/>
      <c r="E248" s="194" t="str">
        <f>IFERROR(__xludf.DUMMYFUNCTION("IF(D248&lt;&gt;"""",SPLIT(D248,"" 
""),)"),"")</f>
        <v/>
      </c>
    </row>
    <row r="249">
      <c r="A249" s="26" t="str">
        <f t="shared" si="1"/>
        <v/>
      </c>
      <c r="B249" s="26" t="str">
        <f t="shared" si="2"/>
        <v/>
      </c>
      <c r="C249" s="207" t="str">
        <f t="shared" si="3"/>
        <v/>
      </c>
      <c r="D249" s="208"/>
      <c r="E249" s="194" t="str">
        <f>IFERROR(__xludf.DUMMYFUNCTION("IF(D249&lt;&gt;"""",SPLIT(D249,"" 
""),)"),"")</f>
        <v/>
      </c>
    </row>
    <row r="250">
      <c r="A250" s="26" t="str">
        <f t="shared" si="1"/>
        <v/>
      </c>
      <c r="B250" s="26" t="str">
        <f t="shared" si="2"/>
        <v/>
      </c>
      <c r="C250" s="207" t="str">
        <f t="shared" si="3"/>
        <v/>
      </c>
      <c r="D250" s="208"/>
      <c r="E250" s="194" t="str">
        <f>IFERROR(__xludf.DUMMYFUNCTION("IF(D250&lt;&gt;"""",SPLIT(D250,"" 
""),)"),"")</f>
        <v/>
      </c>
    </row>
    <row r="251">
      <c r="A251" s="26" t="str">
        <f t="shared" si="1"/>
        <v/>
      </c>
      <c r="B251" s="26" t="str">
        <f t="shared" si="2"/>
        <v/>
      </c>
      <c r="C251" s="207" t="str">
        <f t="shared" si="3"/>
        <v/>
      </c>
      <c r="D251" s="208"/>
      <c r="E251" s="194" t="str">
        <f>IFERROR(__xludf.DUMMYFUNCTION("IF(D251&lt;&gt;"""",SPLIT(D251,"" 
""),)"),"")</f>
        <v/>
      </c>
    </row>
    <row r="252">
      <c r="A252" s="26" t="str">
        <f t="shared" si="1"/>
        <v/>
      </c>
      <c r="B252" s="26" t="str">
        <f t="shared" si="2"/>
        <v/>
      </c>
      <c r="C252" s="207" t="str">
        <f t="shared" si="3"/>
        <v/>
      </c>
      <c r="D252" s="208"/>
      <c r="E252" s="194" t="str">
        <f>IFERROR(__xludf.DUMMYFUNCTION("IF(D252&lt;&gt;"""",SPLIT(D252,"" 
""),)"),"")</f>
        <v/>
      </c>
    </row>
    <row r="253">
      <c r="A253" s="26" t="str">
        <f t="shared" si="1"/>
        <v/>
      </c>
      <c r="B253" s="26" t="str">
        <f t="shared" si="2"/>
        <v/>
      </c>
      <c r="C253" s="207" t="str">
        <f t="shared" si="3"/>
        <v/>
      </c>
      <c r="D253" s="208"/>
      <c r="E253" s="194" t="str">
        <f>IFERROR(__xludf.DUMMYFUNCTION("IF(D253&lt;&gt;"""",SPLIT(D253,"" 
""),)"),"")</f>
        <v/>
      </c>
    </row>
    <row r="254">
      <c r="A254" s="26" t="str">
        <f t="shared" si="1"/>
        <v/>
      </c>
      <c r="B254" s="26" t="str">
        <f t="shared" si="2"/>
        <v/>
      </c>
      <c r="C254" s="207" t="str">
        <f t="shared" si="3"/>
        <v/>
      </c>
      <c r="D254" s="208"/>
      <c r="E254" s="194" t="str">
        <f>IFERROR(__xludf.DUMMYFUNCTION("IF(D254&lt;&gt;"""",SPLIT(D254,"" 
""),)"),"")</f>
        <v/>
      </c>
    </row>
    <row r="255">
      <c r="A255" s="26" t="str">
        <f t="shared" si="1"/>
        <v/>
      </c>
      <c r="B255" s="26" t="str">
        <f t="shared" si="2"/>
        <v/>
      </c>
      <c r="C255" s="207" t="str">
        <f t="shared" si="3"/>
        <v/>
      </c>
      <c r="D255" s="208"/>
      <c r="E255" s="194" t="str">
        <f>IFERROR(__xludf.DUMMYFUNCTION("IF(D255&lt;&gt;"""",SPLIT(D255,"" 
""),)"),"")</f>
        <v/>
      </c>
    </row>
    <row r="256">
      <c r="A256" s="26" t="str">
        <f t="shared" si="1"/>
        <v/>
      </c>
      <c r="B256" s="26" t="str">
        <f t="shared" si="2"/>
        <v/>
      </c>
      <c r="C256" s="207" t="str">
        <f t="shared" si="3"/>
        <v/>
      </c>
      <c r="D256" s="208"/>
      <c r="E256" s="194" t="str">
        <f>IFERROR(__xludf.DUMMYFUNCTION("IF(D256&lt;&gt;"""",SPLIT(D256,"" 
""),)"),"")</f>
        <v/>
      </c>
    </row>
    <row r="257">
      <c r="A257" s="26" t="str">
        <f t="shared" si="1"/>
        <v/>
      </c>
      <c r="B257" s="26" t="str">
        <f t="shared" si="2"/>
        <v/>
      </c>
      <c r="C257" s="207" t="str">
        <f t="shared" si="3"/>
        <v/>
      </c>
      <c r="D257" s="208"/>
      <c r="E257" s="194" t="str">
        <f>IFERROR(__xludf.DUMMYFUNCTION("IF(D257&lt;&gt;"""",SPLIT(D257,"" 
""),)"),"")</f>
        <v/>
      </c>
    </row>
    <row r="258">
      <c r="A258" s="26" t="str">
        <f t="shared" si="1"/>
        <v/>
      </c>
      <c r="B258" s="26" t="str">
        <f t="shared" si="2"/>
        <v/>
      </c>
      <c r="C258" s="207" t="str">
        <f t="shared" si="3"/>
        <v/>
      </c>
      <c r="D258" s="208"/>
      <c r="E258" s="194" t="str">
        <f>IFERROR(__xludf.DUMMYFUNCTION("IF(D258&lt;&gt;"""",SPLIT(D258,"" 
""),)"),"")</f>
        <v/>
      </c>
    </row>
    <row r="259">
      <c r="A259" s="26" t="str">
        <f t="shared" si="1"/>
        <v/>
      </c>
      <c r="B259" s="26" t="str">
        <f t="shared" si="2"/>
        <v/>
      </c>
      <c r="C259" s="207" t="str">
        <f t="shared" si="3"/>
        <v/>
      </c>
      <c r="D259" s="208"/>
      <c r="E259" s="194" t="str">
        <f>IFERROR(__xludf.DUMMYFUNCTION("IF(D259&lt;&gt;"""",SPLIT(D259,"" 
""),)"),"")</f>
        <v/>
      </c>
    </row>
    <row r="260">
      <c r="A260" s="26" t="str">
        <f t="shared" si="1"/>
        <v/>
      </c>
      <c r="B260" s="26" t="str">
        <f t="shared" si="2"/>
        <v/>
      </c>
      <c r="C260" s="207" t="str">
        <f t="shared" si="3"/>
        <v/>
      </c>
      <c r="D260" s="208"/>
      <c r="E260" s="194" t="str">
        <f>IFERROR(__xludf.DUMMYFUNCTION("IF(D260&lt;&gt;"""",SPLIT(D260,"" 
""),)"),"")</f>
        <v/>
      </c>
    </row>
    <row r="261">
      <c r="A261" s="26" t="str">
        <f t="shared" si="1"/>
        <v/>
      </c>
      <c r="B261" s="26" t="str">
        <f t="shared" si="2"/>
        <v/>
      </c>
      <c r="C261" s="207" t="str">
        <f t="shared" si="3"/>
        <v/>
      </c>
      <c r="D261" s="208"/>
      <c r="E261" s="194" t="str">
        <f>IFERROR(__xludf.DUMMYFUNCTION("IF(D261&lt;&gt;"""",SPLIT(D261,"" 
""),)"),"")</f>
        <v/>
      </c>
    </row>
    <row r="262">
      <c r="A262" s="26" t="str">
        <f t="shared" si="1"/>
        <v/>
      </c>
      <c r="B262" s="26" t="str">
        <f t="shared" si="2"/>
        <v/>
      </c>
      <c r="C262" s="207" t="str">
        <f t="shared" si="3"/>
        <v/>
      </c>
      <c r="D262" s="208"/>
      <c r="E262" s="194" t="str">
        <f>IFERROR(__xludf.DUMMYFUNCTION("IF(D262&lt;&gt;"""",SPLIT(D262,"" 
""),)"),"")</f>
        <v/>
      </c>
    </row>
    <row r="263">
      <c r="A263" s="26" t="str">
        <f t="shared" si="1"/>
        <v/>
      </c>
      <c r="B263" s="26" t="str">
        <f t="shared" si="2"/>
        <v/>
      </c>
      <c r="C263" s="207" t="str">
        <f t="shared" si="3"/>
        <v/>
      </c>
      <c r="D263" s="208"/>
      <c r="E263" s="194" t="str">
        <f>IFERROR(__xludf.DUMMYFUNCTION("IF(D263&lt;&gt;"""",SPLIT(D263,"" 
""),)"),"")</f>
        <v/>
      </c>
    </row>
    <row r="264">
      <c r="A264" s="26" t="str">
        <f t="shared" si="1"/>
        <v/>
      </c>
      <c r="B264" s="26" t="str">
        <f t="shared" si="2"/>
        <v/>
      </c>
      <c r="C264" s="207" t="str">
        <f t="shared" si="3"/>
        <v/>
      </c>
      <c r="D264" s="208"/>
      <c r="E264" s="194" t="str">
        <f>IFERROR(__xludf.DUMMYFUNCTION("IF(D264&lt;&gt;"""",SPLIT(D264,"" 
""),)"),"")</f>
        <v/>
      </c>
    </row>
    <row r="265">
      <c r="A265" s="26" t="str">
        <f t="shared" si="1"/>
        <v/>
      </c>
      <c r="B265" s="26" t="str">
        <f t="shared" si="2"/>
        <v/>
      </c>
      <c r="C265" s="207" t="str">
        <f t="shared" si="3"/>
        <v/>
      </c>
      <c r="D265" s="208"/>
      <c r="E265" s="194" t="str">
        <f>IFERROR(__xludf.DUMMYFUNCTION("IF(D265&lt;&gt;"""",SPLIT(D265,"" 
""),)"),"")</f>
        <v/>
      </c>
    </row>
    <row r="266">
      <c r="A266" s="26" t="str">
        <f t="shared" si="1"/>
        <v/>
      </c>
      <c r="B266" s="26" t="str">
        <f t="shared" si="2"/>
        <v/>
      </c>
      <c r="C266" s="207" t="str">
        <f t="shared" si="3"/>
        <v/>
      </c>
      <c r="D266" s="208"/>
      <c r="E266" s="194" t="str">
        <f>IFERROR(__xludf.DUMMYFUNCTION("IF(D266&lt;&gt;"""",SPLIT(D266,"" 
""),)"),"")</f>
        <v/>
      </c>
    </row>
    <row r="267">
      <c r="A267" s="26" t="str">
        <f t="shared" si="1"/>
        <v/>
      </c>
      <c r="B267" s="26" t="str">
        <f t="shared" si="2"/>
        <v/>
      </c>
      <c r="C267" s="207" t="str">
        <f t="shared" si="3"/>
        <v/>
      </c>
      <c r="D267" s="208"/>
      <c r="E267" s="194" t="str">
        <f>IFERROR(__xludf.DUMMYFUNCTION("IF(D267&lt;&gt;"""",SPLIT(D267,"" 
""),)"),"")</f>
        <v/>
      </c>
    </row>
    <row r="268">
      <c r="A268" s="26" t="str">
        <f t="shared" si="1"/>
        <v/>
      </c>
      <c r="B268" s="26" t="str">
        <f t="shared" si="2"/>
        <v/>
      </c>
      <c r="C268" s="207" t="str">
        <f t="shared" si="3"/>
        <v/>
      </c>
      <c r="D268" s="208"/>
      <c r="E268" s="194" t="str">
        <f>IFERROR(__xludf.DUMMYFUNCTION("IF(D268&lt;&gt;"""",SPLIT(D268,"" 
""),)"),"")</f>
        <v/>
      </c>
    </row>
    <row r="269">
      <c r="A269" s="26" t="str">
        <f t="shared" si="1"/>
        <v/>
      </c>
      <c r="B269" s="26" t="str">
        <f t="shared" si="2"/>
        <v/>
      </c>
      <c r="C269" s="207" t="str">
        <f t="shared" si="3"/>
        <v/>
      </c>
      <c r="D269" s="208"/>
      <c r="E269" s="194" t="str">
        <f>IFERROR(__xludf.DUMMYFUNCTION("IF(D269&lt;&gt;"""",SPLIT(D269,"" 
""),)"),"")</f>
        <v/>
      </c>
    </row>
    <row r="270">
      <c r="A270" s="26" t="str">
        <f t="shared" si="1"/>
        <v/>
      </c>
      <c r="B270" s="26" t="str">
        <f t="shared" si="2"/>
        <v/>
      </c>
      <c r="C270" s="207" t="str">
        <f t="shared" si="3"/>
        <v/>
      </c>
      <c r="D270" s="208"/>
      <c r="E270" s="194" t="str">
        <f>IFERROR(__xludf.DUMMYFUNCTION("IF(D270&lt;&gt;"""",SPLIT(D270,"" 
""),)"),"")</f>
        <v/>
      </c>
    </row>
    <row r="271">
      <c r="A271" s="26" t="str">
        <f t="shared" si="1"/>
        <v/>
      </c>
      <c r="B271" s="26" t="str">
        <f t="shared" si="2"/>
        <v/>
      </c>
      <c r="C271" s="207" t="str">
        <f t="shared" si="3"/>
        <v/>
      </c>
      <c r="D271" s="208"/>
      <c r="E271" s="194" t="str">
        <f>IFERROR(__xludf.DUMMYFUNCTION("IF(D271&lt;&gt;"""",SPLIT(D271,"" 
""),)"),"")</f>
        <v/>
      </c>
    </row>
    <row r="272">
      <c r="A272" s="26" t="str">
        <f t="shared" si="1"/>
        <v/>
      </c>
      <c r="B272" s="26" t="str">
        <f t="shared" si="2"/>
        <v/>
      </c>
      <c r="C272" s="207" t="str">
        <f t="shared" si="3"/>
        <v/>
      </c>
      <c r="D272" s="208"/>
      <c r="E272" s="194" t="str">
        <f>IFERROR(__xludf.DUMMYFUNCTION("IF(D272&lt;&gt;"""",SPLIT(D272,"" 
""),)"),"")</f>
        <v/>
      </c>
    </row>
    <row r="273">
      <c r="A273" s="26" t="str">
        <f t="shared" si="1"/>
        <v/>
      </c>
      <c r="B273" s="26" t="str">
        <f t="shared" si="2"/>
        <v/>
      </c>
      <c r="C273" s="207" t="str">
        <f t="shared" si="3"/>
        <v/>
      </c>
      <c r="D273" s="208"/>
      <c r="E273" s="194" t="str">
        <f>IFERROR(__xludf.DUMMYFUNCTION("IF(D273&lt;&gt;"""",SPLIT(D273,"" 
""),)"),"")</f>
        <v/>
      </c>
    </row>
    <row r="274">
      <c r="A274" s="26" t="str">
        <f t="shared" si="1"/>
        <v/>
      </c>
      <c r="B274" s="26" t="str">
        <f t="shared" si="2"/>
        <v/>
      </c>
      <c r="C274" s="207" t="str">
        <f t="shared" si="3"/>
        <v/>
      </c>
      <c r="D274" s="208"/>
      <c r="E274" s="194" t="str">
        <f>IFERROR(__xludf.DUMMYFUNCTION("IF(D274&lt;&gt;"""",SPLIT(D274,"" 
""),)"),"")</f>
        <v/>
      </c>
    </row>
    <row r="275">
      <c r="A275" s="26" t="str">
        <f t="shared" si="1"/>
        <v/>
      </c>
      <c r="B275" s="26" t="str">
        <f t="shared" si="2"/>
        <v/>
      </c>
      <c r="C275" s="207" t="str">
        <f t="shared" si="3"/>
        <v/>
      </c>
      <c r="D275" s="208"/>
      <c r="E275" s="194" t="str">
        <f>IFERROR(__xludf.DUMMYFUNCTION("IF(D275&lt;&gt;"""",SPLIT(D275,"" 
""),)"),"")</f>
        <v/>
      </c>
    </row>
    <row r="276">
      <c r="A276" s="26" t="str">
        <f t="shared" si="1"/>
        <v/>
      </c>
      <c r="B276" s="26" t="str">
        <f t="shared" si="2"/>
        <v/>
      </c>
      <c r="C276" s="207" t="str">
        <f t="shared" si="3"/>
        <v/>
      </c>
      <c r="D276" s="208"/>
      <c r="E276" s="194" t="str">
        <f>IFERROR(__xludf.DUMMYFUNCTION("IF(D276&lt;&gt;"""",SPLIT(D276,"" 
""),)"),"")</f>
        <v/>
      </c>
    </row>
    <row r="277">
      <c r="A277" s="26" t="str">
        <f t="shared" si="1"/>
        <v/>
      </c>
      <c r="B277" s="26" t="str">
        <f t="shared" si="2"/>
        <v/>
      </c>
      <c r="C277" s="207" t="str">
        <f t="shared" si="3"/>
        <v/>
      </c>
      <c r="D277" s="208"/>
      <c r="E277" s="194" t="str">
        <f>IFERROR(__xludf.DUMMYFUNCTION("IF(D277&lt;&gt;"""",SPLIT(D277,"" 
""),)"),"")</f>
        <v/>
      </c>
    </row>
    <row r="278">
      <c r="A278" s="26" t="str">
        <f t="shared" si="1"/>
        <v/>
      </c>
      <c r="B278" s="26" t="str">
        <f t="shared" si="2"/>
        <v/>
      </c>
      <c r="C278" s="207" t="str">
        <f t="shared" si="3"/>
        <v/>
      </c>
      <c r="D278" s="208"/>
      <c r="E278" s="194" t="str">
        <f>IFERROR(__xludf.DUMMYFUNCTION("IF(D278&lt;&gt;"""",SPLIT(D278,"" 
""),)"),"")</f>
        <v/>
      </c>
    </row>
    <row r="279">
      <c r="A279" s="26" t="str">
        <f t="shared" si="1"/>
        <v/>
      </c>
      <c r="B279" s="26" t="str">
        <f t="shared" si="2"/>
        <v/>
      </c>
      <c r="C279" s="207" t="str">
        <f t="shared" si="3"/>
        <v/>
      </c>
      <c r="D279" s="208"/>
      <c r="E279" s="194" t="str">
        <f>IFERROR(__xludf.DUMMYFUNCTION("IF(D279&lt;&gt;"""",SPLIT(D279,"" 
""),)"),"")</f>
        <v/>
      </c>
    </row>
    <row r="280">
      <c r="A280" s="26" t="str">
        <f t="shared" si="1"/>
        <v/>
      </c>
      <c r="B280" s="26" t="str">
        <f t="shared" si="2"/>
        <v/>
      </c>
      <c r="C280" s="207" t="str">
        <f t="shared" si="3"/>
        <v/>
      </c>
      <c r="D280" s="208"/>
      <c r="E280" s="194" t="str">
        <f>IFERROR(__xludf.DUMMYFUNCTION("IF(D280&lt;&gt;"""",SPLIT(D280,"" 
""),)"),"")</f>
        <v/>
      </c>
    </row>
    <row r="281">
      <c r="A281" s="26" t="str">
        <f t="shared" si="1"/>
        <v/>
      </c>
      <c r="B281" s="26" t="str">
        <f t="shared" si="2"/>
        <v/>
      </c>
      <c r="C281" s="207" t="str">
        <f t="shared" si="3"/>
        <v/>
      </c>
      <c r="D281" s="208"/>
      <c r="E281" s="194" t="str">
        <f>IFERROR(__xludf.DUMMYFUNCTION("IF(D281&lt;&gt;"""",SPLIT(D281,"" 
""),)"),"")</f>
        <v/>
      </c>
    </row>
    <row r="282">
      <c r="A282" s="26" t="str">
        <f t="shared" si="1"/>
        <v/>
      </c>
      <c r="B282" s="26" t="str">
        <f t="shared" si="2"/>
        <v/>
      </c>
      <c r="C282" s="207" t="str">
        <f t="shared" si="3"/>
        <v/>
      </c>
      <c r="D282" s="208"/>
      <c r="E282" s="194" t="str">
        <f>IFERROR(__xludf.DUMMYFUNCTION("IF(D282&lt;&gt;"""",SPLIT(D282,"" 
""),)"),"")</f>
        <v/>
      </c>
    </row>
    <row r="283">
      <c r="A283" s="26" t="str">
        <f t="shared" si="1"/>
        <v/>
      </c>
      <c r="B283" s="26" t="str">
        <f t="shared" si="2"/>
        <v/>
      </c>
      <c r="C283" s="207" t="str">
        <f t="shared" si="3"/>
        <v/>
      </c>
      <c r="D283" s="208"/>
      <c r="E283" s="194" t="str">
        <f>IFERROR(__xludf.DUMMYFUNCTION("IF(D283&lt;&gt;"""",SPLIT(D283,"" 
""),)"),"")</f>
        <v/>
      </c>
    </row>
    <row r="284">
      <c r="A284" s="26" t="str">
        <f t="shared" si="1"/>
        <v/>
      </c>
      <c r="B284" s="26" t="str">
        <f t="shared" si="2"/>
        <v/>
      </c>
      <c r="C284" s="207" t="str">
        <f t="shared" si="3"/>
        <v/>
      </c>
      <c r="D284" s="208"/>
      <c r="E284" s="194" t="str">
        <f>IFERROR(__xludf.DUMMYFUNCTION("IF(D284&lt;&gt;"""",SPLIT(D284,"" 
""),)"),"")</f>
        <v/>
      </c>
    </row>
    <row r="285">
      <c r="A285" s="26" t="str">
        <f t="shared" si="1"/>
        <v/>
      </c>
      <c r="B285" s="26" t="str">
        <f t="shared" si="2"/>
        <v/>
      </c>
      <c r="C285" s="207" t="str">
        <f t="shared" si="3"/>
        <v/>
      </c>
      <c r="D285" s="208"/>
      <c r="E285" s="194" t="str">
        <f>IFERROR(__xludf.DUMMYFUNCTION("IF(D285&lt;&gt;"""",SPLIT(D285,"" 
""),)"),"")</f>
        <v/>
      </c>
    </row>
    <row r="286">
      <c r="A286" s="26" t="str">
        <f t="shared" si="1"/>
        <v/>
      </c>
      <c r="B286" s="26" t="str">
        <f t="shared" si="2"/>
        <v/>
      </c>
      <c r="C286" s="207" t="str">
        <f t="shared" si="3"/>
        <v/>
      </c>
      <c r="D286" s="208"/>
      <c r="E286" s="194" t="str">
        <f>IFERROR(__xludf.DUMMYFUNCTION("IF(D286&lt;&gt;"""",SPLIT(D286,"" 
""),)"),"")</f>
        <v/>
      </c>
    </row>
    <row r="287">
      <c r="A287" s="26" t="str">
        <f t="shared" si="1"/>
        <v/>
      </c>
      <c r="B287" s="26" t="str">
        <f t="shared" si="2"/>
        <v/>
      </c>
      <c r="C287" s="207" t="str">
        <f t="shared" si="3"/>
        <v/>
      </c>
      <c r="D287" s="208"/>
      <c r="E287" s="194" t="str">
        <f>IFERROR(__xludf.DUMMYFUNCTION("IF(D287&lt;&gt;"""",SPLIT(D287,"" 
""),)"),"")</f>
        <v/>
      </c>
    </row>
    <row r="288">
      <c r="A288" s="26" t="str">
        <f t="shared" si="1"/>
        <v/>
      </c>
      <c r="B288" s="26" t="str">
        <f t="shared" si="2"/>
        <v/>
      </c>
      <c r="C288" s="207" t="str">
        <f t="shared" si="3"/>
        <v/>
      </c>
      <c r="D288" s="208"/>
      <c r="E288" s="194" t="str">
        <f>IFERROR(__xludf.DUMMYFUNCTION("IF(D288&lt;&gt;"""",SPLIT(D288,"" 
""),)"),"")</f>
        <v/>
      </c>
    </row>
    <row r="289">
      <c r="A289" s="26" t="str">
        <f t="shared" si="1"/>
        <v/>
      </c>
      <c r="B289" s="26" t="str">
        <f t="shared" si="2"/>
        <v/>
      </c>
      <c r="C289" s="207" t="str">
        <f t="shared" si="3"/>
        <v/>
      </c>
      <c r="D289" s="208"/>
      <c r="E289" s="194" t="str">
        <f>IFERROR(__xludf.DUMMYFUNCTION("IF(D289&lt;&gt;"""",SPLIT(D289,"" 
""),)"),"")</f>
        <v/>
      </c>
    </row>
    <row r="290">
      <c r="A290" s="26" t="str">
        <f t="shared" si="1"/>
        <v/>
      </c>
      <c r="B290" s="26" t="str">
        <f t="shared" si="2"/>
        <v/>
      </c>
      <c r="C290" s="207" t="str">
        <f t="shared" si="3"/>
        <v/>
      </c>
      <c r="D290" s="208"/>
      <c r="E290" s="194" t="str">
        <f>IFERROR(__xludf.DUMMYFUNCTION("IF(D290&lt;&gt;"""",SPLIT(D290,"" 
""),)"),"")</f>
        <v/>
      </c>
    </row>
    <row r="291">
      <c r="A291" s="26" t="str">
        <f t="shared" si="1"/>
        <v/>
      </c>
      <c r="B291" s="26" t="str">
        <f t="shared" si="2"/>
        <v/>
      </c>
      <c r="C291" s="207" t="str">
        <f t="shared" si="3"/>
        <v/>
      </c>
      <c r="D291" s="208"/>
      <c r="E291" s="194" t="str">
        <f>IFERROR(__xludf.DUMMYFUNCTION("IF(D291&lt;&gt;"""",SPLIT(D291,"" 
""),)"),"")</f>
        <v/>
      </c>
    </row>
    <row r="292">
      <c r="A292" s="26" t="str">
        <f t="shared" si="1"/>
        <v/>
      </c>
      <c r="B292" s="26" t="str">
        <f t="shared" si="2"/>
        <v/>
      </c>
      <c r="C292" s="207" t="str">
        <f t="shared" si="3"/>
        <v/>
      </c>
      <c r="D292" s="208"/>
      <c r="E292" s="194" t="str">
        <f>IFERROR(__xludf.DUMMYFUNCTION("IF(D292&lt;&gt;"""",SPLIT(D292,"" 
""),)"),"")</f>
        <v/>
      </c>
    </row>
    <row r="293">
      <c r="A293" s="26" t="str">
        <f t="shared" si="1"/>
        <v/>
      </c>
      <c r="B293" s="26" t="str">
        <f t="shared" si="2"/>
        <v/>
      </c>
      <c r="C293" s="207" t="str">
        <f t="shared" si="3"/>
        <v/>
      </c>
      <c r="D293" s="208"/>
      <c r="E293" s="194" t="str">
        <f>IFERROR(__xludf.DUMMYFUNCTION("IF(D293&lt;&gt;"""",SPLIT(D293,"" 
""),)"),"")</f>
        <v/>
      </c>
    </row>
    <row r="294">
      <c r="A294" s="26" t="str">
        <f t="shared" si="1"/>
        <v/>
      </c>
      <c r="B294" s="26" t="str">
        <f t="shared" si="2"/>
        <v/>
      </c>
      <c r="C294" s="207" t="str">
        <f t="shared" si="3"/>
        <v/>
      </c>
      <c r="D294" s="208"/>
      <c r="E294" s="194" t="str">
        <f>IFERROR(__xludf.DUMMYFUNCTION("IF(D294&lt;&gt;"""",SPLIT(D294,"" 
""),)"),"")</f>
        <v/>
      </c>
    </row>
    <row r="295">
      <c r="A295" s="26" t="str">
        <f t="shared" si="1"/>
        <v/>
      </c>
      <c r="B295" s="26" t="str">
        <f t="shared" si="2"/>
        <v/>
      </c>
      <c r="C295" s="207" t="str">
        <f t="shared" si="3"/>
        <v/>
      </c>
      <c r="D295" s="208"/>
      <c r="E295" s="194" t="str">
        <f>IFERROR(__xludf.DUMMYFUNCTION("IF(D295&lt;&gt;"""",SPLIT(D295,"" 
""),)"),"")</f>
        <v/>
      </c>
    </row>
    <row r="296">
      <c r="A296" s="26" t="str">
        <f t="shared" si="1"/>
        <v/>
      </c>
      <c r="B296" s="26" t="str">
        <f t="shared" si="2"/>
        <v/>
      </c>
      <c r="C296" s="207" t="str">
        <f t="shared" si="3"/>
        <v/>
      </c>
      <c r="D296" s="208"/>
      <c r="E296" s="194" t="str">
        <f>IFERROR(__xludf.DUMMYFUNCTION("IF(D296&lt;&gt;"""",SPLIT(D296,"" 
""),)"),"")</f>
        <v/>
      </c>
    </row>
    <row r="297">
      <c r="A297" s="26" t="str">
        <f t="shared" si="1"/>
        <v/>
      </c>
      <c r="B297" s="26" t="str">
        <f t="shared" si="2"/>
        <v/>
      </c>
      <c r="C297" s="207" t="str">
        <f t="shared" si="3"/>
        <v/>
      </c>
      <c r="D297" s="208"/>
      <c r="E297" s="194" t="str">
        <f>IFERROR(__xludf.DUMMYFUNCTION("IF(D297&lt;&gt;"""",SPLIT(D297,"" 
""),)"),"")</f>
        <v/>
      </c>
    </row>
    <row r="298">
      <c r="A298" s="26" t="str">
        <f t="shared" si="1"/>
        <v/>
      </c>
      <c r="B298" s="26" t="str">
        <f t="shared" si="2"/>
        <v/>
      </c>
      <c r="C298" s="207" t="str">
        <f t="shared" si="3"/>
        <v/>
      </c>
      <c r="D298" s="208"/>
      <c r="E298" s="194" t="str">
        <f>IFERROR(__xludf.DUMMYFUNCTION("IF(D298&lt;&gt;"""",SPLIT(D298,"" 
""),)"),"")</f>
        <v/>
      </c>
    </row>
    <row r="299">
      <c r="A299" s="26" t="str">
        <f t="shared" si="1"/>
        <v/>
      </c>
      <c r="B299" s="26" t="str">
        <f t="shared" si="2"/>
        <v/>
      </c>
      <c r="C299" s="207" t="str">
        <f t="shared" si="3"/>
        <v/>
      </c>
      <c r="D299" s="208"/>
      <c r="E299" s="194" t="str">
        <f>IFERROR(__xludf.DUMMYFUNCTION("IF(D299&lt;&gt;"""",SPLIT(D299,"" 
""),)"),"")</f>
        <v/>
      </c>
    </row>
    <row r="300">
      <c r="A300" s="26" t="str">
        <f t="shared" si="1"/>
        <v/>
      </c>
      <c r="B300" s="26" t="str">
        <f t="shared" si="2"/>
        <v/>
      </c>
      <c r="C300" s="207" t="str">
        <f t="shared" si="3"/>
        <v/>
      </c>
      <c r="D300" s="208"/>
      <c r="E300" s="194" t="str">
        <f>IFERROR(__xludf.DUMMYFUNCTION("IF(D300&lt;&gt;"""",SPLIT(D300,"" 
""),)"),"")</f>
        <v/>
      </c>
    </row>
    <row r="301">
      <c r="A301" s="26" t="str">
        <f t="shared" si="1"/>
        <v/>
      </c>
      <c r="B301" s="26" t="str">
        <f t="shared" si="2"/>
        <v/>
      </c>
      <c r="C301" s="207" t="str">
        <f t="shared" si="3"/>
        <v/>
      </c>
      <c r="D301" s="208"/>
      <c r="E301" s="194" t="str">
        <f>IFERROR(__xludf.DUMMYFUNCTION("IF(D301&lt;&gt;"""",SPLIT(D301,"" 
""),)"),"")</f>
        <v/>
      </c>
    </row>
    <row r="302">
      <c r="A302" s="26" t="str">
        <f t="shared" si="1"/>
        <v/>
      </c>
      <c r="B302" s="26" t="str">
        <f t="shared" si="2"/>
        <v/>
      </c>
      <c r="C302" s="207" t="str">
        <f t="shared" si="3"/>
        <v/>
      </c>
      <c r="D302" s="208"/>
      <c r="E302" s="194" t="str">
        <f>IFERROR(__xludf.DUMMYFUNCTION("IF(D302&lt;&gt;"""",SPLIT(D302,"" 
""),)"),"")</f>
        <v/>
      </c>
    </row>
    <row r="303">
      <c r="A303" s="26" t="str">
        <f t="shared" si="1"/>
        <v/>
      </c>
      <c r="B303" s="26" t="str">
        <f t="shared" si="2"/>
        <v/>
      </c>
      <c r="C303" s="207" t="str">
        <f t="shared" si="3"/>
        <v/>
      </c>
      <c r="D303" s="208"/>
      <c r="E303" s="194" t="str">
        <f>IFERROR(__xludf.DUMMYFUNCTION("IF(D303&lt;&gt;"""",SPLIT(D303,"" 
""),)"),"")</f>
        <v/>
      </c>
    </row>
    <row r="304">
      <c r="A304" s="26" t="str">
        <f t="shared" si="1"/>
        <v/>
      </c>
      <c r="B304" s="26" t="str">
        <f t="shared" si="2"/>
        <v/>
      </c>
      <c r="C304" s="207" t="str">
        <f t="shared" si="3"/>
        <v/>
      </c>
      <c r="D304" s="208"/>
      <c r="E304" s="194" t="str">
        <f>IFERROR(__xludf.DUMMYFUNCTION("IF(D304&lt;&gt;"""",SPLIT(D304,"" 
""),)"),"")</f>
        <v/>
      </c>
    </row>
    <row r="305">
      <c r="A305" s="26" t="str">
        <f t="shared" si="1"/>
        <v/>
      </c>
      <c r="B305" s="26" t="str">
        <f t="shared" si="2"/>
        <v/>
      </c>
      <c r="C305" s="207" t="str">
        <f t="shared" si="3"/>
        <v/>
      </c>
      <c r="D305" s="208"/>
      <c r="E305" s="194" t="str">
        <f>IFERROR(__xludf.DUMMYFUNCTION("IF(D305&lt;&gt;"""",SPLIT(D305,"" 
""),)"),"")</f>
        <v/>
      </c>
    </row>
    <row r="306">
      <c r="A306" s="26" t="str">
        <f t="shared" si="1"/>
        <v/>
      </c>
      <c r="B306" s="26" t="str">
        <f t="shared" si="2"/>
        <v/>
      </c>
      <c r="C306" s="207" t="str">
        <f t="shared" si="3"/>
        <v/>
      </c>
      <c r="D306" s="208"/>
      <c r="E306" s="194" t="str">
        <f>IFERROR(__xludf.DUMMYFUNCTION("IF(D306&lt;&gt;"""",SPLIT(D306,"" 
""),)"),"")</f>
        <v/>
      </c>
    </row>
    <row r="307">
      <c r="A307" s="26" t="str">
        <f t="shared" si="1"/>
        <v/>
      </c>
      <c r="B307" s="26" t="str">
        <f t="shared" si="2"/>
        <v/>
      </c>
      <c r="C307" s="207" t="str">
        <f t="shared" si="3"/>
        <v/>
      </c>
      <c r="D307" s="208"/>
      <c r="E307" s="194" t="str">
        <f>IFERROR(__xludf.DUMMYFUNCTION("IF(D307&lt;&gt;"""",SPLIT(D307,"" 
""),)"),"")</f>
        <v/>
      </c>
    </row>
    <row r="308">
      <c r="A308" s="26" t="str">
        <f t="shared" si="1"/>
        <v/>
      </c>
      <c r="B308" s="26" t="str">
        <f t="shared" si="2"/>
        <v/>
      </c>
      <c r="C308" s="207" t="str">
        <f t="shared" si="3"/>
        <v/>
      </c>
      <c r="D308" s="208"/>
      <c r="E308" s="194" t="str">
        <f>IFERROR(__xludf.DUMMYFUNCTION("IF(D308&lt;&gt;"""",SPLIT(D308,"" 
""),)"),"")</f>
        <v/>
      </c>
    </row>
    <row r="309">
      <c r="A309" s="26" t="str">
        <f t="shared" si="1"/>
        <v/>
      </c>
      <c r="B309" s="26" t="str">
        <f t="shared" si="2"/>
        <v/>
      </c>
      <c r="C309" s="207" t="str">
        <f t="shared" si="3"/>
        <v/>
      </c>
      <c r="D309" s="208"/>
      <c r="E309" s="194" t="str">
        <f>IFERROR(__xludf.DUMMYFUNCTION("IF(D309&lt;&gt;"""",SPLIT(D309,"" 
""),)"),"")</f>
        <v/>
      </c>
    </row>
    <row r="310">
      <c r="A310" s="26" t="str">
        <f t="shared" si="1"/>
        <v/>
      </c>
      <c r="B310" s="26" t="str">
        <f t="shared" si="2"/>
        <v/>
      </c>
      <c r="C310" s="207" t="str">
        <f t="shared" si="3"/>
        <v/>
      </c>
      <c r="D310" s="208"/>
      <c r="E310" s="194" t="str">
        <f>IFERROR(__xludf.DUMMYFUNCTION("IF(D310&lt;&gt;"""",SPLIT(D310,"" 
""),)"),"")</f>
        <v/>
      </c>
    </row>
    <row r="311">
      <c r="A311" s="26" t="str">
        <f t="shared" si="1"/>
        <v/>
      </c>
      <c r="B311" s="26" t="str">
        <f t="shared" si="2"/>
        <v/>
      </c>
      <c r="C311" s="207" t="str">
        <f t="shared" si="3"/>
        <v/>
      </c>
      <c r="D311" s="208"/>
      <c r="E311" s="194" t="str">
        <f>IFERROR(__xludf.DUMMYFUNCTION("IF(D311&lt;&gt;"""",SPLIT(D311,"" 
""),)"),"")</f>
        <v/>
      </c>
    </row>
    <row r="312">
      <c r="A312" s="26" t="str">
        <f t="shared" si="1"/>
        <v/>
      </c>
      <c r="B312" s="26" t="str">
        <f t="shared" si="2"/>
        <v/>
      </c>
      <c r="C312" s="207" t="str">
        <f t="shared" si="3"/>
        <v/>
      </c>
      <c r="D312" s="208"/>
      <c r="E312" s="194" t="str">
        <f>IFERROR(__xludf.DUMMYFUNCTION("IF(D312&lt;&gt;"""",SPLIT(D312,"" 
""),)"),"")</f>
        <v/>
      </c>
    </row>
    <row r="313">
      <c r="A313" s="26" t="str">
        <f t="shared" si="1"/>
        <v/>
      </c>
      <c r="B313" s="26" t="str">
        <f t="shared" si="2"/>
        <v/>
      </c>
      <c r="C313" s="207" t="str">
        <f t="shared" si="3"/>
        <v/>
      </c>
      <c r="D313" s="208"/>
      <c r="E313" s="194" t="str">
        <f>IFERROR(__xludf.DUMMYFUNCTION("IF(D313&lt;&gt;"""",SPLIT(D313,"" 
""),)"),"")</f>
        <v/>
      </c>
    </row>
    <row r="314">
      <c r="A314" s="26" t="str">
        <f t="shared" si="1"/>
        <v/>
      </c>
      <c r="B314" s="26" t="str">
        <f t="shared" si="2"/>
        <v/>
      </c>
      <c r="C314" s="207" t="str">
        <f t="shared" si="3"/>
        <v/>
      </c>
      <c r="D314" s="208"/>
      <c r="E314" s="194" t="str">
        <f>IFERROR(__xludf.DUMMYFUNCTION("IF(D314&lt;&gt;"""",SPLIT(D314,"" 
""),)"),"")</f>
        <v/>
      </c>
    </row>
    <row r="315">
      <c r="A315" s="26" t="str">
        <f t="shared" si="1"/>
        <v/>
      </c>
      <c r="B315" s="26" t="str">
        <f t="shared" si="2"/>
        <v/>
      </c>
      <c r="C315" s="207" t="str">
        <f t="shared" si="3"/>
        <v/>
      </c>
      <c r="D315" s="208"/>
      <c r="E315" s="194" t="str">
        <f>IFERROR(__xludf.DUMMYFUNCTION("IF(D315&lt;&gt;"""",SPLIT(D315,"" 
""),)"),"")</f>
        <v/>
      </c>
    </row>
    <row r="316">
      <c r="A316" s="26" t="str">
        <f t="shared" si="1"/>
        <v/>
      </c>
      <c r="B316" s="26" t="str">
        <f t="shared" si="2"/>
        <v/>
      </c>
      <c r="C316" s="207" t="str">
        <f t="shared" si="3"/>
        <v/>
      </c>
      <c r="D316" s="208"/>
      <c r="E316" s="194" t="str">
        <f>IFERROR(__xludf.DUMMYFUNCTION("IF(D316&lt;&gt;"""",SPLIT(D316,"" 
""),)"),"")</f>
        <v/>
      </c>
    </row>
    <row r="317">
      <c r="A317" s="26" t="str">
        <f t="shared" si="1"/>
        <v/>
      </c>
      <c r="B317" s="26" t="str">
        <f t="shared" si="2"/>
        <v/>
      </c>
      <c r="C317" s="207" t="str">
        <f t="shared" si="3"/>
        <v/>
      </c>
      <c r="D317" s="208"/>
      <c r="E317" s="194" t="str">
        <f>IFERROR(__xludf.DUMMYFUNCTION("IF(D317&lt;&gt;"""",SPLIT(D317,"" 
""),)"),"")</f>
        <v/>
      </c>
    </row>
    <row r="318">
      <c r="A318" s="26" t="str">
        <f t="shared" si="1"/>
        <v/>
      </c>
      <c r="B318" s="26" t="str">
        <f t="shared" si="2"/>
        <v/>
      </c>
      <c r="C318" s="207" t="str">
        <f t="shared" si="3"/>
        <v/>
      </c>
      <c r="D318" s="208"/>
      <c r="E318" s="194" t="str">
        <f>IFERROR(__xludf.DUMMYFUNCTION("IF(D318&lt;&gt;"""",SPLIT(D318,"" 
""),)"),"")</f>
        <v/>
      </c>
    </row>
    <row r="319">
      <c r="A319" s="26" t="str">
        <f t="shared" si="1"/>
        <v/>
      </c>
      <c r="B319" s="26" t="str">
        <f t="shared" si="2"/>
        <v/>
      </c>
      <c r="C319" s="207" t="str">
        <f t="shared" si="3"/>
        <v/>
      </c>
      <c r="D319" s="208"/>
      <c r="E319" s="194" t="str">
        <f>IFERROR(__xludf.DUMMYFUNCTION("IF(D319&lt;&gt;"""",SPLIT(D319,"" 
""),)"),"")</f>
        <v/>
      </c>
    </row>
    <row r="320">
      <c r="A320" s="26" t="str">
        <f t="shared" si="1"/>
        <v/>
      </c>
      <c r="B320" s="26" t="str">
        <f t="shared" si="2"/>
        <v/>
      </c>
      <c r="C320" s="207" t="str">
        <f t="shared" si="3"/>
        <v/>
      </c>
      <c r="D320" s="208"/>
      <c r="E320" s="194" t="str">
        <f>IFERROR(__xludf.DUMMYFUNCTION("IF(D320&lt;&gt;"""",SPLIT(D320,"" 
""),)"),"")</f>
        <v/>
      </c>
    </row>
    <row r="321">
      <c r="A321" s="26" t="str">
        <f t="shared" si="1"/>
        <v/>
      </c>
      <c r="B321" s="26" t="str">
        <f t="shared" si="2"/>
        <v/>
      </c>
      <c r="C321" s="207" t="str">
        <f t="shared" si="3"/>
        <v/>
      </c>
      <c r="D321" s="208"/>
      <c r="E321" s="194" t="str">
        <f>IFERROR(__xludf.DUMMYFUNCTION("IF(D321&lt;&gt;"""",SPLIT(D321,"" 
""),)"),"")</f>
        <v/>
      </c>
    </row>
    <row r="322">
      <c r="A322" s="26" t="str">
        <f t="shared" si="1"/>
        <v/>
      </c>
      <c r="B322" s="26" t="str">
        <f t="shared" si="2"/>
        <v/>
      </c>
      <c r="C322" s="207" t="str">
        <f t="shared" si="3"/>
        <v/>
      </c>
      <c r="D322" s="208"/>
      <c r="E322" s="194" t="str">
        <f>IFERROR(__xludf.DUMMYFUNCTION("IF(D322&lt;&gt;"""",SPLIT(D322,"" 
""),)"),"")</f>
        <v/>
      </c>
    </row>
    <row r="323">
      <c r="A323" s="26" t="str">
        <f t="shared" si="1"/>
        <v/>
      </c>
      <c r="B323" s="26" t="str">
        <f t="shared" si="2"/>
        <v/>
      </c>
      <c r="C323" s="207" t="str">
        <f t="shared" si="3"/>
        <v/>
      </c>
      <c r="D323" s="208"/>
      <c r="E323" s="194" t="str">
        <f>IFERROR(__xludf.DUMMYFUNCTION("IF(D323&lt;&gt;"""",SPLIT(D323,"" 
""),)"),"")</f>
        <v/>
      </c>
    </row>
    <row r="324">
      <c r="A324" s="26" t="str">
        <f t="shared" si="1"/>
        <v/>
      </c>
      <c r="B324" s="26" t="str">
        <f t="shared" si="2"/>
        <v/>
      </c>
      <c r="C324" s="207" t="str">
        <f t="shared" si="3"/>
        <v/>
      </c>
      <c r="D324" s="208"/>
      <c r="E324" s="194" t="str">
        <f>IFERROR(__xludf.DUMMYFUNCTION("IF(D324&lt;&gt;"""",SPLIT(D324,"" 
""),)"),"")</f>
        <v/>
      </c>
    </row>
    <row r="325">
      <c r="A325" s="26" t="str">
        <f t="shared" si="1"/>
        <v/>
      </c>
      <c r="B325" s="26" t="str">
        <f t="shared" si="2"/>
        <v/>
      </c>
      <c r="C325" s="207" t="str">
        <f t="shared" si="3"/>
        <v/>
      </c>
      <c r="D325" s="208"/>
      <c r="E325" s="194" t="str">
        <f>IFERROR(__xludf.DUMMYFUNCTION("IF(D325&lt;&gt;"""",SPLIT(D325,"" 
""),)"),"")</f>
        <v/>
      </c>
    </row>
    <row r="326">
      <c r="A326" s="26" t="str">
        <f t="shared" si="1"/>
        <v/>
      </c>
      <c r="B326" s="26" t="str">
        <f t="shared" si="2"/>
        <v/>
      </c>
      <c r="C326" s="207" t="str">
        <f t="shared" si="3"/>
        <v/>
      </c>
      <c r="D326" s="208"/>
      <c r="E326" s="194" t="str">
        <f>IFERROR(__xludf.DUMMYFUNCTION("IF(D326&lt;&gt;"""",SPLIT(D326,"" 
""),)"),"")</f>
        <v/>
      </c>
    </row>
    <row r="327">
      <c r="A327" s="26" t="str">
        <f t="shared" si="1"/>
        <v/>
      </c>
      <c r="B327" s="26" t="str">
        <f t="shared" si="2"/>
        <v/>
      </c>
      <c r="C327" s="207" t="str">
        <f t="shared" si="3"/>
        <v/>
      </c>
      <c r="D327" s="208"/>
      <c r="E327" s="194" t="str">
        <f>IFERROR(__xludf.DUMMYFUNCTION("IF(D327&lt;&gt;"""",SPLIT(D327,"" 
""),)"),"")</f>
        <v/>
      </c>
    </row>
    <row r="328">
      <c r="A328" s="26" t="str">
        <f t="shared" si="1"/>
        <v/>
      </c>
      <c r="B328" s="26" t="str">
        <f t="shared" si="2"/>
        <v/>
      </c>
      <c r="C328" s="207" t="str">
        <f t="shared" si="3"/>
        <v/>
      </c>
      <c r="D328" s="208"/>
      <c r="E328" s="194" t="str">
        <f>IFERROR(__xludf.DUMMYFUNCTION("IF(D328&lt;&gt;"""",SPLIT(D328,"" 
""),)"),"")</f>
        <v/>
      </c>
    </row>
    <row r="329">
      <c r="A329" s="26" t="str">
        <f t="shared" si="1"/>
        <v/>
      </c>
      <c r="B329" s="26" t="str">
        <f t="shared" si="2"/>
        <v/>
      </c>
      <c r="C329" s="207" t="str">
        <f t="shared" si="3"/>
        <v/>
      </c>
      <c r="D329" s="208"/>
      <c r="E329" s="194" t="str">
        <f>IFERROR(__xludf.DUMMYFUNCTION("IF(D329&lt;&gt;"""",SPLIT(D329,"" 
""),)"),"")</f>
        <v/>
      </c>
    </row>
    <row r="330">
      <c r="A330" s="26" t="str">
        <f t="shared" si="1"/>
        <v/>
      </c>
      <c r="B330" s="26" t="str">
        <f t="shared" si="2"/>
        <v/>
      </c>
      <c r="C330" s="207" t="str">
        <f t="shared" si="3"/>
        <v/>
      </c>
      <c r="D330" s="208"/>
      <c r="E330" s="194" t="str">
        <f>IFERROR(__xludf.DUMMYFUNCTION("IF(D330&lt;&gt;"""",SPLIT(D330,"" 
""),)"),"")</f>
        <v/>
      </c>
    </row>
    <row r="331">
      <c r="A331" s="26" t="str">
        <f t="shared" si="1"/>
        <v/>
      </c>
      <c r="B331" s="26" t="str">
        <f t="shared" si="2"/>
        <v/>
      </c>
      <c r="C331" s="207" t="str">
        <f t="shared" si="3"/>
        <v/>
      </c>
      <c r="D331" s="208"/>
      <c r="E331" s="194" t="str">
        <f>IFERROR(__xludf.DUMMYFUNCTION("IF(D331&lt;&gt;"""",SPLIT(D331,"" 
""),)"),"")</f>
        <v/>
      </c>
    </row>
    <row r="332">
      <c r="A332" s="26" t="str">
        <f t="shared" si="1"/>
        <v/>
      </c>
      <c r="B332" s="26" t="str">
        <f t="shared" si="2"/>
        <v/>
      </c>
      <c r="C332" s="207" t="str">
        <f t="shared" si="3"/>
        <v/>
      </c>
      <c r="D332" s="208"/>
      <c r="E332" s="194" t="str">
        <f>IFERROR(__xludf.DUMMYFUNCTION("IF(D332&lt;&gt;"""",SPLIT(D332,"" 
""),)"),"")</f>
        <v/>
      </c>
    </row>
    <row r="333">
      <c r="A333" s="26" t="str">
        <f t="shared" si="1"/>
        <v/>
      </c>
      <c r="B333" s="26" t="str">
        <f t="shared" si="2"/>
        <v/>
      </c>
      <c r="C333" s="207" t="str">
        <f t="shared" si="3"/>
        <v/>
      </c>
      <c r="D333" s="208"/>
      <c r="E333" s="194" t="str">
        <f>IFERROR(__xludf.DUMMYFUNCTION("IF(D333&lt;&gt;"""",SPLIT(D333,"" 
""),)"),"")</f>
        <v/>
      </c>
    </row>
    <row r="334">
      <c r="A334" s="26" t="str">
        <f t="shared" si="1"/>
        <v/>
      </c>
      <c r="B334" s="26" t="str">
        <f t="shared" si="2"/>
        <v/>
      </c>
      <c r="C334" s="207" t="str">
        <f t="shared" si="3"/>
        <v/>
      </c>
      <c r="D334" s="208"/>
      <c r="E334" s="194" t="str">
        <f>IFERROR(__xludf.DUMMYFUNCTION("IF(D334&lt;&gt;"""",SPLIT(D334,"" 
""),)"),"")</f>
        <v/>
      </c>
    </row>
    <row r="335">
      <c r="A335" s="26" t="str">
        <f t="shared" si="1"/>
        <v/>
      </c>
      <c r="B335" s="26" t="str">
        <f t="shared" si="2"/>
        <v/>
      </c>
      <c r="C335" s="207" t="str">
        <f t="shared" si="3"/>
        <v/>
      </c>
      <c r="D335" s="208"/>
      <c r="E335" s="194" t="str">
        <f>IFERROR(__xludf.DUMMYFUNCTION("IF(D335&lt;&gt;"""",SPLIT(D335,"" 
""),)"),"")</f>
        <v/>
      </c>
    </row>
    <row r="336">
      <c r="A336" s="26" t="str">
        <f t="shared" si="1"/>
        <v/>
      </c>
      <c r="B336" s="26" t="str">
        <f t="shared" si="2"/>
        <v/>
      </c>
      <c r="C336" s="207" t="str">
        <f t="shared" si="3"/>
        <v/>
      </c>
      <c r="D336" s="208"/>
      <c r="E336" s="194" t="str">
        <f>IFERROR(__xludf.DUMMYFUNCTION("IF(D336&lt;&gt;"""",SPLIT(D336,"" 
""),)"),"")</f>
        <v/>
      </c>
    </row>
    <row r="337">
      <c r="A337" s="26" t="str">
        <f t="shared" si="1"/>
        <v/>
      </c>
      <c r="B337" s="26" t="str">
        <f t="shared" si="2"/>
        <v/>
      </c>
      <c r="C337" s="207" t="str">
        <f t="shared" si="3"/>
        <v/>
      </c>
      <c r="D337" s="208"/>
      <c r="E337" s="194" t="str">
        <f>IFERROR(__xludf.DUMMYFUNCTION("IF(D337&lt;&gt;"""",SPLIT(D337,"" 
""),)"),"")</f>
        <v/>
      </c>
    </row>
    <row r="338">
      <c r="A338" s="26" t="str">
        <f t="shared" si="1"/>
        <v/>
      </c>
      <c r="B338" s="26" t="str">
        <f t="shared" si="2"/>
        <v/>
      </c>
      <c r="C338" s="207" t="str">
        <f t="shared" si="3"/>
        <v/>
      </c>
      <c r="D338" s="208"/>
      <c r="E338" s="194" t="str">
        <f>IFERROR(__xludf.DUMMYFUNCTION("IF(D338&lt;&gt;"""",SPLIT(D338,"" 
""),)"),"")</f>
        <v/>
      </c>
    </row>
    <row r="339">
      <c r="A339" s="26" t="str">
        <f t="shared" si="1"/>
        <v/>
      </c>
      <c r="B339" s="26" t="str">
        <f t="shared" si="2"/>
        <v/>
      </c>
      <c r="C339" s="207" t="str">
        <f t="shared" si="3"/>
        <v/>
      </c>
      <c r="D339" s="208"/>
      <c r="E339" s="194" t="str">
        <f>IFERROR(__xludf.DUMMYFUNCTION("IF(D339&lt;&gt;"""",SPLIT(D339,"" 
""),)"),"")</f>
        <v/>
      </c>
    </row>
    <row r="340">
      <c r="A340" s="26" t="str">
        <f t="shared" si="1"/>
        <v/>
      </c>
      <c r="B340" s="26" t="str">
        <f t="shared" si="2"/>
        <v/>
      </c>
      <c r="C340" s="207" t="str">
        <f t="shared" si="3"/>
        <v/>
      </c>
      <c r="D340" s="208"/>
      <c r="E340" s="194" t="str">
        <f>IFERROR(__xludf.DUMMYFUNCTION("IF(D340&lt;&gt;"""",SPLIT(D340,"" 
""),)"),"")</f>
        <v/>
      </c>
    </row>
    <row r="341">
      <c r="A341" s="26" t="str">
        <f t="shared" si="1"/>
        <v/>
      </c>
      <c r="B341" s="26" t="str">
        <f t="shared" si="2"/>
        <v/>
      </c>
      <c r="C341" s="207" t="str">
        <f t="shared" si="3"/>
        <v/>
      </c>
      <c r="D341" s="208"/>
      <c r="E341" s="194" t="str">
        <f>IFERROR(__xludf.DUMMYFUNCTION("IF(D341&lt;&gt;"""",SPLIT(D341,"" 
""),)"),"")</f>
        <v/>
      </c>
    </row>
    <row r="342">
      <c r="A342" s="26" t="str">
        <f t="shared" si="1"/>
        <v/>
      </c>
      <c r="B342" s="26" t="str">
        <f t="shared" si="2"/>
        <v/>
      </c>
      <c r="C342" s="207" t="str">
        <f t="shared" si="3"/>
        <v/>
      </c>
      <c r="D342" s="208"/>
      <c r="E342" s="194" t="str">
        <f>IFERROR(__xludf.DUMMYFUNCTION("IF(D342&lt;&gt;"""",SPLIT(D342,"" 
""),)"),"")</f>
        <v/>
      </c>
    </row>
    <row r="343">
      <c r="A343" s="26" t="str">
        <f t="shared" si="1"/>
        <v/>
      </c>
      <c r="B343" s="26" t="str">
        <f t="shared" si="2"/>
        <v/>
      </c>
      <c r="C343" s="207" t="str">
        <f t="shared" si="3"/>
        <v/>
      </c>
      <c r="D343" s="208"/>
      <c r="E343" s="194" t="str">
        <f>IFERROR(__xludf.DUMMYFUNCTION("IF(D343&lt;&gt;"""",SPLIT(D343,"" 
""),)"),"")</f>
        <v/>
      </c>
    </row>
    <row r="344">
      <c r="A344" s="26" t="str">
        <f t="shared" si="1"/>
        <v/>
      </c>
      <c r="B344" s="26" t="str">
        <f t="shared" si="2"/>
        <v/>
      </c>
      <c r="C344" s="207" t="str">
        <f t="shared" si="3"/>
        <v/>
      </c>
      <c r="D344" s="208"/>
      <c r="E344" s="194" t="str">
        <f>IFERROR(__xludf.DUMMYFUNCTION("IF(D344&lt;&gt;"""",SPLIT(D344,"" 
""),)"),"")</f>
        <v/>
      </c>
    </row>
    <row r="345">
      <c r="A345" s="26" t="str">
        <f t="shared" si="1"/>
        <v/>
      </c>
      <c r="B345" s="26" t="str">
        <f t="shared" si="2"/>
        <v/>
      </c>
      <c r="C345" s="207" t="str">
        <f t="shared" si="3"/>
        <v/>
      </c>
      <c r="D345" s="208"/>
      <c r="E345" s="194" t="str">
        <f>IFERROR(__xludf.DUMMYFUNCTION("IF(D345&lt;&gt;"""",SPLIT(D345,"" 
""),)"),"")</f>
        <v/>
      </c>
    </row>
    <row r="346">
      <c r="A346" s="26" t="str">
        <f t="shared" si="1"/>
        <v/>
      </c>
      <c r="B346" s="26" t="str">
        <f t="shared" si="2"/>
        <v/>
      </c>
      <c r="C346" s="207" t="str">
        <f t="shared" si="3"/>
        <v/>
      </c>
      <c r="D346" s="208"/>
      <c r="E346" s="194" t="str">
        <f>IFERROR(__xludf.DUMMYFUNCTION("IF(D346&lt;&gt;"""",SPLIT(D346,"" 
""),)"),"")</f>
        <v/>
      </c>
    </row>
    <row r="347">
      <c r="A347" s="26" t="str">
        <f t="shared" si="1"/>
        <v/>
      </c>
      <c r="B347" s="26" t="str">
        <f t="shared" si="2"/>
        <v/>
      </c>
      <c r="C347" s="207" t="str">
        <f t="shared" si="3"/>
        <v/>
      </c>
      <c r="D347" s="208"/>
      <c r="E347" s="194" t="str">
        <f>IFERROR(__xludf.DUMMYFUNCTION("IF(D347&lt;&gt;"""",SPLIT(D347,"" 
""),)"),"")</f>
        <v/>
      </c>
    </row>
    <row r="348">
      <c r="A348" s="26" t="str">
        <f t="shared" si="1"/>
        <v/>
      </c>
      <c r="B348" s="26" t="str">
        <f t="shared" si="2"/>
        <v/>
      </c>
      <c r="C348" s="207" t="str">
        <f t="shared" si="3"/>
        <v/>
      </c>
      <c r="D348" s="208"/>
      <c r="E348" s="194" t="str">
        <f>IFERROR(__xludf.DUMMYFUNCTION("IF(D348&lt;&gt;"""",SPLIT(D348,"" 
""),)"),"")</f>
        <v/>
      </c>
    </row>
    <row r="349">
      <c r="A349" s="26" t="str">
        <f t="shared" si="1"/>
        <v/>
      </c>
      <c r="B349" s="26" t="str">
        <f t="shared" si="2"/>
        <v/>
      </c>
      <c r="C349" s="207" t="str">
        <f t="shared" si="3"/>
        <v/>
      </c>
      <c r="D349" s="208"/>
      <c r="E349" s="194" t="str">
        <f>IFERROR(__xludf.DUMMYFUNCTION("IF(D349&lt;&gt;"""",SPLIT(D349,"" 
""),)"),"")</f>
        <v/>
      </c>
    </row>
    <row r="350">
      <c r="A350" s="26" t="str">
        <f t="shared" si="1"/>
        <v/>
      </c>
      <c r="B350" s="26" t="str">
        <f t="shared" si="2"/>
        <v/>
      </c>
      <c r="C350" s="207" t="str">
        <f t="shared" si="3"/>
        <v/>
      </c>
      <c r="D350" s="208"/>
      <c r="E350" s="194" t="str">
        <f>IFERROR(__xludf.DUMMYFUNCTION("IF(D350&lt;&gt;"""",SPLIT(D350,"" 
""),)"),"")</f>
        <v/>
      </c>
    </row>
    <row r="351">
      <c r="A351" s="26" t="str">
        <f t="shared" si="1"/>
        <v/>
      </c>
      <c r="B351" s="26" t="str">
        <f t="shared" si="2"/>
        <v/>
      </c>
      <c r="C351" s="207" t="str">
        <f t="shared" si="3"/>
        <v/>
      </c>
      <c r="D351" s="208"/>
      <c r="E351" s="194" t="str">
        <f>IFERROR(__xludf.DUMMYFUNCTION("IF(D351&lt;&gt;"""",SPLIT(D351,"" 
""),)"),"")</f>
        <v/>
      </c>
    </row>
    <row r="352">
      <c r="A352" s="26" t="str">
        <f t="shared" si="1"/>
        <v/>
      </c>
      <c r="B352" s="26" t="str">
        <f t="shared" si="2"/>
        <v/>
      </c>
      <c r="C352" s="207" t="str">
        <f t="shared" si="3"/>
        <v/>
      </c>
      <c r="D352" s="208"/>
      <c r="E352" s="194" t="str">
        <f>IFERROR(__xludf.DUMMYFUNCTION("IF(D352&lt;&gt;"""",SPLIT(D352,"" 
""),)"),"")</f>
        <v/>
      </c>
    </row>
    <row r="353">
      <c r="A353" s="26" t="str">
        <f t="shared" si="1"/>
        <v/>
      </c>
      <c r="B353" s="26" t="str">
        <f t="shared" si="2"/>
        <v/>
      </c>
      <c r="C353" s="207" t="str">
        <f t="shared" si="3"/>
        <v/>
      </c>
      <c r="D353" s="208"/>
      <c r="E353" s="194" t="str">
        <f>IFERROR(__xludf.DUMMYFUNCTION("IF(D353&lt;&gt;"""",SPLIT(D353,"" 
""),)"),"")</f>
        <v/>
      </c>
    </row>
    <row r="354">
      <c r="A354" s="26" t="str">
        <f t="shared" si="1"/>
        <v/>
      </c>
      <c r="B354" s="26" t="str">
        <f t="shared" si="2"/>
        <v/>
      </c>
      <c r="C354" s="207" t="str">
        <f t="shared" si="3"/>
        <v/>
      </c>
      <c r="D354" s="208"/>
      <c r="E354" s="194" t="str">
        <f>IFERROR(__xludf.DUMMYFUNCTION("IF(D354&lt;&gt;"""",SPLIT(D354,"" 
""),)"),"")</f>
        <v/>
      </c>
    </row>
    <row r="355">
      <c r="A355" s="26" t="str">
        <f t="shared" si="1"/>
        <v/>
      </c>
      <c r="B355" s="26" t="str">
        <f t="shared" si="2"/>
        <v/>
      </c>
      <c r="C355" s="207" t="str">
        <f t="shared" si="3"/>
        <v/>
      </c>
      <c r="D355" s="208"/>
      <c r="E355" s="194" t="str">
        <f>IFERROR(__xludf.DUMMYFUNCTION("IF(D355&lt;&gt;"""",SPLIT(D355,"" 
""),)"),"")</f>
        <v/>
      </c>
    </row>
    <row r="356">
      <c r="A356" s="26" t="str">
        <f t="shared" si="1"/>
        <v/>
      </c>
      <c r="B356" s="26" t="str">
        <f t="shared" si="2"/>
        <v/>
      </c>
      <c r="C356" s="207" t="str">
        <f t="shared" si="3"/>
        <v/>
      </c>
      <c r="D356" s="208"/>
      <c r="E356" s="194" t="str">
        <f>IFERROR(__xludf.DUMMYFUNCTION("IF(D356&lt;&gt;"""",SPLIT(D356,"" 
""),)"),"")</f>
        <v/>
      </c>
    </row>
    <row r="357">
      <c r="A357" s="26" t="str">
        <f t="shared" si="1"/>
        <v/>
      </c>
      <c r="B357" s="26" t="str">
        <f t="shared" si="2"/>
        <v/>
      </c>
      <c r="C357" s="207" t="str">
        <f t="shared" si="3"/>
        <v/>
      </c>
      <c r="D357" s="208"/>
      <c r="E357" s="194" t="str">
        <f>IFERROR(__xludf.DUMMYFUNCTION("IF(D357&lt;&gt;"""",SPLIT(D357,"" 
""),)"),"")</f>
        <v/>
      </c>
    </row>
    <row r="358">
      <c r="A358" s="26" t="str">
        <f t="shared" si="1"/>
        <v/>
      </c>
      <c r="B358" s="26" t="str">
        <f t="shared" si="2"/>
        <v/>
      </c>
      <c r="C358" s="207" t="str">
        <f t="shared" si="3"/>
        <v/>
      </c>
      <c r="D358" s="208"/>
      <c r="E358" s="194" t="str">
        <f>IFERROR(__xludf.DUMMYFUNCTION("IF(D358&lt;&gt;"""",SPLIT(D358,"" 
""),)"),"")</f>
        <v/>
      </c>
    </row>
    <row r="359">
      <c r="A359" s="26" t="str">
        <f t="shared" si="1"/>
        <v/>
      </c>
      <c r="B359" s="26" t="str">
        <f t="shared" si="2"/>
        <v/>
      </c>
      <c r="C359" s="207" t="str">
        <f t="shared" si="3"/>
        <v/>
      </c>
      <c r="D359" s="208"/>
      <c r="E359" s="194" t="str">
        <f>IFERROR(__xludf.DUMMYFUNCTION("IF(D359&lt;&gt;"""",SPLIT(D359,"" 
""),)"),"")</f>
        <v/>
      </c>
    </row>
    <row r="360">
      <c r="A360" s="26" t="str">
        <f t="shared" si="1"/>
        <v/>
      </c>
      <c r="B360" s="26" t="str">
        <f t="shared" si="2"/>
        <v/>
      </c>
      <c r="C360" s="207" t="str">
        <f t="shared" si="3"/>
        <v/>
      </c>
      <c r="D360" s="208"/>
      <c r="E360" s="194" t="str">
        <f>IFERROR(__xludf.DUMMYFUNCTION("IF(D360&lt;&gt;"""",SPLIT(D360,"" 
""),)"),"")</f>
        <v/>
      </c>
    </row>
    <row r="361">
      <c r="A361" s="26" t="str">
        <f t="shared" si="1"/>
        <v/>
      </c>
      <c r="B361" s="26" t="str">
        <f t="shared" si="2"/>
        <v/>
      </c>
      <c r="C361" s="207" t="str">
        <f t="shared" si="3"/>
        <v/>
      </c>
      <c r="D361" s="208"/>
      <c r="E361" s="194" t="str">
        <f>IFERROR(__xludf.DUMMYFUNCTION("IF(D361&lt;&gt;"""",SPLIT(D361,"" 
""),)"),"")</f>
        <v/>
      </c>
    </row>
    <row r="362">
      <c r="A362" s="26" t="str">
        <f t="shared" si="1"/>
        <v/>
      </c>
      <c r="B362" s="26" t="str">
        <f t="shared" si="2"/>
        <v/>
      </c>
      <c r="C362" s="207" t="str">
        <f t="shared" si="3"/>
        <v/>
      </c>
      <c r="D362" s="208"/>
      <c r="E362" s="194" t="str">
        <f>IFERROR(__xludf.DUMMYFUNCTION("IF(D362&lt;&gt;"""",SPLIT(D362,"" 
""),)"),"")</f>
        <v/>
      </c>
    </row>
    <row r="363">
      <c r="A363" s="26" t="str">
        <f t="shared" si="1"/>
        <v/>
      </c>
      <c r="B363" s="26" t="str">
        <f t="shared" si="2"/>
        <v/>
      </c>
      <c r="C363" s="207" t="str">
        <f t="shared" si="3"/>
        <v/>
      </c>
      <c r="D363" s="208"/>
      <c r="E363" s="194" t="str">
        <f>IFERROR(__xludf.DUMMYFUNCTION("IF(D363&lt;&gt;"""",SPLIT(D363,"" 
""),)"),"")</f>
        <v/>
      </c>
    </row>
    <row r="364">
      <c r="A364" s="26" t="str">
        <f t="shared" si="1"/>
        <v/>
      </c>
      <c r="B364" s="26" t="str">
        <f t="shared" si="2"/>
        <v/>
      </c>
      <c r="C364" s="207" t="str">
        <f t="shared" si="3"/>
        <v/>
      </c>
      <c r="D364" s="208"/>
      <c r="E364" s="194" t="str">
        <f>IFERROR(__xludf.DUMMYFUNCTION("IF(D364&lt;&gt;"""",SPLIT(D364,"" 
""),)"),"")</f>
        <v/>
      </c>
    </row>
    <row r="365">
      <c r="A365" s="26" t="str">
        <f t="shared" si="1"/>
        <v/>
      </c>
      <c r="B365" s="26" t="str">
        <f t="shared" si="2"/>
        <v/>
      </c>
      <c r="C365" s="207" t="str">
        <f t="shared" si="3"/>
        <v/>
      </c>
      <c r="D365" s="208"/>
      <c r="E365" s="194" t="str">
        <f>IFERROR(__xludf.DUMMYFUNCTION("IF(D365&lt;&gt;"""",SPLIT(D365,"" 
""),)"),"")</f>
        <v/>
      </c>
    </row>
    <row r="366">
      <c r="A366" s="26" t="str">
        <f t="shared" si="1"/>
        <v/>
      </c>
      <c r="B366" s="26" t="str">
        <f t="shared" si="2"/>
        <v/>
      </c>
      <c r="C366" s="207" t="str">
        <f t="shared" si="3"/>
        <v/>
      </c>
      <c r="D366" s="208"/>
      <c r="E366" s="194" t="str">
        <f>IFERROR(__xludf.DUMMYFUNCTION("IF(D366&lt;&gt;"""",SPLIT(D366,"" 
""),)"),"")</f>
        <v/>
      </c>
    </row>
    <row r="367">
      <c r="A367" s="26" t="str">
        <f t="shared" si="1"/>
        <v/>
      </c>
      <c r="B367" s="26" t="str">
        <f t="shared" si="2"/>
        <v/>
      </c>
      <c r="C367" s="207" t="str">
        <f t="shared" si="3"/>
        <v/>
      </c>
      <c r="D367" s="208"/>
      <c r="E367" s="194" t="str">
        <f>IFERROR(__xludf.DUMMYFUNCTION("IF(D367&lt;&gt;"""",SPLIT(D367,"" 
""),)"),"")</f>
        <v/>
      </c>
    </row>
    <row r="368">
      <c r="A368" s="26" t="str">
        <f t="shared" si="1"/>
        <v/>
      </c>
      <c r="B368" s="26" t="str">
        <f t="shared" si="2"/>
        <v/>
      </c>
      <c r="C368" s="207" t="str">
        <f t="shared" si="3"/>
        <v/>
      </c>
      <c r="D368" s="208"/>
      <c r="E368" s="194" t="str">
        <f>IFERROR(__xludf.DUMMYFUNCTION("IF(D368&lt;&gt;"""",SPLIT(D368,"" 
""),)"),"")</f>
        <v/>
      </c>
    </row>
    <row r="369">
      <c r="A369" s="26" t="str">
        <f t="shared" si="1"/>
        <v/>
      </c>
      <c r="B369" s="26" t="str">
        <f t="shared" si="2"/>
        <v/>
      </c>
      <c r="C369" s="207" t="str">
        <f t="shared" si="3"/>
        <v/>
      </c>
      <c r="D369" s="208"/>
      <c r="E369" s="194" t="str">
        <f>IFERROR(__xludf.DUMMYFUNCTION("IF(D369&lt;&gt;"""",SPLIT(D369,"" 
""),)"),"")</f>
        <v/>
      </c>
    </row>
    <row r="370">
      <c r="A370" s="26" t="str">
        <f t="shared" si="1"/>
        <v/>
      </c>
      <c r="B370" s="26" t="str">
        <f t="shared" si="2"/>
        <v/>
      </c>
      <c r="C370" s="207" t="str">
        <f t="shared" si="3"/>
        <v/>
      </c>
      <c r="D370" s="208"/>
      <c r="E370" s="194" t="str">
        <f>IFERROR(__xludf.DUMMYFUNCTION("IF(D370&lt;&gt;"""",SPLIT(D370,"" 
""),)"),"")</f>
        <v/>
      </c>
    </row>
    <row r="371">
      <c r="A371" s="26" t="str">
        <f t="shared" si="1"/>
        <v/>
      </c>
      <c r="B371" s="26" t="str">
        <f t="shared" si="2"/>
        <v/>
      </c>
      <c r="C371" s="207" t="str">
        <f t="shared" si="3"/>
        <v/>
      </c>
      <c r="D371" s="208"/>
      <c r="E371" s="194" t="str">
        <f>IFERROR(__xludf.DUMMYFUNCTION("IF(D371&lt;&gt;"""",SPLIT(D371,"" 
""),)"),"")</f>
        <v/>
      </c>
    </row>
    <row r="372">
      <c r="A372" s="26" t="str">
        <f t="shared" si="1"/>
        <v/>
      </c>
      <c r="B372" s="26" t="str">
        <f t="shared" si="2"/>
        <v/>
      </c>
      <c r="C372" s="207" t="str">
        <f t="shared" si="3"/>
        <v/>
      </c>
      <c r="D372" s="208"/>
      <c r="E372" s="194" t="str">
        <f>IFERROR(__xludf.DUMMYFUNCTION("IF(D372&lt;&gt;"""",SPLIT(D372,"" 
""),)"),"")</f>
        <v/>
      </c>
    </row>
    <row r="373">
      <c r="A373" s="26" t="str">
        <f t="shared" si="1"/>
        <v/>
      </c>
      <c r="B373" s="26" t="str">
        <f t="shared" si="2"/>
        <v/>
      </c>
      <c r="C373" s="207" t="str">
        <f t="shared" si="3"/>
        <v/>
      </c>
      <c r="D373" s="208"/>
      <c r="E373" s="194" t="str">
        <f>IFERROR(__xludf.DUMMYFUNCTION("IF(D373&lt;&gt;"""",SPLIT(D373,"" 
""),)"),"")</f>
        <v/>
      </c>
    </row>
    <row r="374">
      <c r="A374" s="26" t="str">
        <f t="shared" si="1"/>
        <v/>
      </c>
      <c r="B374" s="26" t="str">
        <f t="shared" si="2"/>
        <v/>
      </c>
      <c r="C374" s="207" t="str">
        <f t="shared" si="3"/>
        <v/>
      </c>
      <c r="D374" s="208"/>
      <c r="E374" s="194" t="str">
        <f>IFERROR(__xludf.DUMMYFUNCTION("IF(D374&lt;&gt;"""",SPLIT(D374,"" 
""),)"),"")</f>
        <v/>
      </c>
    </row>
    <row r="375">
      <c r="A375" s="26" t="str">
        <f t="shared" si="1"/>
        <v/>
      </c>
      <c r="B375" s="26" t="str">
        <f t="shared" si="2"/>
        <v/>
      </c>
      <c r="C375" s="207" t="str">
        <f t="shared" si="3"/>
        <v/>
      </c>
      <c r="D375" s="208"/>
      <c r="E375" s="194" t="str">
        <f>IFERROR(__xludf.DUMMYFUNCTION("IF(D375&lt;&gt;"""",SPLIT(D375,"" 
""),)"),"")</f>
        <v/>
      </c>
    </row>
    <row r="376">
      <c r="A376" s="26" t="str">
        <f t="shared" si="1"/>
        <v/>
      </c>
      <c r="B376" s="26" t="str">
        <f t="shared" si="2"/>
        <v/>
      </c>
      <c r="C376" s="207" t="str">
        <f t="shared" si="3"/>
        <v/>
      </c>
      <c r="D376" s="208"/>
      <c r="E376" s="194" t="str">
        <f>IFERROR(__xludf.DUMMYFUNCTION("IF(D376&lt;&gt;"""",SPLIT(D376,"" 
""),)"),"")</f>
        <v/>
      </c>
    </row>
    <row r="377">
      <c r="A377" s="26" t="str">
        <f t="shared" si="1"/>
        <v/>
      </c>
      <c r="B377" s="26" t="str">
        <f t="shared" si="2"/>
        <v/>
      </c>
      <c r="C377" s="207" t="str">
        <f t="shared" si="3"/>
        <v/>
      </c>
      <c r="D377" s="208"/>
      <c r="E377" s="194" t="str">
        <f>IFERROR(__xludf.DUMMYFUNCTION("IF(D377&lt;&gt;"""",SPLIT(D377,"" 
""),)"),"")</f>
        <v/>
      </c>
    </row>
    <row r="378">
      <c r="A378" s="26" t="str">
        <f t="shared" si="1"/>
        <v/>
      </c>
      <c r="B378" s="26" t="str">
        <f t="shared" si="2"/>
        <v/>
      </c>
      <c r="C378" s="207" t="str">
        <f t="shared" si="3"/>
        <v/>
      </c>
      <c r="D378" s="208"/>
      <c r="E378" s="194" t="str">
        <f>IFERROR(__xludf.DUMMYFUNCTION("IF(D378&lt;&gt;"""",SPLIT(D378,"" 
""),)"),"")</f>
        <v/>
      </c>
    </row>
    <row r="379">
      <c r="A379" s="26" t="str">
        <f t="shared" si="1"/>
        <v/>
      </c>
      <c r="B379" s="26" t="str">
        <f t="shared" si="2"/>
        <v/>
      </c>
      <c r="C379" s="207" t="str">
        <f t="shared" si="3"/>
        <v/>
      </c>
      <c r="D379" s="208"/>
      <c r="E379" s="194" t="str">
        <f>IFERROR(__xludf.DUMMYFUNCTION("IF(D379&lt;&gt;"""",SPLIT(D379,"" 
""),)"),"")</f>
        <v/>
      </c>
    </row>
    <row r="380">
      <c r="A380" s="26" t="str">
        <f t="shared" si="1"/>
        <v/>
      </c>
      <c r="B380" s="26" t="str">
        <f t="shared" si="2"/>
        <v/>
      </c>
      <c r="C380" s="207" t="str">
        <f t="shared" si="3"/>
        <v/>
      </c>
      <c r="D380" s="208"/>
      <c r="E380" s="194" t="str">
        <f>IFERROR(__xludf.DUMMYFUNCTION("IF(D380&lt;&gt;"""",SPLIT(D380,"" 
""),)"),"")</f>
        <v/>
      </c>
    </row>
    <row r="381">
      <c r="A381" s="26" t="str">
        <f t="shared" si="1"/>
        <v/>
      </c>
      <c r="B381" s="26" t="str">
        <f t="shared" si="2"/>
        <v/>
      </c>
      <c r="C381" s="207" t="str">
        <f t="shared" si="3"/>
        <v/>
      </c>
      <c r="D381" s="208"/>
      <c r="E381" s="194" t="str">
        <f>IFERROR(__xludf.DUMMYFUNCTION("IF(D381&lt;&gt;"""",SPLIT(D381,"" 
""),)"),"")</f>
        <v/>
      </c>
    </row>
    <row r="382">
      <c r="A382" s="26" t="str">
        <f t="shared" si="1"/>
        <v/>
      </c>
      <c r="B382" s="26" t="str">
        <f t="shared" si="2"/>
        <v/>
      </c>
      <c r="C382" s="207" t="str">
        <f t="shared" si="3"/>
        <v/>
      </c>
      <c r="D382" s="208"/>
      <c r="E382" s="194" t="str">
        <f>IFERROR(__xludf.DUMMYFUNCTION("IF(D382&lt;&gt;"""",SPLIT(D382,"" 
""),)"),"")</f>
        <v/>
      </c>
    </row>
    <row r="383">
      <c r="A383" s="26" t="str">
        <f t="shared" si="1"/>
        <v/>
      </c>
      <c r="B383" s="26" t="str">
        <f t="shared" si="2"/>
        <v/>
      </c>
      <c r="C383" s="207" t="str">
        <f t="shared" si="3"/>
        <v/>
      </c>
      <c r="D383" s="208"/>
      <c r="E383" s="194" t="str">
        <f>IFERROR(__xludf.DUMMYFUNCTION("IF(D383&lt;&gt;"""",SPLIT(D383,"" 
""),)"),"")</f>
        <v/>
      </c>
    </row>
    <row r="384">
      <c r="A384" s="26" t="str">
        <f t="shared" si="1"/>
        <v/>
      </c>
      <c r="B384" s="26" t="str">
        <f t="shared" si="2"/>
        <v/>
      </c>
      <c r="C384" s="207" t="str">
        <f t="shared" si="3"/>
        <v/>
      </c>
      <c r="D384" s="208"/>
      <c r="E384" s="194" t="str">
        <f>IFERROR(__xludf.DUMMYFUNCTION("IF(D384&lt;&gt;"""",SPLIT(D384,"" 
""),)"),"")</f>
        <v/>
      </c>
    </row>
    <row r="385">
      <c r="A385" s="26" t="str">
        <f t="shared" si="1"/>
        <v/>
      </c>
      <c r="B385" s="26" t="str">
        <f t="shared" si="2"/>
        <v/>
      </c>
      <c r="C385" s="207" t="str">
        <f t="shared" si="3"/>
        <v/>
      </c>
      <c r="D385" s="208"/>
      <c r="E385" s="194" t="str">
        <f>IFERROR(__xludf.DUMMYFUNCTION("IF(D385&lt;&gt;"""",SPLIT(D385,"" 
""),)"),"")</f>
        <v/>
      </c>
    </row>
    <row r="386">
      <c r="A386" s="26" t="str">
        <f t="shared" si="1"/>
        <v/>
      </c>
      <c r="B386" s="26" t="str">
        <f t="shared" si="2"/>
        <v/>
      </c>
      <c r="C386" s="207" t="str">
        <f t="shared" si="3"/>
        <v/>
      </c>
      <c r="D386" s="208"/>
      <c r="E386" s="194" t="str">
        <f>IFERROR(__xludf.DUMMYFUNCTION("IF(D386&lt;&gt;"""",SPLIT(D386,"" 
""),)"),"")</f>
        <v/>
      </c>
    </row>
    <row r="387">
      <c r="A387" s="26" t="str">
        <f t="shared" si="1"/>
        <v/>
      </c>
      <c r="B387" s="26" t="str">
        <f t="shared" si="2"/>
        <v/>
      </c>
      <c r="C387" s="207" t="str">
        <f t="shared" si="3"/>
        <v/>
      </c>
      <c r="D387" s="208"/>
      <c r="E387" s="194" t="str">
        <f>IFERROR(__xludf.DUMMYFUNCTION("IF(D387&lt;&gt;"""",SPLIT(D387,"" 
""),)"),"")</f>
        <v/>
      </c>
    </row>
    <row r="388">
      <c r="A388" s="26" t="str">
        <f t="shared" si="1"/>
        <v/>
      </c>
      <c r="B388" s="26" t="str">
        <f t="shared" si="2"/>
        <v/>
      </c>
      <c r="C388" s="207" t="str">
        <f t="shared" si="3"/>
        <v/>
      </c>
      <c r="D388" s="208"/>
      <c r="E388" s="194" t="str">
        <f>IFERROR(__xludf.DUMMYFUNCTION("IF(D388&lt;&gt;"""",SPLIT(D388,"" 
""),)"),"")</f>
        <v/>
      </c>
    </row>
    <row r="389">
      <c r="A389" s="26" t="str">
        <f t="shared" si="1"/>
        <v/>
      </c>
      <c r="B389" s="26" t="str">
        <f t="shared" si="2"/>
        <v/>
      </c>
      <c r="C389" s="207" t="str">
        <f t="shared" si="3"/>
        <v/>
      </c>
      <c r="D389" s="208"/>
      <c r="E389" s="194" t="str">
        <f>IFERROR(__xludf.DUMMYFUNCTION("IF(D389&lt;&gt;"""",SPLIT(D389,"" 
""),)"),"")</f>
        <v/>
      </c>
    </row>
    <row r="390">
      <c r="A390" s="26" t="str">
        <f t="shared" si="1"/>
        <v/>
      </c>
      <c r="B390" s="26" t="str">
        <f t="shared" si="2"/>
        <v/>
      </c>
      <c r="C390" s="207" t="str">
        <f t="shared" si="3"/>
        <v/>
      </c>
      <c r="D390" s="208"/>
      <c r="E390" s="194" t="str">
        <f>IFERROR(__xludf.DUMMYFUNCTION("IF(D390&lt;&gt;"""",SPLIT(D390,"" 
""),)"),"")</f>
        <v/>
      </c>
    </row>
    <row r="391">
      <c r="A391" s="26" t="str">
        <f t="shared" si="1"/>
        <v/>
      </c>
      <c r="B391" s="26" t="str">
        <f t="shared" si="2"/>
        <v/>
      </c>
      <c r="C391" s="207" t="str">
        <f t="shared" si="3"/>
        <v/>
      </c>
      <c r="D391" s="208"/>
      <c r="E391" s="194" t="str">
        <f>IFERROR(__xludf.DUMMYFUNCTION("IF(D391&lt;&gt;"""",SPLIT(D391,"" 
""),)"),"")</f>
        <v/>
      </c>
    </row>
    <row r="392">
      <c r="A392" s="26" t="str">
        <f t="shared" si="1"/>
        <v/>
      </c>
      <c r="B392" s="26" t="str">
        <f t="shared" si="2"/>
        <v/>
      </c>
      <c r="C392" s="207" t="str">
        <f t="shared" si="3"/>
        <v/>
      </c>
      <c r="D392" s="208"/>
      <c r="E392" s="194" t="str">
        <f>IFERROR(__xludf.DUMMYFUNCTION("IF(D392&lt;&gt;"""",SPLIT(D392,"" 
""),)"),"")</f>
        <v/>
      </c>
    </row>
    <row r="393">
      <c r="A393" s="26" t="str">
        <f t="shared" si="1"/>
        <v/>
      </c>
      <c r="B393" s="26" t="str">
        <f t="shared" si="2"/>
        <v/>
      </c>
      <c r="C393" s="207" t="str">
        <f t="shared" si="3"/>
        <v/>
      </c>
      <c r="D393" s="208"/>
      <c r="E393" s="194" t="str">
        <f>IFERROR(__xludf.DUMMYFUNCTION("IF(D393&lt;&gt;"""",SPLIT(D393,"" 
""),)"),"")</f>
        <v/>
      </c>
    </row>
    <row r="394">
      <c r="A394" s="26" t="str">
        <f t="shared" si="1"/>
        <v/>
      </c>
      <c r="B394" s="26" t="str">
        <f t="shared" si="2"/>
        <v/>
      </c>
      <c r="C394" s="207" t="str">
        <f t="shared" si="3"/>
        <v/>
      </c>
      <c r="D394" s="208"/>
      <c r="E394" s="194" t="str">
        <f>IFERROR(__xludf.DUMMYFUNCTION("IF(D394&lt;&gt;"""",SPLIT(D394,"" 
""),)"),"")</f>
        <v/>
      </c>
    </row>
    <row r="395">
      <c r="A395" s="26" t="str">
        <f t="shared" si="1"/>
        <v/>
      </c>
      <c r="B395" s="26" t="str">
        <f t="shared" si="2"/>
        <v/>
      </c>
      <c r="C395" s="207" t="str">
        <f t="shared" si="3"/>
        <v/>
      </c>
      <c r="D395" s="208"/>
      <c r="E395" s="194" t="str">
        <f>IFERROR(__xludf.DUMMYFUNCTION("IF(D395&lt;&gt;"""",SPLIT(D395,"" 
""),)"),"")</f>
        <v/>
      </c>
    </row>
    <row r="396">
      <c r="A396" s="26" t="str">
        <f t="shared" si="1"/>
        <v/>
      </c>
      <c r="B396" s="26" t="str">
        <f t="shared" si="2"/>
        <v/>
      </c>
      <c r="C396" s="207" t="str">
        <f t="shared" si="3"/>
        <v/>
      </c>
      <c r="D396" s="208"/>
      <c r="E396" s="194" t="str">
        <f>IFERROR(__xludf.DUMMYFUNCTION("IF(D396&lt;&gt;"""",SPLIT(D396,"" 
""),)"),"")</f>
        <v/>
      </c>
    </row>
    <row r="397">
      <c r="A397" s="26" t="str">
        <f t="shared" si="1"/>
        <v/>
      </c>
      <c r="B397" s="26" t="str">
        <f t="shared" si="2"/>
        <v/>
      </c>
      <c r="C397" s="207" t="str">
        <f t="shared" si="3"/>
        <v/>
      </c>
      <c r="D397" s="208"/>
      <c r="E397" s="194" t="str">
        <f>IFERROR(__xludf.DUMMYFUNCTION("IF(D397&lt;&gt;"""",SPLIT(D397,"" 
""),)"),"")</f>
        <v/>
      </c>
    </row>
    <row r="398">
      <c r="A398" s="26" t="str">
        <f t="shared" si="1"/>
        <v/>
      </c>
      <c r="B398" s="26" t="str">
        <f t="shared" si="2"/>
        <v/>
      </c>
      <c r="C398" s="207" t="str">
        <f t="shared" si="3"/>
        <v/>
      </c>
      <c r="D398" s="208"/>
      <c r="E398" s="194" t="str">
        <f>IFERROR(__xludf.DUMMYFUNCTION("IF(D398&lt;&gt;"""",SPLIT(D398,"" 
""),)"),"")</f>
        <v/>
      </c>
    </row>
    <row r="399">
      <c r="A399" s="26" t="str">
        <f t="shared" si="1"/>
        <v/>
      </c>
      <c r="B399" s="26" t="str">
        <f t="shared" si="2"/>
        <v/>
      </c>
      <c r="C399" s="207" t="str">
        <f t="shared" si="3"/>
        <v/>
      </c>
      <c r="D399" s="208"/>
      <c r="E399" s="194" t="str">
        <f>IFERROR(__xludf.DUMMYFUNCTION("IF(D399&lt;&gt;"""",SPLIT(D399,"" 
""),)"),"")</f>
        <v/>
      </c>
    </row>
    <row r="400">
      <c r="A400" s="26" t="str">
        <f t="shared" si="1"/>
        <v/>
      </c>
      <c r="B400" s="26" t="str">
        <f t="shared" si="2"/>
        <v/>
      </c>
      <c r="C400" s="207" t="str">
        <f t="shared" si="3"/>
        <v/>
      </c>
      <c r="D400" s="208"/>
      <c r="E400" s="194" t="str">
        <f>IFERROR(__xludf.DUMMYFUNCTION("IF(D400&lt;&gt;"""",SPLIT(D400,"" 
""),)"),"")</f>
        <v/>
      </c>
    </row>
    <row r="401">
      <c r="A401" s="26" t="str">
        <f t="shared" si="1"/>
        <v/>
      </c>
      <c r="B401" s="26" t="str">
        <f t="shared" si="2"/>
        <v/>
      </c>
      <c r="C401" s="207" t="str">
        <f t="shared" si="3"/>
        <v/>
      </c>
      <c r="D401" s="208"/>
      <c r="E401" s="194" t="str">
        <f>IFERROR(__xludf.DUMMYFUNCTION("IF(D401&lt;&gt;"""",SPLIT(D401,"" 
""),)"),"")</f>
        <v/>
      </c>
    </row>
    <row r="402">
      <c r="A402" s="26" t="str">
        <f t="shared" si="1"/>
        <v/>
      </c>
      <c r="B402" s="26" t="str">
        <f t="shared" si="2"/>
        <v/>
      </c>
      <c r="C402" s="207" t="str">
        <f t="shared" si="3"/>
        <v/>
      </c>
      <c r="D402" s="208"/>
      <c r="E402" s="194" t="str">
        <f>IFERROR(__xludf.DUMMYFUNCTION("IF(D402&lt;&gt;"""",SPLIT(D402,"" 
""),)"),"")</f>
        <v/>
      </c>
    </row>
    <row r="403">
      <c r="A403" s="26" t="str">
        <f t="shared" si="1"/>
        <v/>
      </c>
      <c r="B403" s="26" t="str">
        <f t="shared" si="2"/>
        <v/>
      </c>
      <c r="C403" s="207" t="str">
        <f t="shared" si="3"/>
        <v/>
      </c>
      <c r="D403" s="208"/>
      <c r="E403" s="194" t="str">
        <f>IFERROR(__xludf.DUMMYFUNCTION("IF(D403&lt;&gt;"""",SPLIT(D403,"" 
""),)"),"")</f>
        <v/>
      </c>
    </row>
    <row r="404">
      <c r="A404" s="26" t="str">
        <f t="shared" si="1"/>
        <v/>
      </c>
      <c r="B404" s="26" t="str">
        <f t="shared" si="2"/>
        <v/>
      </c>
      <c r="C404" s="207" t="str">
        <f t="shared" si="3"/>
        <v/>
      </c>
      <c r="D404" s="208"/>
      <c r="E404" s="194" t="str">
        <f>IFERROR(__xludf.DUMMYFUNCTION("IF(D404&lt;&gt;"""",SPLIT(D404,"" 
""),)"),"")</f>
        <v/>
      </c>
    </row>
    <row r="405">
      <c r="A405" s="26" t="str">
        <f t="shared" si="1"/>
        <v/>
      </c>
      <c r="B405" s="26" t="str">
        <f t="shared" si="2"/>
        <v/>
      </c>
      <c r="C405" s="207" t="str">
        <f t="shared" si="3"/>
        <v/>
      </c>
      <c r="D405" s="208"/>
      <c r="E405" s="194" t="str">
        <f>IFERROR(__xludf.DUMMYFUNCTION("IF(D405&lt;&gt;"""",SPLIT(D405,"" 
""),)"),"")</f>
        <v/>
      </c>
    </row>
    <row r="406">
      <c r="A406" s="26" t="str">
        <f t="shared" si="1"/>
        <v/>
      </c>
      <c r="B406" s="26" t="str">
        <f t="shared" si="2"/>
        <v/>
      </c>
      <c r="C406" s="207" t="str">
        <f t="shared" si="3"/>
        <v/>
      </c>
      <c r="D406" s="208"/>
      <c r="E406" s="194" t="str">
        <f>IFERROR(__xludf.DUMMYFUNCTION("IF(D406&lt;&gt;"""",SPLIT(D406,"" 
""),)"),"")</f>
        <v/>
      </c>
    </row>
    <row r="407">
      <c r="A407" s="26" t="str">
        <f t="shared" si="1"/>
        <v/>
      </c>
      <c r="B407" s="26" t="str">
        <f t="shared" si="2"/>
        <v/>
      </c>
      <c r="C407" s="207" t="str">
        <f t="shared" si="3"/>
        <v/>
      </c>
      <c r="D407" s="208"/>
      <c r="E407" s="194" t="str">
        <f>IFERROR(__xludf.DUMMYFUNCTION("IF(D407&lt;&gt;"""",SPLIT(D407,"" 
""),)"),"")</f>
        <v/>
      </c>
    </row>
    <row r="408">
      <c r="A408" s="26" t="str">
        <f t="shared" si="1"/>
        <v/>
      </c>
      <c r="B408" s="26" t="str">
        <f t="shared" si="2"/>
        <v/>
      </c>
      <c r="C408" s="207" t="str">
        <f t="shared" si="3"/>
        <v/>
      </c>
      <c r="D408" s="208"/>
      <c r="E408" s="194" t="str">
        <f>IFERROR(__xludf.DUMMYFUNCTION("IF(D408&lt;&gt;"""",SPLIT(D408,"" 
""),)"),"")</f>
        <v/>
      </c>
    </row>
    <row r="409">
      <c r="A409" s="26" t="str">
        <f t="shared" si="1"/>
        <v/>
      </c>
      <c r="B409" s="26" t="str">
        <f t="shared" si="2"/>
        <v/>
      </c>
      <c r="C409" s="207" t="str">
        <f t="shared" si="3"/>
        <v/>
      </c>
      <c r="D409" s="208"/>
      <c r="E409" s="194" t="str">
        <f>IFERROR(__xludf.DUMMYFUNCTION("IF(D409&lt;&gt;"""",SPLIT(D409,"" 
""),)"),"")</f>
        <v/>
      </c>
    </row>
    <row r="410">
      <c r="A410" s="26" t="str">
        <f t="shared" si="1"/>
        <v/>
      </c>
      <c r="B410" s="26" t="str">
        <f t="shared" si="2"/>
        <v/>
      </c>
      <c r="C410" s="207" t="str">
        <f t="shared" si="3"/>
        <v/>
      </c>
      <c r="D410" s="208"/>
      <c r="E410" s="194" t="str">
        <f>IFERROR(__xludf.DUMMYFUNCTION("IF(D410&lt;&gt;"""",SPLIT(D410,"" 
""),)"),"")</f>
        <v/>
      </c>
    </row>
    <row r="411">
      <c r="A411" s="26" t="str">
        <f t="shared" si="1"/>
        <v/>
      </c>
      <c r="B411" s="26" t="str">
        <f t="shared" si="2"/>
        <v/>
      </c>
      <c r="C411" s="207" t="str">
        <f t="shared" si="3"/>
        <v/>
      </c>
      <c r="D411" s="208"/>
      <c r="E411" s="194" t="str">
        <f>IFERROR(__xludf.DUMMYFUNCTION("IF(D411&lt;&gt;"""",SPLIT(D411,"" 
""),)"),"")</f>
        <v/>
      </c>
    </row>
    <row r="412">
      <c r="A412" s="26" t="str">
        <f t="shared" si="1"/>
        <v/>
      </c>
      <c r="B412" s="26" t="str">
        <f t="shared" si="2"/>
        <v/>
      </c>
      <c r="C412" s="207" t="str">
        <f t="shared" si="3"/>
        <v/>
      </c>
      <c r="D412" s="208"/>
      <c r="E412" s="194" t="str">
        <f>IFERROR(__xludf.DUMMYFUNCTION("IF(D412&lt;&gt;"""",SPLIT(D412,"" 
""),)"),"")</f>
        <v/>
      </c>
    </row>
    <row r="413">
      <c r="A413" s="26" t="str">
        <f t="shared" si="1"/>
        <v/>
      </c>
      <c r="B413" s="26" t="str">
        <f t="shared" si="2"/>
        <v/>
      </c>
      <c r="C413" s="207" t="str">
        <f t="shared" si="3"/>
        <v/>
      </c>
      <c r="D413" s="208"/>
      <c r="E413" s="194" t="str">
        <f>IFERROR(__xludf.DUMMYFUNCTION("IF(D413&lt;&gt;"""",SPLIT(D413,"" 
""),)"),"")</f>
        <v/>
      </c>
    </row>
    <row r="414">
      <c r="A414" s="26" t="str">
        <f t="shared" si="1"/>
        <v/>
      </c>
      <c r="B414" s="26" t="str">
        <f t="shared" si="2"/>
        <v/>
      </c>
      <c r="C414" s="207" t="str">
        <f t="shared" si="3"/>
        <v/>
      </c>
      <c r="D414" s="208"/>
      <c r="E414" s="194" t="str">
        <f>IFERROR(__xludf.DUMMYFUNCTION("IF(D414&lt;&gt;"""",SPLIT(D414,"" 
""),)"),"")</f>
        <v/>
      </c>
    </row>
    <row r="415">
      <c r="A415" s="26" t="str">
        <f t="shared" si="1"/>
        <v/>
      </c>
      <c r="B415" s="26" t="str">
        <f t="shared" si="2"/>
        <v/>
      </c>
      <c r="C415" s="207" t="str">
        <f t="shared" si="3"/>
        <v/>
      </c>
      <c r="D415" s="208"/>
      <c r="E415" s="194" t="str">
        <f>IFERROR(__xludf.DUMMYFUNCTION("IF(D415&lt;&gt;"""",SPLIT(D415,"" 
""),)"),"")</f>
        <v/>
      </c>
    </row>
    <row r="416">
      <c r="A416" s="26" t="str">
        <f t="shared" si="1"/>
        <v/>
      </c>
      <c r="B416" s="26" t="str">
        <f t="shared" si="2"/>
        <v/>
      </c>
      <c r="C416" s="207" t="str">
        <f t="shared" si="3"/>
        <v/>
      </c>
      <c r="D416" s="208"/>
      <c r="E416" s="194" t="str">
        <f>IFERROR(__xludf.DUMMYFUNCTION("IF(D416&lt;&gt;"""",SPLIT(D416,"" 
""),)"),"")</f>
        <v/>
      </c>
    </row>
    <row r="417">
      <c r="A417" s="26" t="str">
        <f t="shared" si="1"/>
        <v/>
      </c>
      <c r="B417" s="26" t="str">
        <f t="shared" si="2"/>
        <v/>
      </c>
      <c r="C417" s="207" t="str">
        <f t="shared" si="3"/>
        <v/>
      </c>
      <c r="D417" s="208"/>
      <c r="E417" s="194" t="str">
        <f>IFERROR(__xludf.DUMMYFUNCTION("IF(D417&lt;&gt;"""",SPLIT(D417,"" 
""),)"),"")</f>
        <v/>
      </c>
    </row>
    <row r="418">
      <c r="A418" s="26" t="str">
        <f t="shared" si="1"/>
        <v/>
      </c>
      <c r="B418" s="26" t="str">
        <f t="shared" si="2"/>
        <v/>
      </c>
      <c r="C418" s="207" t="str">
        <f t="shared" si="3"/>
        <v/>
      </c>
      <c r="D418" s="208"/>
      <c r="E418" s="194" t="str">
        <f>IFERROR(__xludf.DUMMYFUNCTION("IF(D418&lt;&gt;"""",SPLIT(D418,"" 
""),)"),"")</f>
        <v/>
      </c>
    </row>
    <row r="419">
      <c r="A419" s="26" t="str">
        <f t="shared" si="1"/>
        <v/>
      </c>
      <c r="B419" s="26" t="str">
        <f t="shared" si="2"/>
        <v/>
      </c>
      <c r="C419" s="207" t="str">
        <f t="shared" si="3"/>
        <v/>
      </c>
      <c r="D419" s="208"/>
      <c r="E419" s="194" t="str">
        <f>IFERROR(__xludf.DUMMYFUNCTION("IF(D419&lt;&gt;"""",SPLIT(D419,"" 
""),)"),"")</f>
        <v/>
      </c>
    </row>
    <row r="420">
      <c r="A420" s="26" t="str">
        <f t="shared" si="1"/>
        <v/>
      </c>
      <c r="B420" s="26" t="str">
        <f t="shared" si="2"/>
        <v/>
      </c>
      <c r="C420" s="207" t="str">
        <f t="shared" si="3"/>
        <v/>
      </c>
      <c r="D420" s="208"/>
      <c r="E420" s="194" t="str">
        <f>IFERROR(__xludf.DUMMYFUNCTION("IF(D420&lt;&gt;"""",SPLIT(D420,"" 
""),)"),"")</f>
        <v/>
      </c>
    </row>
    <row r="421">
      <c r="A421" s="26" t="str">
        <f t="shared" si="1"/>
        <v/>
      </c>
      <c r="B421" s="26" t="str">
        <f t="shared" si="2"/>
        <v/>
      </c>
      <c r="C421" s="207" t="str">
        <f t="shared" si="3"/>
        <v/>
      </c>
      <c r="D421" s="208"/>
      <c r="E421" s="194" t="str">
        <f>IFERROR(__xludf.DUMMYFUNCTION("IF(D421&lt;&gt;"""",SPLIT(D421,"" 
""),)"),"")</f>
        <v/>
      </c>
    </row>
    <row r="422">
      <c r="A422" s="26" t="str">
        <f t="shared" si="1"/>
        <v/>
      </c>
      <c r="B422" s="26" t="str">
        <f t="shared" si="2"/>
        <v/>
      </c>
      <c r="C422" s="207" t="str">
        <f t="shared" si="3"/>
        <v/>
      </c>
      <c r="D422" s="208"/>
      <c r="E422" s="194" t="str">
        <f>IFERROR(__xludf.DUMMYFUNCTION("IF(D422&lt;&gt;"""",SPLIT(D422,"" 
""),)"),"")</f>
        <v/>
      </c>
    </row>
    <row r="423">
      <c r="A423" s="26" t="str">
        <f t="shared" si="1"/>
        <v/>
      </c>
      <c r="B423" s="26" t="str">
        <f t="shared" si="2"/>
        <v/>
      </c>
      <c r="C423" s="207" t="str">
        <f t="shared" si="3"/>
        <v/>
      </c>
      <c r="D423" s="208"/>
      <c r="E423" s="194" t="str">
        <f>IFERROR(__xludf.DUMMYFUNCTION("IF(D423&lt;&gt;"""",SPLIT(D423,"" 
""),)"),"")</f>
        <v/>
      </c>
    </row>
    <row r="424">
      <c r="A424" s="26" t="str">
        <f t="shared" si="1"/>
        <v/>
      </c>
      <c r="B424" s="26" t="str">
        <f t="shared" si="2"/>
        <v/>
      </c>
      <c r="C424" s="207" t="str">
        <f t="shared" si="3"/>
        <v/>
      </c>
      <c r="D424" s="208"/>
      <c r="E424" s="194" t="str">
        <f>IFERROR(__xludf.DUMMYFUNCTION("IF(D424&lt;&gt;"""",SPLIT(D424,"" 
""),)"),"")</f>
        <v/>
      </c>
    </row>
    <row r="425">
      <c r="A425" s="26" t="str">
        <f t="shared" si="1"/>
        <v/>
      </c>
      <c r="B425" s="26" t="str">
        <f t="shared" si="2"/>
        <v/>
      </c>
      <c r="C425" s="207" t="str">
        <f t="shared" si="3"/>
        <v/>
      </c>
      <c r="D425" s="208"/>
      <c r="E425" s="194" t="str">
        <f>IFERROR(__xludf.DUMMYFUNCTION("IF(D425&lt;&gt;"""",SPLIT(D425,"" 
""),)"),"")</f>
        <v/>
      </c>
    </row>
    <row r="426">
      <c r="A426" s="26" t="str">
        <f t="shared" si="1"/>
        <v/>
      </c>
      <c r="B426" s="26" t="str">
        <f t="shared" si="2"/>
        <v/>
      </c>
      <c r="C426" s="207" t="str">
        <f t="shared" si="3"/>
        <v/>
      </c>
      <c r="D426" s="208"/>
      <c r="E426" s="194" t="str">
        <f>IFERROR(__xludf.DUMMYFUNCTION("IF(D426&lt;&gt;"""",SPLIT(D426,"" 
""),)"),"")</f>
        <v/>
      </c>
    </row>
    <row r="427">
      <c r="A427" s="26" t="str">
        <f t="shared" si="1"/>
        <v/>
      </c>
      <c r="B427" s="26" t="str">
        <f t="shared" si="2"/>
        <v/>
      </c>
      <c r="C427" s="207" t="str">
        <f t="shared" si="3"/>
        <v/>
      </c>
      <c r="D427" s="208"/>
      <c r="E427" s="194" t="str">
        <f>IFERROR(__xludf.DUMMYFUNCTION("IF(D427&lt;&gt;"""",SPLIT(D427,"" 
""),)"),"")</f>
        <v/>
      </c>
    </row>
    <row r="428">
      <c r="A428" s="26" t="str">
        <f t="shared" si="1"/>
        <v/>
      </c>
      <c r="B428" s="26" t="str">
        <f t="shared" si="2"/>
        <v/>
      </c>
      <c r="C428" s="207" t="str">
        <f t="shared" si="3"/>
        <v/>
      </c>
      <c r="D428" s="208"/>
      <c r="E428" s="194" t="str">
        <f>IFERROR(__xludf.DUMMYFUNCTION("IF(D428&lt;&gt;"""",SPLIT(D428,"" 
""),)"),"")</f>
        <v/>
      </c>
    </row>
    <row r="429">
      <c r="A429" s="26" t="str">
        <f t="shared" si="1"/>
        <v/>
      </c>
      <c r="B429" s="26" t="str">
        <f t="shared" si="2"/>
        <v/>
      </c>
      <c r="C429" s="207" t="str">
        <f t="shared" si="3"/>
        <v/>
      </c>
      <c r="D429" s="208"/>
      <c r="E429" s="194" t="str">
        <f>IFERROR(__xludf.DUMMYFUNCTION("IF(D429&lt;&gt;"""",SPLIT(D429,"" 
""),)"),"")</f>
        <v/>
      </c>
    </row>
    <row r="430">
      <c r="A430" s="26" t="str">
        <f t="shared" si="1"/>
        <v/>
      </c>
      <c r="B430" s="26" t="str">
        <f t="shared" si="2"/>
        <v/>
      </c>
      <c r="C430" s="207" t="str">
        <f t="shared" si="3"/>
        <v/>
      </c>
      <c r="D430" s="208"/>
      <c r="E430" s="194" t="str">
        <f>IFERROR(__xludf.DUMMYFUNCTION("IF(D430&lt;&gt;"""",SPLIT(D430,"" 
""),)"),"")</f>
        <v/>
      </c>
    </row>
    <row r="431">
      <c r="A431" s="26" t="str">
        <f t="shared" si="1"/>
        <v/>
      </c>
      <c r="B431" s="26" t="str">
        <f t="shared" si="2"/>
        <v/>
      </c>
      <c r="C431" s="207" t="str">
        <f t="shared" si="3"/>
        <v/>
      </c>
      <c r="D431" s="208"/>
      <c r="E431" s="194" t="str">
        <f>IFERROR(__xludf.DUMMYFUNCTION("IF(D431&lt;&gt;"""",SPLIT(D431,"" 
""),)"),"")</f>
        <v/>
      </c>
    </row>
    <row r="432">
      <c r="A432" s="26" t="str">
        <f t="shared" si="1"/>
        <v/>
      </c>
      <c r="B432" s="26" t="str">
        <f t="shared" si="2"/>
        <v/>
      </c>
      <c r="C432" s="207" t="str">
        <f t="shared" si="3"/>
        <v/>
      </c>
      <c r="D432" s="208"/>
      <c r="E432" s="194" t="str">
        <f>IFERROR(__xludf.DUMMYFUNCTION("IF(D432&lt;&gt;"""",SPLIT(D432,"" 
""),)"),"")</f>
        <v/>
      </c>
    </row>
    <row r="433">
      <c r="A433" s="26" t="str">
        <f t="shared" si="1"/>
        <v/>
      </c>
      <c r="B433" s="26" t="str">
        <f t="shared" si="2"/>
        <v/>
      </c>
      <c r="C433" s="207" t="str">
        <f t="shared" si="3"/>
        <v/>
      </c>
      <c r="D433" s="208"/>
      <c r="E433" s="194" t="str">
        <f>IFERROR(__xludf.DUMMYFUNCTION("IF(D433&lt;&gt;"""",SPLIT(D433,"" 
""),)"),"")</f>
        <v/>
      </c>
    </row>
    <row r="434">
      <c r="A434" s="26" t="str">
        <f t="shared" si="1"/>
        <v/>
      </c>
      <c r="B434" s="26" t="str">
        <f t="shared" si="2"/>
        <v/>
      </c>
      <c r="C434" s="207" t="str">
        <f t="shared" si="3"/>
        <v/>
      </c>
      <c r="D434" s="208"/>
      <c r="E434" s="194" t="str">
        <f>IFERROR(__xludf.DUMMYFUNCTION("IF(D434&lt;&gt;"""",SPLIT(D434,"" 
""),)"),"")</f>
        <v/>
      </c>
    </row>
    <row r="435">
      <c r="A435" s="26" t="str">
        <f t="shared" si="1"/>
        <v/>
      </c>
      <c r="B435" s="26" t="str">
        <f t="shared" si="2"/>
        <v/>
      </c>
      <c r="C435" s="207" t="str">
        <f t="shared" si="3"/>
        <v/>
      </c>
      <c r="D435" s="208"/>
      <c r="E435" s="194" t="str">
        <f>IFERROR(__xludf.DUMMYFUNCTION("IF(D435&lt;&gt;"""",SPLIT(D435,"" 
""),)"),"")</f>
        <v/>
      </c>
    </row>
    <row r="436">
      <c r="A436" s="26" t="str">
        <f t="shared" si="1"/>
        <v/>
      </c>
      <c r="B436" s="26" t="str">
        <f t="shared" si="2"/>
        <v/>
      </c>
      <c r="C436" s="207" t="str">
        <f t="shared" si="3"/>
        <v/>
      </c>
      <c r="D436" s="208"/>
      <c r="E436" s="194" t="str">
        <f>IFERROR(__xludf.DUMMYFUNCTION("IF(D436&lt;&gt;"""",SPLIT(D436,"" 
""),)"),"")</f>
        <v/>
      </c>
    </row>
    <row r="437">
      <c r="A437" s="26" t="str">
        <f t="shared" si="1"/>
        <v/>
      </c>
      <c r="B437" s="26" t="str">
        <f t="shared" si="2"/>
        <v/>
      </c>
      <c r="C437" s="207" t="str">
        <f t="shared" si="3"/>
        <v/>
      </c>
      <c r="D437" s="208"/>
      <c r="E437" s="194" t="str">
        <f>IFERROR(__xludf.DUMMYFUNCTION("IF(D437&lt;&gt;"""",SPLIT(D437,"" 
""),)"),"")</f>
        <v/>
      </c>
    </row>
    <row r="438">
      <c r="A438" s="26" t="str">
        <f t="shared" si="1"/>
        <v/>
      </c>
      <c r="B438" s="26" t="str">
        <f t="shared" si="2"/>
        <v/>
      </c>
      <c r="C438" s="207" t="str">
        <f t="shared" si="3"/>
        <v/>
      </c>
      <c r="D438" s="208"/>
      <c r="E438" s="194" t="str">
        <f>IFERROR(__xludf.DUMMYFUNCTION("IF(D438&lt;&gt;"""",SPLIT(D438,"" 
""),)"),"")</f>
        <v/>
      </c>
    </row>
    <row r="439">
      <c r="A439" s="26" t="str">
        <f t="shared" si="1"/>
        <v/>
      </c>
      <c r="B439" s="26" t="str">
        <f t="shared" si="2"/>
        <v/>
      </c>
      <c r="C439" s="207" t="str">
        <f t="shared" si="3"/>
        <v/>
      </c>
      <c r="D439" s="208"/>
      <c r="E439" s="194" t="str">
        <f>IFERROR(__xludf.DUMMYFUNCTION("IF(D439&lt;&gt;"""",SPLIT(D439,"" 
""),)"),"")</f>
        <v/>
      </c>
    </row>
    <row r="440">
      <c r="A440" s="26" t="str">
        <f t="shared" si="1"/>
        <v/>
      </c>
      <c r="B440" s="26" t="str">
        <f t="shared" si="2"/>
        <v/>
      </c>
      <c r="C440" s="207" t="str">
        <f t="shared" si="3"/>
        <v/>
      </c>
      <c r="D440" s="208"/>
      <c r="E440" s="194" t="str">
        <f>IFERROR(__xludf.DUMMYFUNCTION("IF(D440&lt;&gt;"""",SPLIT(D440,"" 
""),)"),"")</f>
        <v/>
      </c>
    </row>
    <row r="441">
      <c r="A441" s="26" t="str">
        <f t="shared" si="1"/>
        <v/>
      </c>
      <c r="B441" s="26" t="str">
        <f t="shared" si="2"/>
        <v/>
      </c>
      <c r="C441" s="207" t="str">
        <f t="shared" si="3"/>
        <v/>
      </c>
      <c r="D441" s="208"/>
      <c r="E441" s="194" t="str">
        <f>IFERROR(__xludf.DUMMYFUNCTION("IF(D441&lt;&gt;"""",SPLIT(D441,"" 
""),)"),"")</f>
        <v/>
      </c>
    </row>
    <row r="442">
      <c r="A442" s="26" t="str">
        <f t="shared" si="1"/>
        <v/>
      </c>
      <c r="B442" s="26" t="str">
        <f t="shared" si="2"/>
        <v/>
      </c>
      <c r="C442" s="207" t="str">
        <f t="shared" si="3"/>
        <v/>
      </c>
      <c r="D442" s="208"/>
      <c r="E442" s="194" t="str">
        <f>IFERROR(__xludf.DUMMYFUNCTION("IF(D442&lt;&gt;"""",SPLIT(D442,"" 
""),)"),"")</f>
        <v/>
      </c>
    </row>
    <row r="443">
      <c r="A443" s="26" t="str">
        <f t="shared" si="1"/>
        <v/>
      </c>
      <c r="B443" s="26" t="str">
        <f t="shared" si="2"/>
        <v/>
      </c>
      <c r="C443" s="207" t="str">
        <f t="shared" si="3"/>
        <v/>
      </c>
      <c r="D443" s="208"/>
      <c r="E443" s="194" t="str">
        <f>IFERROR(__xludf.DUMMYFUNCTION("IF(D443&lt;&gt;"""",SPLIT(D443,"" 
""),)"),"")</f>
        <v/>
      </c>
    </row>
    <row r="444">
      <c r="A444" s="26" t="str">
        <f t="shared" si="1"/>
        <v/>
      </c>
      <c r="B444" s="26" t="str">
        <f t="shared" si="2"/>
        <v/>
      </c>
      <c r="C444" s="207" t="str">
        <f t="shared" si="3"/>
        <v/>
      </c>
      <c r="D444" s="208"/>
      <c r="E444" s="194" t="str">
        <f>IFERROR(__xludf.DUMMYFUNCTION("IF(D444&lt;&gt;"""",SPLIT(D444,"" 
""),)"),"")</f>
        <v/>
      </c>
    </row>
    <row r="445">
      <c r="A445" s="26" t="str">
        <f t="shared" si="1"/>
        <v/>
      </c>
      <c r="B445" s="26" t="str">
        <f t="shared" si="2"/>
        <v/>
      </c>
      <c r="C445" s="207" t="str">
        <f t="shared" si="3"/>
        <v/>
      </c>
      <c r="D445" s="208"/>
      <c r="E445" s="194" t="str">
        <f>IFERROR(__xludf.DUMMYFUNCTION("IF(D445&lt;&gt;"""",SPLIT(D445,"" 
""),)"),"")</f>
        <v/>
      </c>
    </row>
    <row r="446">
      <c r="A446" s="26" t="str">
        <f t="shared" si="1"/>
        <v/>
      </c>
      <c r="B446" s="26" t="str">
        <f t="shared" si="2"/>
        <v/>
      </c>
      <c r="C446" s="207" t="str">
        <f t="shared" si="3"/>
        <v/>
      </c>
      <c r="D446" s="208"/>
      <c r="E446" s="194" t="str">
        <f>IFERROR(__xludf.DUMMYFUNCTION("IF(D446&lt;&gt;"""",SPLIT(D446,"" 
""),)"),"")</f>
        <v/>
      </c>
    </row>
    <row r="447">
      <c r="A447" s="26" t="str">
        <f t="shared" si="1"/>
        <v/>
      </c>
      <c r="B447" s="26" t="str">
        <f t="shared" si="2"/>
        <v/>
      </c>
      <c r="C447" s="207" t="str">
        <f t="shared" si="3"/>
        <v/>
      </c>
      <c r="D447" s="208"/>
      <c r="E447" s="194" t="str">
        <f>IFERROR(__xludf.DUMMYFUNCTION("IF(D447&lt;&gt;"""",SPLIT(D447,"" 
""),)"),"")</f>
        <v/>
      </c>
    </row>
    <row r="448">
      <c r="A448" s="26" t="str">
        <f t="shared" si="1"/>
        <v/>
      </c>
      <c r="B448" s="26" t="str">
        <f t="shared" si="2"/>
        <v/>
      </c>
      <c r="C448" s="207" t="str">
        <f t="shared" si="3"/>
        <v/>
      </c>
      <c r="D448" s="208"/>
      <c r="E448" s="194" t="str">
        <f>IFERROR(__xludf.DUMMYFUNCTION("IF(D448&lt;&gt;"""",SPLIT(D448,"" 
""),)"),"")</f>
        <v/>
      </c>
    </row>
    <row r="449">
      <c r="A449" s="26" t="str">
        <f t="shared" si="1"/>
        <v/>
      </c>
      <c r="B449" s="26" t="str">
        <f t="shared" si="2"/>
        <v/>
      </c>
      <c r="C449" s="207" t="str">
        <f t="shared" si="3"/>
        <v/>
      </c>
      <c r="D449" s="208"/>
      <c r="E449" s="194" t="str">
        <f>IFERROR(__xludf.DUMMYFUNCTION("IF(D449&lt;&gt;"""",SPLIT(D449,"" 
""),)"),"")</f>
        <v/>
      </c>
    </row>
    <row r="450">
      <c r="A450" s="26" t="str">
        <f t="shared" si="1"/>
        <v/>
      </c>
      <c r="B450" s="26" t="str">
        <f t="shared" si="2"/>
        <v/>
      </c>
      <c r="C450" s="207" t="str">
        <f t="shared" si="3"/>
        <v/>
      </c>
      <c r="D450" s="208"/>
      <c r="E450" s="194" t="str">
        <f>IFERROR(__xludf.DUMMYFUNCTION("IF(D450&lt;&gt;"""",SPLIT(D450,"" 
""),)"),"")</f>
        <v/>
      </c>
    </row>
    <row r="451">
      <c r="A451" s="26" t="str">
        <f t="shared" si="1"/>
        <v/>
      </c>
      <c r="B451" s="26" t="str">
        <f t="shared" si="2"/>
        <v/>
      </c>
      <c r="C451" s="207" t="str">
        <f t="shared" si="3"/>
        <v/>
      </c>
      <c r="D451" s="208"/>
      <c r="E451" s="194" t="str">
        <f>IFERROR(__xludf.DUMMYFUNCTION("IF(D451&lt;&gt;"""",SPLIT(D451,"" 
""),)"),"")</f>
        <v/>
      </c>
    </row>
    <row r="452">
      <c r="A452" s="26" t="str">
        <f t="shared" si="1"/>
        <v/>
      </c>
      <c r="B452" s="26" t="str">
        <f t="shared" si="2"/>
        <v/>
      </c>
      <c r="C452" s="207" t="str">
        <f t="shared" si="3"/>
        <v/>
      </c>
      <c r="D452" s="208"/>
      <c r="E452" s="194" t="str">
        <f>IFERROR(__xludf.DUMMYFUNCTION("IF(D452&lt;&gt;"""",SPLIT(D452,"" 
""),)"),"")</f>
        <v/>
      </c>
    </row>
    <row r="453">
      <c r="A453" s="26" t="str">
        <f t="shared" si="1"/>
        <v/>
      </c>
      <c r="B453" s="26" t="str">
        <f t="shared" si="2"/>
        <v/>
      </c>
      <c r="C453" s="207" t="str">
        <f t="shared" si="3"/>
        <v/>
      </c>
      <c r="D453" s="208"/>
      <c r="E453" s="194" t="str">
        <f>IFERROR(__xludf.DUMMYFUNCTION("IF(D453&lt;&gt;"""",SPLIT(D453,"" 
""),)"),"")</f>
        <v/>
      </c>
    </row>
    <row r="454">
      <c r="A454" s="26" t="str">
        <f t="shared" si="1"/>
        <v/>
      </c>
      <c r="B454" s="26" t="str">
        <f t="shared" si="2"/>
        <v/>
      </c>
      <c r="C454" s="207" t="str">
        <f t="shared" si="3"/>
        <v/>
      </c>
      <c r="D454" s="208"/>
      <c r="E454" s="194" t="str">
        <f>IFERROR(__xludf.DUMMYFUNCTION("IF(D454&lt;&gt;"""",SPLIT(D454,"" 
""),)"),"")</f>
        <v/>
      </c>
    </row>
    <row r="455">
      <c r="A455" s="26" t="str">
        <f t="shared" si="1"/>
        <v/>
      </c>
      <c r="B455" s="26" t="str">
        <f t="shared" si="2"/>
        <v/>
      </c>
      <c r="C455" s="207" t="str">
        <f t="shared" si="3"/>
        <v/>
      </c>
      <c r="D455" s="208"/>
      <c r="E455" s="194" t="str">
        <f>IFERROR(__xludf.DUMMYFUNCTION("IF(D455&lt;&gt;"""",SPLIT(D455,"" 
""),)"),"")</f>
        <v/>
      </c>
    </row>
    <row r="456">
      <c r="A456" s="26" t="str">
        <f t="shared" si="1"/>
        <v/>
      </c>
      <c r="B456" s="26" t="str">
        <f t="shared" si="2"/>
        <v/>
      </c>
      <c r="C456" s="207" t="str">
        <f t="shared" si="3"/>
        <v/>
      </c>
      <c r="D456" s="208"/>
      <c r="E456" s="194" t="str">
        <f>IFERROR(__xludf.DUMMYFUNCTION("IF(D456&lt;&gt;"""",SPLIT(D456,"" 
""),)"),"")</f>
        <v/>
      </c>
    </row>
    <row r="457">
      <c r="A457" s="26" t="str">
        <f t="shared" si="1"/>
        <v/>
      </c>
      <c r="B457" s="26" t="str">
        <f t="shared" si="2"/>
        <v/>
      </c>
      <c r="C457" s="207" t="str">
        <f t="shared" si="3"/>
        <v/>
      </c>
      <c r="D457" s="208"/>
      <c r="E457" s="194" t="str">
        <f>IFERROR(__xludf.DUMMYFUNCTION("IF(D457&lt;&gt;"""",SPLIT(D457,"" 
""),)"),"")</f>
        <v/>
      </c>
    </row>
    <row r="458">
      <c r="A458" s="26" t="str">
        <f t="shared" si="1"/>
        <v/>
      </c>
      <c r="B458" s="26" t="str">
        <f t="shared" si="2"/>
        <v/>
      </c>
      <c r="C458" s="207" t="str">
        <f t="shared" si="3"/>
        <v/>
      </c>
      <c r="D458" s="208"/>
      <c r="E458" s="194" t="str">
        <f>IFERROR(__xludf.DUMMYFUNCTION("IF(D458&lt;&gt;"""",SPLIT(D458,"" 
""),)"),"")</f>
        <v/>
      </c>
    </row>
    <row r="459">
      <c r="A459" s="26" t="str">
        <f t="shared" si="1"/>
        <v/>
      </c>
      <c r="B459" s="26" t="str">
        <f t="shared" si="2"/>
        <v/>
      </c>
      <c r="C459" s="207" t="str">
        <f t="shared" si="3"/>
        <v/>
      </c>
      <c r="D459" s="208"/>
      <c r="E459" s="194" t="str">
        <f>IFERROR(__xludf.DUMMYFUNCTION("IF(D459&lt;&gt;"""",SPLIT(D459,"" 
""),)"),"")</f>
        <v/>
      </c>
    </row>
    <row r="460">
      <c r="A460" s="26" t="str">
        <f t="shared" si="1"/>
        <v/>
      </c>
      <c r="B460" s="26" t="str">
        <f t="shared" si="2"/>
        <v/>
      </c>
      <c r="C460" s="207" t="str">
        <f t="shared" si="3"/>
        <v/>
      </c>
      <c r="D460" s="208"/>
      <c r="E460" s="194" t="str">
        <f>IFERROR(__xludf.DUMMYFUNCTION("IF(D460&lt;&gt;"""",SPLIT(D460,"" 
""),)"),"")</f>
        <v/>
      </c>
    </row>
    <row r="461">
      <c r="A461" s="26" t="str">
        <f t="shared" si="1"/>
        <v/>
      </c>
      <c r="B461" s="26" t="str">
        <f t="shared" si="2"/>
        <v/>
      </c>
      <c r="C461" s="207" t="str">
        <f t="shared" si="3"/>
        <v/>
      </c>
      <c r="D461" s="208"/>
      <c r="E461" s="194" t="str">
        <f>IFERROR(__xludf.DUMMYFUNCTION("IF(D461&lt;&gt;"""",SPLIT(D461,"" 
""),)"),"")</f>
        <v/>
      </c>
    </row>
    <row r="462">
      <c r="A462" s="26" t="str">
        <f t="shared" si="1"/>
        <v/>
      </c>
      <c r="B462" s="26" t="str">
        <f t="shared" si="2"/>
        <v/>
      </c>
      <c r="C462" s="207" t="str">
        <f t="shared" si="3"/>
        <v/>
      </c>
      <c r="D462" s="208"/>
      <c r="E462" s="194" t="str">
        <f>IFERROR(__xludf.DUMMYFUNCTION("IF(D462&lt;&gt;"""",SPLIT(D462,"" 
""),)"),"")</f>
        <v/>
      </c>
    </row>
    <row r="463">
      <c r="A463" s="26" t="str">
        <f t="shared" si="1"/>
        <v/>
      </c>
      <c r="B463" s="26" t="str">
        <f t="shared" si="2"/>
        <v/>
      </c>
      <c r="C463" s="207" t="str">
        <f t="shared" si="3"/>
        <v/>
      </c>
      <c r="D463" s="208"/>
      <c r="E463" s="194" t="str">
        <f>IFERROR(__xludf.DUMMYFUNCTION("IF(D463&lt;&gt;"""",SPLIT(D463,"" 
""),)"),"")</f>
        <v/>
      </c>
    </row>
    <row r="464">
      <c r="A464" s="26" t="str">
        <f t="shared" si="1"/>
        <v/>
      </c>
      <c r="B464" s="26" t="str">
        <f t="shared" si="2"/>
        <v/>
      </c>
      <c r="C464" s="207" t="str">
        <f t="shared" si="3"/>
        <v/>
      </c>
      <c r="D464" s="208"/>
      <c r="E464" s="194" t="str">
        <f>IFERROR(__xludf.DUMMYFUNCTION("IF(D464&lt;&gt;"""",SPLIT(D464,"" 
""),)"),"")</f>
        <v/>
      </c>
    </row>
    <row r="465">
      <c r="A465" s="26" t="str">
        <f t="shared" si="1"/>
        <v/>
      </c>
      <c r="B465" s="26" t="str">
        <f t="shared" si="2"/>
        <v/>
      </c>
      <c r="C465" s="207" t="str">
        <f t="shared" si="3"/>
        <v/>
      </c>
      <c r="D465" s="208"/>
      <c r="E465" s="194" t="str">
        <f>IFERROR(__xludf.DUMMYFUNCTION("IF(D465&lt;&gt;"""",SPLIT(D465,"" 
""),)"),"")</f>
        <v/>
      </c>
    </row>
    <row r="466">
      <c r="A466" s="26" t="str">
        <f t="shared" si="1"/>
        <v/>
      </c>
      <c r="B466" s="26" t="str">
        <f t="shared" si="2"/>
        <v/>
      </c>
      <c r="C466" s="207" t="str">
        <f t="shared" si="3"/>
        <v/>
      </c>
      <c r="D466" s="208"/>
      <c r="E466" s="194" t="str">
        <f>IFERROR(__xludf.DUMMYFUNCTION("IF(D466&lt;&gt;"""",SPLIT(D466,"" 
""),)"),"")</f>
        <v/>
      </c>
    </row>
    <row r="467">
      <c r="A467" s="26" t="str">
        <f t="shared" si="1"/>
        <v/>
      </c>
      <c r="B467" s="26" t="str">
        <f t="shared" si="2"/>
        <v/>
      </c>
      <c r="C467" s="207" t="str">
        <f t="shared" si="3"/>
        <v/>
      </c>
      <c r="D467" s="208"/>
      <c r="E467" s="194" t="str">
        <f>IFERROR(__xludf.DUMMYFUNCTION("IF(D467&lt;&gt;"""",SPLIT(D467,"" 
""),)"),"")</f>
        <v/>
      </c>
    </row>
    <row r="468">
      <c r="A468" s="26" t="str">
        <f t="shared" si="1"/>
        <v/>
      </c>
      <c r="B468" s="26" t="str">
        <f t="shared" si="2"/>
        <v/>
      </c>
      <c r="C468" s="207" t="str">
        <f t="shared" si="3"/>
        <v/>
      </c>
      <c r="D468" s="208"/>
      <c r="E468" s="194" t="str">
        <f>IFERROR(__xludf.DUMMYFUNCTION("IF(D468&lt;&gt;"""",SPLIT(D468,"" 
""),)"),"")</f>
        <v/>
      </c>
    </row>
    <row r="469">
      <c r="A469" s="26" t="str">
        <f t="shared" si="1"/>
        <v/>
      </c>
      <c r="B469" s="26" t="str">
        <f t="shared" si="2"/>
        <v/>
      </c>
      <c r="C469" s="207" t="str">
        <f t="shared" si="3"/>
        <v/>
      </c>
      <c r="D469" s="208"/>
      <c r="E469" s="194" t="str">
        <f>IFERROR(__xludf.DUMMYFUNCTION("IF(D469&lt;&gt;"""",SPLIT(D469,"" 
""),)"),"")</f>
        <v/>
      </c>
    </row>
    <row r="470">
      <c r="A470" s="26" t="str">
        <f t="shared" si="1"/>
        <v/>
      </c>
      <c r="B470" s="26" t="str">
        <f t="shared" si="2"/>
        <v/>
      </c>
      <c r="C470" s="207" t="str">
        <f t="shared" si="3"/>
        <v/>
      </c>
      <c r="D470" s="208"/>
      <c r="E470" s="194" t="str">
        <f>IFERROR(__xludf.DUMMYFUNCTION("IF(D470&lt;&gt;"""",SPLIT(D470,"" 
""),)"),"")</f>
        <v/>
      </c>
    </row>
    <row r="471">
      <c r="A471" s="26" t="str">
        <f t="shared" si="1"/>
        <v/>
      </c>
      <c r="B471" s="26" t="str">
        <f t="shared" si="2"/>
        <v/>
      </c>
      <c r="C471" s="207" t="str">
        <f t="shared" si="3"/>
        <v/>
      </c>
      <c r="D471" s="208"/>
      <c r="E471" s="194" t="str">
        <f>IFERROR(__xludf.DUMMYFUNCTION("IF(D471&lt;&gt;"""",SPLIT(D471,"" 
""),)"),"")</f>
        <v/>
      </c>
    </row>
    <row r="472">
      <c r="A472" s="26" t="str">
        <f t="shared" si="1"/>
        <v/>
      </c>
      <c r="B472" s="26" t="str">
        <f t="shared" si="2"/>
        <v/>
      </c>
      <c r="C472" s="207" t="str">
        <f t="shared" si="3"/>
        <v/>
      </c>
      <c r="D472" s="208"/>
      <c r="E472" s="194" t="str">
        <f>IFERROR(__xludf.DUMMYFUNCTION("IF(D472&lt;&gt;"""",SPLIT(D472,"" 
""),)"),"")</f>
        <v/>
      </c>
    </row>
    <row r="473">
      <c r="A473" s="26" t="str">
        <f t="shared" si="1"/>
        <v/>
      </c>
      <c r="B473" s="26" t="str">
        <f t="shared" si="2"/>
        <v/>
      </c>
      <c r="C473" s="207" t="str">
        <f t="shared" si="3"/>
        <v/>
      </c>
      <c r="D473" s="208"/>
      <c r="E473" s="194" t="str">
        <f>IFERROR(__xludf.DUMMYFUNCTION("IF(D473&lt;&gt;"""",SPLIT(D473,"" 
""),)"),"")</f>
        <v/>
      </c>
    </row>
    <row r="474">
      <c r="A474" s="26" t="str">
        <f t="shared" si="1"/>
        <v/>
      </c>
      <c r="B474" s="26" t="str">
        <f t="shared" si="2"/>
        <v/>
      </c>
      <c r="C474" s="207" t="str">
        <f t="shared" si="3"/>
        <v/>
      </c>
      <c r="D474" s="208"/>
      <c r="E474" s="194" t="str">
        <f>IFERROR(__xludf.DUMMYFUNCTION("IF(D474&lt;&gt;"""",SPLIT(D474,"" 
""),)"),"")</f>
        <v/>
      </c>
    </row>
    <row r="475">
      <c r="A475" s="26" t="str">
        <f t="shared" si="1"/>
        <v/>
      </c>
      <c r="B475" s="26" t="str">
        <f t="shared" si="2"/>
        <v/>
      </c>
      <c r="C475" s="207" t="str">
        <f t="shared" si="3"/>
        <v/>
      </c>
      <c r="D475" s="208"/>
      <c r="E475" s="194" t="str">
        <f>IFERROR(__xludf.DUMMYFUNCTION("IF(D475&lt;&gt;"""",SPLIT(D475,"" 
""),)"),"")</f>
        <v/>
      </c>
    </row>
    <row r="476">
      <c r="A476" s="26" t="str">
        <f t="shared" si="1"/>
        <v/>
      </c>
      <c r="B476" s="26" t="str">
        <f t="shared" si="2"/>
        <v/>
      </c>
      <c r="C476" s="207" t="str">
        <f t="shared" si="3"/>
        <v/>
      </c>
      <c r="D476" s="208"/>
      <c r="E476" s="194" t="str">
        <f>IFERROR(__xludf.DUMMYFUNCTION("IF(D476&lt;&gt;"""",SPLIT(D476,"" 
""),)"),"")</f>
        <v/>
      </c>
    </row>
    <row r="477">
      <c r="A477" s="26" t="str">
        <f t="shared" si="1"/>
        <v/>
      </c>
      <c r="B477" s="26" t="str">
        <f t="shared" si="2"/>
        <v/>
      </c>
      <c r="C477" s="207" t="str">
        <f t="shared" si="3"/>
        <v/>
      </c>
      <c r="D477" s="208"/>
      <c r="E477" s="194" t="str">
        <f>IFERROR(__xludf.DUMMYFUNCTION("IF(D477&lt;&gt;"""",SPLIT(D477,"" 
""),)"),"")</f>
        <v/>
      </c>
    </row>
    <row r="478">
      <c r="A478" s="26" t="str">
        <f t="shared" si="1"/>
        <v/>
      </c>
      <c r="B478" s="26" t="str">
        <f t="shared" si="2"/>
        <v/>
      </c>
      <c r="C478" s="207" t="str">
        <f t="shared" si="3"/>
        <v/>
      </c>
      <c r="D478" s="208"/>
      <c r="E478" s="194" t="str">
        <f>IFERROR(__xludf.DUMMYFUNCTION("IF(D478&lt;&gt;"""",SPLIT(D478,"" 
""),)"),"")</f>
        <v/>
      </c>
    </row>
    <row r="479">
      <c r="A479" s="26" t="str">
        <f t="shared" si="1"/>
        <v/>
      </c>
      <c r="B479" s="26" t="str">
        <f t="shared" si="2"/>
        <v/>
      </c>
      <c r="C479" s="207" t="str">
        <f t="shared" si="3"/>
        <v/>
      </c>
      <c r="D479" s="208"/>
      <c r="E479" s="194" t="str">
        <f>IFERROR(__xludf.DUMMYFUNCTION("IF(D479&lt;&gt;"""",SPLIT(D479,"" 
""),)"),"")</f>
        <v/>
      </c>
    </row>
    <row r="480">
      <c r="A480" s="26" t="str">
        <f t="shared" si="1"/>
        <v/>
      </c>
      <c r="B480" s="26" t="str">
        <f t="shared" si="2"/>
        <v/>
      </c>
      <c r="C480" s="207" t="str">
        <f t="shared" si="3"/>
        <v/>
      </c>
      <c r="D480" s="208"/>
      <c r="E480" s="194" t="str">
        <f>IFERROR(__xludf.DUMMYFUNCTION("IF(D480&lt;&gt;"""",SPLIT(D480,"" 
""),)"),"")</f>
        <v/>
      </c>
    </row>
    <row r="481">
      <c r="A481" s="26" t="str">
        <f t="shared" si="1"/>
        <v/>
      </c>
      <c r="B481" s="26" t="str">
        <f t="shared" si="2"/>
        <v/>
      </c>
      <c r="C481" s="207" t="str">
        <f t="shared" si="3"/>
        <v/>
      </c>
      <c r="D481" s="208"/>
      <c r="E481" s="194" t="str">
        <f>IFERROR(__xludf.DUMMYFUNCTION("IF(D481&lt;&gt;"""",SPLIT(D481,"" 
""),)"),"")</f>
        <v/>
      </c>
    </row>
    <row r="482">
      <c r="A482" s="26" t="str">
        <f t="shared" si="1"/>
        <v/>
      </c>
      <c r="B482" s="26" t="str">
        <f t="shared" si="2"/>
        <v/>
      </c>
      <c r="C482" s="207" t="str">
        <f t="shared" si="3"/>
        <v/>
      </c>
      <c r="D482" s="208"/>
      <c r="E482" s="194" t="str">
        <f>IFERROR(__xludf.DUMMYFUNCTION("IF(D482&lt;&gt;"""",SPLIT(D482,"" 
""),)"),"")</f>
        <v/>
      </c>
    </row>
    <row r="483">
      <c r="A483" s="26" t="str">
        <f t="shared" si="1"/>
        <v/>
      </c>
      <c r="B483" s="26" t="str">
        <f t="shared" si="2"/>
        <v/>
      </c>
      <c r="C483" s="207" t="str">
        <f t="shared" si="3"/>
        <v/>
      </c>
      <c r="D483" s="208"/>
      <c r="E483" s="194" t="str">
        <f>IFERROR(__xludf.DUMMYFUNCTION("IF(D483&lt;&gt;"""",SPLIT(D483,"" 
""),)"),"")</f>
        <v/>
      </c>
    </row>
    <row r="484">
      <c r="A484" s="26" t="str">
        <f t="shared" si="1"/>
        <v/>
      </c>
      <c r="B484" s="26" t="str">
        <f t="shared" si="2"/>
        <v/>
      </c>
      <c r="C484" s="207" t="str">
        <f t="shared" si="3"/>
        <v/>
      </c>
      <c r="D484" s="208"/>
      <c r="E484" s="194" t="str">
        <f>IFERROR(__xludf.DUMMYFUNCTION("IF(D484&lt;&gt;"""",SPLIT(D484,"" 
""),)"),"")</f>
        <v/>
      </c>
    </row>
    <row r="485">
      <c r="A485" s="26" t="str">
        <f t="shared" si="1"/>
        <v/>
      </c>
      <c r="B485" s="26" t="str">
        <f t="shared" si="2"/>
        <v/>
      </c>
      <c r="C485" s="207" t="str">
        <f t="shared" si="3"/>
        <v/>
      </c>
      <c r="D485" s="208"/>
      <c r="E485" s="194" t="str">
        <f>IFERROR(__xludf.DUMMYFUNCTION("IF(D485&lt;&gt;"""",SPLIT(D485,"" 
""),)"),"")</f>
        <v/>
      </c>
    </row>
    <row r="486">
      <c r="A486" s="26" t="str">
        <f t="shared" si="1"/>
        <v/>
      </c>
      <c r="B486" s="26" t="str">
        <f t="shared" si="2"/>
        <v/>
      </c>
      <c r="C486" s="207" t="str">
        <f t="shared" si="3"/>
        <v/>
      </c>
      <c r="D486" s="208"/>
      <c r="E486" s="194" t="str">
        <f>IFERROR(__xludf.DUMMYFUNCTION("IF(D486&lt;&gt;"""",SPLIT(D486,"" 
""),)"),"")</f>
        <v/>
      </c>
    </row>
    <row r="487">
      <c r="A487" s="26" t="str">
        <f t="shared" si="1"/>
        <v/>
      </c>
      <c r="B487" s="26" t="str">
        <f t="shared" si="2"/>
        <v/>
      </c>
      <c r="C487" s="207" t="str">
        <f t="shared" si="3"/>
        <v/>
      </c>
      <c r="D487" s="208"/>
      <c r="E487" s="194" t="str">
        <f>IFERROR(__xludf.DUMMYFUNCTION("IF(D487&lt;&gt;"""",SPLIT(D487,"" 
""),)"),"")</f>
        <v/>
      </c>
    </row>
    <row r="488">
      <c r="A488" s="26" t="str">
        <f t="shared" si="1"/>
        <v/>
      </c>
      <c r="B488" s="26" t="str">
        <f t="shared" si="2"/>
        <v/>
      </c>
      <c r="C488" s="207" t="str">
        <f t="shared" si="3"/>
        <v/>
      </c>
      <c r="D488" s="208"/>
      <c r="E488" s="194" t="str">
        <f>IFERROR(__xludf.DUMMYFUNCTION("IF(D488&lt;&gt;"""",SPLIT(D488,"" 
""),)"),"")</f>
        <v/>
      </c>
    </row>
    <row r="489">
      <c r="A489" s="26" t="str">
        <f t="shared" si="1"/>
        <v/>
      </c>
      <c r="B489" s="26" t="str">
        <f t="shared" si="2"/>
        <v/>
      </c>
      <c r="C489" s="207" t="str">
        <f t="shared" si="3"/>
        <v/>
      </c>
      <c r="D489" s="208"/>
      <c r="E489" s="194" t="str">
        <f>IFERROR(__xludf.DUMMYFUNCTION("IF(D489&lt;&gt;"""",SPLIT(D489,"" 
""),)"),"")</f>
        <v/>
      </c>
    </row>
    <row r="490">
      <c r="A490" s="26" t="str">
        <f t="shared" si="1"/>
        <v/>
      </c>
      <c r="B490" s="26" t="str">
        <f t="shared" si="2"/>
        <v/>
      </c>
      <c r="C490" s="207" t="str">
        <f t="shared" si="3"/>
        <v/>
      </c>
      <c r="D490" s="208"/>
      <c r="E490" s="194" t="str">
        <f>IFERROR(__xludf.DUMMYFUNCTION("IF(D490&lt;&gt;"""",SPLIT(D490,"" 
""),)"),"")</f>
        <v/>
      </c>
    </row>
    <row r="491">
      <c r="A491" s="26" t="str">
        <f t="shared" si="1"/>
        <v/>
      </c>
      <c r="B491" s="26" t="str">
        <f t="shared" si="2"/>
        <v/>
      </c>
      <c r="C491" s="207" t="str">
        <f t="shared" si="3"/>
        <v/>
      </c>
      <c r="D491" s="208"/>
      <c r="E491" s="194" t="str">
        <f>IFERROR(__xludf.DUMMYFUNCTION("IF(D491&lt;&gt;"""",SPLIT(D491,"" 
""),)"),"")</f>
        <v/>
      </c>
    </row>
    <row r="492">
      <c r="A492" s="26" t="str">
        <f t="shared" si="1"/>
        <v/>
      </c>
      <c r="B492" s="26" t="str">
        <f t="shared" si="2"/>
        <v/>
      </c>
      <c r="C492" s="207" t="str">
        <f t="shared" si="3"/>
        <v/>
      </c>
      <c r="D492" s="208"/>
      <c r="E492" s="194" t="str">
        <f>IFERROR(__xludf.DUMMYFUNCTION("IF(D492&lt;&gt;"""",SPLIT(D492,"" 
""),)"),"")</f>
        <v/>
      </c>
    </row>
    <row r="493">
      <c r="A493" s="26" t="str">
        <f t="shared" si="1"/>
        <v/>
      </c>
      <c r="B493" s="26" t="str">
        <f t="shared" si="2"/>
        <v/>
      </c>
      <c r="C493" s="207" t="str">
        <f t="shared" si="3"/>
        <v/>
      </c>
      <c r="D493" s="208"/>
      <c r="E493" s="194" t="str">
        <f>IFERROR(__xludf.DUMMYFUNCTION("IF(D493&lt;&gt;"""",SPLIT(D493,"" 
""),)"),"")</f>
        <v/>
      </c>
    </row>
    <row r="494">
      <c r="A494" s="26" t="str">
        <f t="shared" si="1"/>
        <v/>
      </c>
      <c r="B494" s="26" t="str">
        <f t="shared" si="2"/>
        <v/>
      </c>
      <c r="C494" s="207" t="str">
        <f t="shared" si="3"/>
        <v/>
      </c>
      <c r="D494" s="208"/>
      <c r="E494" s="194" t="str">
        <f>IFERROR(__xludf.DUMMYFUNCTION("IF(D494&lt;&gt;"""",SPLIT(D494,"" 
""),)"),"")</f>
        <v/>
      </c>
    </row>
    <row r="495">
      <c r="A495" s="26" t="str">
        <f t="shared" si="1"/>
        <v/>
      </c>
      <c r="B495" s="26" t="str">
        <f t="shared" si="2"/>
        <v/>
      </c>
      <c r="C495" s="207" t="str">
        <f t="shared" si="3"/>
        <v/>
      </c>
      <c r="D495" s="208"/>
      <c r="E495" s="194" t="str">
        <f>IFERROR(__xludf.DUMMYFUNCTION("IF(D495&lt;&gt;"""",SPLIT(D495,"" 
""),)"),"")</f>
        <v/>
      </c>
    </row>
    <row r="496">
      <c r="A496" s="26" t="str">
        <f t="shared" si="1"/>
        <v/>
      </c>
      <c r="B496" s="26" t="str">
        <f t="shared" si="2"/>
        <v/>
      </c>
      <c r="C496" s="207" t="str">
        <f t="shared" si="3"/>
        <v/>
      </c>
      <c r="D496" s="208"/>
      <c r="E496" s="194" t="str">
        <f>IFERROR(__xludf.DUMMYFUNCTION("IF(D496&lt;&gt;"""",SPLIT(D496,"" 
""),)"),"")</f>
        <v/>
      </c>
    </row>
    <row r="497">
      <c r="A497" s="26" t="str">
        <f t="shared" si="1"/>
        <v/>
      </c>
      <c r="B497" s="26" t="str">
        <f t="shared" si="2"/>
        <v/>
      </c>
      <c r="C497" s="207" t="str">
        <f t="shared" si="3"/>
        <v/>
      </c>
      <c r="D497" s="208"/>
      <c r="E497" s="194" t="str">
        <f>IFERROR(__xludf.DUMMYFUNCTION("IF(D497&lt;&gt;"""",SPLIT(D497,"" 
""),)"),"")</f>
        <v/>
      </c>
    </row>
    <row r="498">
      <c r="A498" s="26" t="str">
        <f t="shared" si="1"/>
        <v/>
      </c>
      <c r="B498" s="26" t="str">
        <f t="shared" si="2"/>
        <v/>
      </c>
      <c r="C498" s="207" t="str">
        <f t="shared" si="3"/>
        <v/>
      </c>
      <c r="D498" s="208"/>
      <c r="E498" s="194" t="str">
        <f>IFERROR(__xludf.DUMMYFUNCTION("IF(D498&lt;&gt;"""",SPLIT(D498,"" 
""),)"),"")</f>
        <v/>
      </c>
    </row>
    <row r="499">
      <c r="A499" s="26" t="str">
        <f t="shared" si="1"/>
        <v/>
      </c>
      <c r="B499" s="26" t="str">
        <f t="shared" si="2"/>
        <v/>
      </c>
      <c r="C499" s="207" t="str">
        <f t="shared" si="3"/>
        <v/>
      </c>
      <c r="D499" s="208"/>
      <c r="E499" s="194" t="str">
        <f>IFERROR(__xludf.DUMMYFUNCTION("IF(D499&lt;&gt;"""",SPLIT(D499,"" 
""),)"),"")</f>
        <v/>
      </c>
    </row>
    <row r="500">
      <c r="A500" s="26" t="str">
        <f t="shared" si="1"/>
        <v/>
      </c>
      <c r="B500" s="26" t="str">
        <f t="shared" si="2"/>
        <v/>
      </c>
      <c r="C500" s="207" t="str">
        <f t="shared" si="3"/>
        <v/>
      </c>
      <c r="D500" s="208"/>
      <c r="E500" s="194" t="str">
        <f>IFERROR(__xludf.DUMMYFUNCTION("IF(D500&lt;&gt;"""",SPLIT(D500,"" 
""),)"),"")</f>
        <v/>
      </c>
    </row>
    <row r="501">
      <c r="A501" s="26" t="str">
        <f t="shared" si="1"/>
        <v/>
      </c>
      <c r="B501" s="26" t="str">
        <f t="shared" si="2"/>
        <v/>
      </c>
      <c r="C501" s="207" t="str">
        <f t="shared" si="3"/>
        <v/>
      </c>
      <c r="D501" s="208"/>
      <c r="E501" s="194" t="str">
        <f>IFERROR(__xludf.DUMMYFUNCTION("IF(D501&lt;&gt;"""",SPLIT(D501,"" 
""),)"),"")</f>
        <v/>
      </c>
    </row>
    <row r="502">
      <c r="A502" s="26" t="str">
        <f t="shared" si="1"/>
        <v/>
      </c>
      <c r="B502" s="26" t="str">
        <f t="shared" si="2"/>
        <v/>
      </c>
      <c r="C502" s="207" t="str">
        <f t="shared" si="3"/>
        <v/>
      </c>
      <c r="D502" s="208"/>
      <c r="E502" s="194" t="str">
        <f>IFERROR(__xludf.DUMMYFUNCTION("IF(D502&lt;&gt;"""",SPLIT(D502,"" 
""),)"),"")</f>
        <v/>
      </c>
    </row>
    <row r="503">
      <c r="A503" s="26" t="str">
        <f t="shared" si="1"/>
        <v/>
      </c>
      <c r="B503" s="26" t="str">
        <f t="shared" si="2"/>
        <v/>
      </c>
      <c r="C503" s="207" t="str">
        <f t="shared" si="3"/>
        <v/>
      </c>
      <c r="D503" s="208"/>
      <c r="E503" s="194" t="str">
        <f>IFERROR(__xludf.DUMMYFUNCTION("IF(D503&lt;&gt;"""",SPLIT(D503,"" 
""),)"),"")</f>
        <v/>
      </c>
    </row>
    <row r="504">
      <c r="A504" s="26" t="str">
        <f t="shared" si="1"/>
        <v/>
      </c>
      <c r="B504" s="26" t="str">
        <f t="shared" si="2"/>
        <v/>
      </c>
      <c r="C504" s="207" t="str">
        <f t="shared" si="3"/>
        <v/>
      </c>
      <c r="D504" s="208"/>
      <c r="E504" s="194" t="str">
        <f>IFERROR(__xludf.DUMMYFUNCTION("IF(D504&lt;&gt;"""",SPLIT(D504,"" 
""),)"),"")</f>
        <v/>
      </c>
    </row>
    <row r="505">
      <c r="A505" s="26" t="str">
        <f t="shared" si="1"/>
        <v/>
      </c>
      <c r="B505" s="26" t="str">
        <f t="shared" si="2"/>
        <v/>
      </c>
      <c r="C505" s="207" t="str">
        <f t="shared" si="3"/>
        <v/>
      </c>
      <c r="D505" s="208"/>
      <c r="E505" s="194" t="str">
        <f>IFERROR(__xludf.DUMMYFUNCTION("IF(D505&lt;&gt;"""",SPLIT(D505,"" 
""),)"),"")</f>
        <v/>
      </c>
    </row>
    <row r="506">
      <c r="A506" s="26" t="str">
        <f t="shared" si="1"/>
        <v/>
      </c>
      <c r="B506" s="26" t="str">
        <f t="shared" si="2"/>
        <v/>
      </c>
      <c r="C506" s="207" t="str">
        <f t="shared" si="3"/>
        <v/>
      </c>
      <c r="D506" s="208"/>
      <c r="E506" s="194" t="str">
        <f>IFERROR(__xludf.DUMMYFUNCTION("IF(D506&lt;&gt;"""",SPLIT(D506,"" 
""),)"),"")</f>
        <v/>
      </c>
    </row>
    <row r="507">
      <c r="A507" s="26" t="str">
        <f t="shared" si="1"/>
        <v/>
      </c>
      <c r="B507" s="26" t="str">
        <f t="shared" si="2"/>
        <v/>
      </c>
      <c r="C507" s="207" t="str">
        <f t="shared" si="3"/>
        <v/>
      </c>
      <c r="D507" s="208"/>
      <c r="E507" s="194" t="str">
        <f>IFERROR(__xludf.DUMMYFUNCTION("IF(D507&lt;&gt;"""",SPLIT(D507,"" 
""),)"),"")</f>
        <v/>
      </c>
    </row>
    <row r="508">
      <c r="A508" s="26" t="str">
        <f t="shared" si="1"/>
        <v/>
      </c>
      <c r="B508" s="26" t="str">
        <f t="shared" si="2"/>
        <v/>
      </c>
      <c r="C508" s="207" t="str">
        <f t="shared" si="3"/>
        <v/>
      </c>
      <c r="D508" s="208"/>
      <c r="E508" s="194" t="str">
        <f>IFERROR(__xludf.DUMMYFUNCTION("IF(D508&lt;&gt;"""",SPLIT(D508,"" 
""),)"),"")</f>
        <v/>
      </c>
    </row>
    <row r="509">
      <c r="A509" s="26" t="str">
        <f t="shared" si="1"/>
        <v/>
      </c>
      <c r="B509" s="26" t="str">
        <f t="shared" si="2"/>
        <v/>
      </c>
      <c r="C509" s="207" t="str">
        <f t="shared" si="3"/>
        <v/>
      </c>
      <c r="D509" s="208"/>
      <c r="E509" s="194" t="str">
        <f>IFERROR(__xludf.DUMMYFUNCTION("IF(D509&lt;&gt;"""",SPLIT(D509,"" 
""),)"),"")</f>
        <v/>
      </c>
    </row>
    <row r="510">
      <c r="A510" s="26" t="str">
        <f t="shared" si="1"/>
        <v/>
      </c>
      <c r="B510" s="26" t="str">
        <f t="shared" si="2"/>
        <v/>
      </c>
      <c r="C510" s="207" t="str">
        <f t="shared" si="3"/>
        <v/>
      </c>
      <c r="D510" s="208"/>
      <c r="E510" s="194" t="str">
        <f>IFERROR(__xludf.DUMMYFUNCTION("IF(D510&lt;&gt;"""",SPLIT(D510,"" 
""),)"),"")</f>
        <v/>
      </c>
    </row>
    <row r="511">
      <c r="A511" s="26" t="str">
        <f t="shared" si="1"/>
        <v/>
      </c>
      <c r="B511" s="26" t="str">
        <f t="shared" si="2"/>
        <v/>
      </c>
      <c r="C511" s="207" t="str">
        <f t="shared" si="3"/>
        <v/>
      </c>
      <c r="D511" s="208"/>
      <c r="E511" s="194" t="str">
        <f>IFERROR(__xludf.DUMMYFUNCTION("IF(D511&lt;&gt;"""",SPLIT(D511,"" 
""),)"),"")</f>
        <v/>
      </c>
    </row>
    <row r="512">
      <c r="A512" s="26" t="str">
        <f t="shared" si="1"/>
        <v/>
      </c>
      <c r="B512" s="26" t="str">
        <f t="shared" si="2"/>
        <v/>
      </c>
      <c r="C512" s="207" t="str">
        <f t="shared" si="3"/>
        <v/>
      </c>
      <c r="D512" s="208"/>
      <c r="E512" s="194" t="str">
        <f>IFERROR(__xludf.DUMMYFUNCTION("IF(D512&lt;&gt;"""",SPLIT(D512,"" 
""),)"),"")</f>
        <v/>
      </c>
    </row>
    <row r="513">
      <c r="A513" s="26" t="str">
        <f t="shared" si="1"/>
        <v/>
      </c>
      <c r="B513" s="26" t="str">
        <f t="shared" si="2"/>
        <v/>
      </c>
      <c r="C513" s="207" t="str">
        <f t="shared" si="3"/>
        <v/>
      </c>
      <c r="D513" s="208"/>
      <c r="E513" s="194" t="str">
        <f>IFERROR(__xludf.DUMMYFUNCTION("IF(D513&lt;&gt;"""",SPLIT(D513,"" 
""),)"),"")</f>
        <v/>
      </c>
    </row>
    <row r="514">
      <c r="A514" s="26" t="str">
        <f t="shared" si="1"/>
        <v/>
      </c>
      <c r="B514" s="26" t="str">
        <f t="shared" si="2"/>
        <v/>
      </c>
      <c r="C514" s="207" t="str">
        <f t="shared" si="3"/>
        <v/>
      </c>
      <c r="D514" s="208"/>
      <c r="E514" s="194" t="str">
        <f>IFERROR(__xludf.DUMMYFUNCTION("IF(D514&lt;&gt;"""",SPLIT(D514,"" 
""),)"),"")</f>
        <v/>
      </c>
    </row>
    <row r="515">
      <c r="A515" s="26" t="str">
        <f t="shared" si="1"/>
        <v/>
      </c>
      <c r="B515" s="26" t="str">
        <f t="shared" si="2"/>
        <v/>
      </c>
      <c r="C515" s="207" t="str">
        <f t="shared" si="3"/>
        <v/>
      </c>
      <c r="D515" s="208"/>
      <c r="E515" s="194" t="str">
        <f>IFERROR(__xludf.DUMMYFUNCTION("IF(D515&lt;&gt;"""",SPLIT(D515,"" 
""),)"),"")</f>
        <v/>
      </c>
    </row>
    <row r="516">
      <c r="A516" s="26" t="str">
        <f t="shared" si="1"/>
        <v/>
      </c>
      <c r="B516" s="26" t="str">
        <f t="shared" si="2"/>
        <v/>
      </c>
      <c r="C516" s="207" t="str">
        <f t="shared" si="3"/>
        <v/>
      </c>
      <c r="D516" s="208"/>
      <c r="E516" s="194" t="str">
        <f>IFERROR(__xludf.DUMMYFUNCTION("IF(D516&lt;&gt;"""",SPLIT(D516,"" 
""),)"),"")</f>
        <v/>
      </c>
    </row>
    <row r="517">
      <c r="A517" s="26" t="str">
        <f t="shared" si="1"/>
        <v/>
      </c>
      <c r="B517" s="26" t="str">
        <f t="shared" si="2"/>
        <v/>
      </c>
      <c r="C517" s="207" t="str">
        <f t="shared" si="3"/>
        <v/>
      </c>
      <c r="D517" s="208"/>
      <c r="E517" s="194" t="str">
        <f>IFERROR(__xludf.DUMMYFUNCTION("IF(D517&lt;&gt;"""",SPLIT(D517,"" 
""),)"),"")</f>
        <v/>
      </c>
    </row>
    <row r="518">
      <c r="A518" s="26" t="str">
        <f t="shared" si="1"/>
        <v/>
      </c>
      <c r="B518" s="26" t="str">
        <f t="shared" si="2"/>
        <v/>
      </c>
      <c r="C518" s="207" t="str">
        <f t="shared" si="3"/>
        <v/>
      </c>
      <c r="D518" s="208"/>
      <c r="E518" s="194" t="str">
        <f>IFERROR(__xludf.DUMMYFUNCTION("IF(D518&lt;&gt;"""",SPLIT(D518,"" 
""),)"),"")</f>
        <v/>
      </c>
    </row>
    <row r="519">
      <c r="A519" s="26" t="str">
        <f t="shared" si="1"/>
        <v/>
      </c>
      <c r="B519" s="26" t="str">
        <f t="shared" si="2"/>
        <v/>
      </c>
      <c r="C519" s="207" t="str">
        <f t="shared" si="3"/>
        <v/>
      </c>
      <c r="D519" s="208"/>
      <c r="E519" s="194" t="str">
        <f>IFERROR(__xludf.DUMMYFUNCTION("IF(D519&lt;&gt;"""",SPLIT(D519,"" 
""),)"),"")</f>
        <v/>
      </c>
    </row>
    <row r="520">
      <c r="A520" s="26" t="str">
        <f t="shared" si="1"/>
        <v/>
      </c>
      <c r="B520" s="26" t="str">
        <f t="shared" si="2"/>
        <v/>
      </c>
      <c r="C520" s="207" t="str">
        <f t="shared" si="3"/>
        <v/>
      </c>
      <c r="D520" s="208"/>
      <c r="E520" s="194" t="str">
        <f>IFERROR(__xludf.DUMMYFUNCTION("IF(D520&lt;&gt;"""",SPLIT(D520,"" 
""),)"),"")</f>
        <v/>
      </c>
    </row>
    <row r="521">
      <c r="A521" s="26" t="str">
        <f t="shared" si="1"/>
        <v/>
      </c>
      <c r="B521" s="26" t="str">
        <f t="shared" si="2"/>
        <v/>
      </c>
      <c r="C521" s="207" t="str">
        <f t="shared" si="3"/>
        <v/>
      </c>
      <c r="D521" s="208"/>
      <c r="E521" s="194" t="str">
        <f>IFERROR(__xludf.DUMMYFUNCTION("IF(D521&lt;&gt;"""",SPLIT(D521,"" 
""),)"),"")</f>
        <v/>
      </c>
    </row>
    <row r="522">
      <c r="A522" s="26" t="str">
        <f t="shared" si="1"/>
        <v/>
      </c>
      <c r="B522" s="26" t="str">
        <f t="shared" si="2"/>
        <v/>
      </c>
      <c r="C522" s="207" t="str">
        <f t="shared" si="3"/>
        <v/>
      </c>
      <c r="D522" s="208"/>
      <c r="E522" s="194" t="str">
        <f>IFERROR(__xludf.DUMMYFUNCTION("IF(D522&lt;&gt;"""",SPLIT(D522,"" 
""),)"),"")</f>
        <v/>
      </c>
    </row>
    <row r="523">
      <c r="A523" s="26" t="str">
        <f t="shared" si="1"/>
        <v/>
      </c>
      <c r="B523" s="26" t="str">
        <f t="shared" si="2"/>
        <v/>
      </c>
      <c r="C523" s="207" t="str">
        <f t="shared" si="3"/>
        <v/>
      </c>
      <c r="D523" s="208"/>
      <c r="E523" s="194" t="str">
        <f>IFERROR(__xludf.DUMMYFUNCTION("IF(D523&lt;&gt;"""",SPLIT(D523,"" 
""),)"),"")</f>
        <v/>
      </c>
    </row>
    <row r="524">
      <c r="A524" s="26" t="str">
        <f t="shared" si="1"/>
        <v/>
      </c>
      <c r="B524" s="26" t="str">
        <f t="shared" si="2"/>
        <v/>
      </c>
      <c r="C524" s="207" t="str">
        <f t="shared" si="3"/>
        <v/>
      </c>
      <c r="D524" s="208"/>
      <c r="E524" s="194" t="str">
        <f>IFERROR(__xludf.DUMMYFUNCTION("IF(D524&lt;&gt;"""",SPLIT(D524,"" 
""),)"),"")</f>
        <v/>
      </c>
    </row>
    <row r="525">
      <c r="A525" s="26" t="str">
        <f t="shared" si="1"/>
        <v/>
      </c>
      <c r="B525" s="26" t="str">
        <f t="shared" si="2"/>
        <v/>
      </c>
      <c r="C525" s="207" t="str">
        <f t="shared" si="3"/>
        <v/>
      </c>
      <c r="D525" s="208"/>
      <c r="E525" s="194" t="str">
        <f>IFERROR(__xludf.DUMMYFUNCTION("IF(D525&lt;&gt;"""",SPLIT(D525,"" 
""),)"),"")</f>
        <v/>
      </c>
    </row>
    <row r="526">
      <c r="A526" s="26" t="str">
        <f t="shared" si="1"/>
        <v/>
      </c>
      <c r="B526" s="26" t="str">
        <f t="shared" si="2"/>
        <v/>
      </c>
      <c r="C526" s="207" t="str">
        <f t="shared" si="3"/>
        <v/>
      </c>
      <c r="D526" s="208"/>
      <c r="E526" s="194" t="str">
        <f>IFERROR(__xludf.DUMMYFUNCTION("IF(D526&lt;&gt;"""",SPLIT(D526,"" 
""),)"),"")</f>
        <v/>
      </c>
    </row>
    <row r="527">
      <c r="A527" s="26" t="str">
        <f t="shared" si="1"/>
        <v/>
      </c>
      <c r="B527" s="26" t="str">
        <f t="shared" si="2"/>
        <v/>
      </c>
      <c r="C527" s="207" t="str">
        <f t="shared" si="3"/>
        <v/>
      </c>
      <c r="D527" s="208"/>
      <c r="E527" s="194" t="str">
        <f>IFERROR(__xludf.DUMMYFUNCTION("IF(D527&lt;&gt;"""",SPLIT(D527,"" 
""),)"),"")</f>
        <v/>
      </c>
    </row>
    <row r="528">
      <c r="A528" s="26" t="str">
        <f t="shared" si="1"/>
        <v/>
      </c>
      <c r="B528" s="26" t="str">
        <f t="shared" si="2"/>
        <v/>
      </c>
      <c r="C528" s="207" t="str">
        <f t="shared" si="3"/>
        <v/>
      </c>
      <c r="D528" s="208"/>
      <c r="E528" s="194" t="str">
        <f>IFERROR(__xludf.DUMMYFUNCTION("IF(D528&lt;&gt;"""",SPLIT(D528,"" 
""),)"),"")</f>
        <v/>
      </c>
    </row>
    <row r="529">
      <c r="A529" s="26" t="str">
        <f t="shared" si="1"/>
        <v/>
      </c>
      <c r="B529" s="26" t="str">
        <f t="shared" si="2"/>
        <v/>
      </c>
      <c r="C529" s="207" t="str">
        <f t="shared" si="3"/>
        <v/>
      </c>
      <c r="D529" s="208"/>
      <c r="E529" s="194" t="str">
        <f>IFERROR(__xludf.DUMMYFUNCTION("IF(D529&lt;&gt;"""",SPLIT(D529,"" 
""),)"),"")</f>
        <v/>
      </c>
    </row>
    <row r="530">
      <c r="A530" s="26" t="str">
        <f t="shared" si="1"/>
        <v/>
      </c>
      <c r="B530" s="26" t="str">
        <f t="shared" si="2"/>
        <v/>
      </c>
      <c r="C530" s="207" t="str">
        <f t="shared" si="3"/>
        <v/>
      </c>
      <c r="D530" s="208"/>
      <c r="E530" s="194" t="str">
        <f>IFERROR(__xludf.DUMMYFUNCTION("IF(D530&lt;&gt;"""",SPLIT(D530,"" 
""),)"),"")</f>
        <v/>
      </c>
    </row>
    <row r="531">
      <c r="A531" s="26" t="str">
        <f t="shared" si="1"/>
        <v/>
      </c>
      <c r="B531" s="26" t="str">
        <f t="shared" si="2"/>
        <v/>
      </c>
      <c r="C531" s="207" t="str">
        <f t="shared" si="3"/>
        <v/>
      </c>
      <c r="D531" s="208"/>
      <c r="E531" s="194" t="str">
        <f>IFERROR(__xludf.DUMMYFUNCTION("IF(D531&lt;&gt;"""",SPLIT(D531,"" 
""),)"),"")</f>
        <v/>
      </c>
    </row>
    <row r="532">
      <c r="A532" s="26" t="str">
        <f t="shared" si="1"/>
        <v/>
      </c>
      <c r="B532" s="26" t="str">
        <f t="shared" si="2"/>
        <v/>
      </c>
      <c r="C532" s="207" t="str">
        <f t="shared" si="3"/>
        <v/>
      </c>
      <c r="D532" s="208"/>
      <c r="E532" s="194" t="str">
        <f>IFERROR(__xludf.DUMMYFUNCTION("IF(D532&lt;&gt;"""",SPLIT(D532,"" 
""),)"),"")</f>
        <v/>
      </c>
    </row>
    <row r="533">
      <c r="A533" s="26" t="str">
        <f t="shared" si="1"/>
        <v/>
      </c>
      <c r="B533" s="26" t="str">
        <f t="shared" si="2"/>
        <v/>
      </c>
      <c r="C533" s="207" t="str">
        <f t="shared" si="3"/>
        <v/>
      </c>
      <c r="D533" s="208"/>
      <c r="E533" s="194" t="str">
        <f>IFERROR(__xludf.DUMMYFUNCTION("IF(D533&lt;&gt;"""",SPLIT(D533,"" 
""),)"),"")</f>
        <v/>
      </c>
    </row>
    <row r="534">
      <c r="A534" s="26" t="str">
        <f t="shared" si="1"/>
        <v/>
      </c>
      <c r="B534" s="26" t="str">
        <f t="shared" si="2"/>
        <v/>
      </c>
      <c r="C534" s="207" t="str">
        <f t="shared" si="3"/>
        <v/>
      </c>
      <c r="D534" s="208"/>
      <c r="E534" s="194" t="str">
        <f>IFERROR(__xludf.DUMMYFUNCTION("IF(D534&lt;&gt;"""",SPLIT(D534,"" 
""),)"),"")</f>
        <v/>
      </c>
    </row>
    <row r="535">
      <c r="A535" s="26" t="str">
        <f t="shared" si="1"/>
        <v/>
      </c>
      <c r="B535" s="26" t="str">
        <f t="shared" si="2"/>
        <v/>
      </c>
      <c r="C535" s="207" t="str">
        <f t="shared" si="3"/>
        <v/>
      </c>
      <c r="D535" s="208"/>
      <c r="E535" s="194" t="str">
        <f>IFERROR(__xludf.DUMMYFUNCTION("IF(D535&lt;&gt;"""",SPLIT(D535,"" 
""),)"),"")</f>
        <v/>
      </c>
    </row>
    <row r="536">
      <c r="A536" s="26" t="str">
        <f t="shared" si="1"/>
        <v/>
      </c>
      <c r="B536" s="26" t="str">
        <f t="shared" si="2"/>
        <v/>
      </c>
      <c r="C536" s="207" t="str">
        <f t="shared" si="3"/>
        <v/>
      </c>
      <c r="D536" s="208"/>
      <c r="E536" s="194" t="str">
        <f>IFERROR(__xludf.DUMMYFUNCTION("IF(D536&lt;&gt;"""",SPLIT(D536,"" 
""),)"),"")</f>
        <v/>
      </c>
    </row>
    <row r="537">
      <c r="A537" s="26" t="str">
        <f t="shared" si="1"/>
        <v/>
      </c>
      <c r="B537" s="26" t="str">
        <f t="shared" si="2"/>
        <v/>
      </c>
      <c r="C537" s="207" t="str">
        <f t="shared" si="3"/>
        <v/>
      </c>
      <c r="D537" s="208"/>
      <c r="E537" s="194" t="str">
        <f>IFERROR(__xludf.DUMMYFUNCTION("IF(D537&lt;&gt;"""",SPLIT(D537,"" 
""),)"),"")</f>
        <v/>
      </c>
    </row>
    <row r="538">
      <c r="A538" s="26" t="str">
        <f t="shared" si="1"/>
        <v/>
      </c>
      <c r="B538" s="26" t="str">
        <f t="shared" si="2"/>
        <v/>
      </c>
      <c r="C538" s="207" t="str">
        <f t="shared" si="3"/>
        <v/>
      </c>
      <c r="D538" s="208"/>
      <c r="E538" s="194" t="str">
        <f>IFERROR(__xludf.DUMMYFUNCTION("IF(D538&lt;&gt;"""",SPLIT(D538,"" 
""),)"),"")</f>
        <v/>
      </c>
    </row>
    <row r="539">
      <c r="A539" s="26" t="str">
        <f t="shared" si="1"/>
        <v/>
      </c>
      <c r="B539" s="26" t="str">
        <f t="shared" si="2"/>
        <v/>
      </c>
      <c r="C539" s="207" t="str">
        <f t="shared" si="3"/>
        <v/>
      </c>
      <c r="D539" s="208"/>
      <c r="E539" s="194" t="str">
        <f>IFERROR(__xludf.DUMMYFUNCTION("IF(D539&lt;&gt;"""",SPLIT(D539,"" 
""),)"),"")</f>
        <v/>
      </c>
    </row>
    <row r="540">
      <c r="A540" s="26" t="str">
        <f t="shared" si="1"/>
        <v/>
      </c>
      <c r="B540" s="26" t="str">
        <f t="shared" si="2"/>
        <v/>
      </c>
      <c r="C540" s="207" t="str">
        <f t="shared" si="3"/>
        <v/>
      </c>
      <c r="D540" s="208"/>
      <c r="E540" s="194" t="str">
        <f>IFERROR(__xludf.DUMMYFUNCTION("IF(D540&lt;&gt;"""",SPLIT(D540,"" 
""),)"),"")</f>
        <v/>
      </c>
    </row>
    <row r="541">
      <c r="A541" s="26" t="str">
        <f t="shared" si="1"/>
        <v/>
      </c>
      <c r="B541" s="26" t="str">
        <f t="shared" si="2"/>
        <v/>
      </c>
      <c r="C541" s="207" t="str">
        <f t="shared" si="3"/>
        <v/>
      </c>
      <c r="D541" s="208"/>
      <c r="E541" s="194" t="str">
        <f>IFERROR(__xludf.DUMMYFUNCTION("IF(D541&lt;&gt;"""",SPLIT(D541,"" 
""),)"),"")</f>
        <v/>
      </c>
    </row>
    <row r="542">
      <c r="A542" s="26" t="str">
        <f t="shared" si="1"/>
        <v/>
      </c>
      <c r="B542" s="26" t="str">
        <f t="shared" si="2"/>
        <v/>
      </c>
      <c r="C542" s="207" t="str">
        <f t="shared" si="3"/>
        <v/>
      </c>
      <c r="D542" s="208"/>
      <c r="E542" s="194" t="str">
        <f>IFERROR(__xludf.DUMMYFUNCTION("IF(D542&lt;&gt;"""",SPLIT(D542,"" 
""),)"),"")</f>
        <v/>
      </c>
    </row>
    <row r="543">
      <c r="A543" s="26" t="str">
        <f t="shared" si="1"/>
        <v/>
      </c>
      <c r="B543" s="26" t="str">
        <f t="shared" si="2"/>
        <v/>
      </c>
      <c r="C543" s="207" t="str">
        <f t="shared" si="3"/>
        <v/>
      </c>
      <c r="D543" s="208"/>
      <c r="E543" s="194" t="str">
        <f>IFERROR(__xludf.DUMMYFUNCTION("IF(D543&lt;&gt;"""",SPLIT(D543,"" 
""),)"),"")</f>
        <v/>
      </c>
    </row>
    <row r="544">
      <c r="A544" s="26" t="str">
        <f t="shared" si="1"/>
        <v/>
      </c>
      <c r="B544" s="26" t="str">
        <f t="shared" si="2"/>
        <v/>
      </c>
      <c r="C544" s="207" t="str">
        <f t="shared" si="3"/>
        <v/>
      </c>
      <c r="D544" s="208"/>
      <c r="E544" s="194" t="str">
        <f>IFERROR(__xludf.DUMMYFUNCTION("IF(D544&lt;&gt;"""",SPLIT(D544,"" 
""),)"),"")</f>
        <v/>
      </c>
    </row>
    <row r="545">
      <c r="A545" s="26" t="str">
        <f t="shared" si="1"/>
        <v/>
      </c>
      <c r="B545" s="26" t="str">
        <f t="shared" si="2"/>
        <v/>
      </c>
      <c r="C545" s="207" t="str">
        <f t="shared" si="3"/>
        <v/>
      </c>
      <c r="D545" s="208"/>
      <c r="E545" s="194" t="str">
        <f>IFERROR(__xludf.DUMMYFUNCTION("IF(D545&lt;&gt;"""",SPLIT(D545,"" 
""),)"),"")</f>
        <v/>
      </c>
    </row>
    <row r="546">
      <c r="A546" s="26" t="str">
        <f t="shared" si="1"/>
        <v/>
      </c>
      <c r="B546" s="26" t="str">
        <f t="shared" si="2"/>
        <v/>
      </c>
      <c r="C546" s="207" t="str">
        <f t="shared" si="3"/>
        <v/>
      </c>
      <c r="D546" s="208"/>
      <c r="E546" s="194" t="str">
        <f>IFERROR(__xludf.DUMMYFUNCTION("IF(D546&lt;&gt;"""",SPLIT(D546,"" 
""),)"),"")</f>
        <v/>
      </c>
    </row>
    <row r="547">
      <c r="A547" s="26" t="str">
        <f t="shared" si="1"/>
        <v/>
      </c>
      <c r="B547" s="26" t="str">
        <f t="shared" si="2"/>
        <v/>
      </c>
      <c r="C547" s="207" t="str">
        <f t="shared" si="3"/>
        <v/>
      </c>
      <c r="D547" s="208"/>
      <c r="E547" s="194" t="str">
        <f>IFERROR(__xludf.DUMMYFUNCTION("IF(D547&lt;&gt;"""",SPLIT(D547,"" 
""),)"),"")</f>
        <v/>
      </c>
    </row>
    <row r="548">
      <c r="A548" s="26" t="str">
        <f t="shared" si="1"/>
        <v/>
      </c>
      <c r="B548" s="26" t="str">
        <f t="shared" si="2"/>
        <v/>
      </c>
      <c r="C548" s="207" t="str">
        <f t="shared" si="3"/>
        <v/>
      </c>
      <c r="D548" s="208"/>
      <c r="E548" s="194" t="str">
        <f>IFERROR(__xludf.DUMMYFUNCTION("IF(D548&lt;&gt;"""",SPLIT(D548,"" 
""),)"),"")</f>
        <v/>
      </c>
    </row>
    <row r="549">
      <c r="A549" s="26" t="str">
        <f t="shared" si="1"/>
        <v/>
      </c>
      <c r="B549" s="26" t="str">
        <f t="shared" si="2"/>
        <v/>
      </c>
      <c r="C549" s="207" t="str">
        <f t="shared" si="3"/>
        <v/>
      </c>
      <c r="D549" s="208"/>
      <c r="E549" s="194" t="str">
        <f>IFERROR(__xludf.DUMMYFUNCTION("IF(D549&lt;&gt;"""",SPLIT(D549,"" 
""),)"),"")</f>
        <v/>
      </c>
    </row>
    <row r="550">
      <c r="A550" s="26" t="str">
        <f t="shared" si="1"/>
        <v/>
      </c>
      <c r="B550" s="26" t="str">
        <f t="shared" si="2"/>
        <v/>
      </c>
      <c r="C550" s="207" t="str">
        <f t="shared" si="3"/>
        <v/>
      </c>
      <c r="D550" s="208"/>
      <c r="E550" s="194" t="str">
        <f>IFERROR(__xludf.DUMMYFUNCTION("IF(D550&lt;&gt;"""",SPLIT(D550,"" 
""),)"),"")</f>
        <v/>
      </c>
    </row>
    <row r="551">
      <c r="A551" s="26" t="str">
        <f t="shared" si="1"/>
        <v/>
      </c>
      <c r="B551" s="26" t="str">
        <f t="shared" si="2"/>
        <v/>
      </c>
      <c r="C551" s="207" t="str">
        <f t="shared" si="3"/>
        <v/>
      </c>
      <c r="D551" s="208"/>
      <c r="E551" s="194" t="str">
        <f>IFERROR(__xludf.DUMMYFUNCTION("IF(D551&lt;&gt;"""",SPLIT(D551,"" 
""),)"),"")</f>
        <v/>
      </c>
    </row>
    <row r="552">
      <c r="A552" s="26" t="str">
        <f t="shared" si="1"/>
        <v/>
      </c>
      <c r="B552" s="26" t="str">
        <f t="shared" si="2"/>
        <v/>
      </c>
      <c r="C552" s="207" t="str">
        <f t="shared" si="3"/>
        <v/>
      </c>
      <c r="D552" s="208"/>
      <c r="E552" s="194" t="str">
        <f>IFERROR(__xludf.DUMMYFUNCTION("IF(D552&lt;&gt;"""",SPLIT(D552,"" 
""),)"),"")</f>
        <v/>
      </c>
    </row>
    <row r="553">
      <c r="A553" s="26" t="str">
        <f t="shared" si="1"/>
        <v/>
      </c>
      <c r="B553" s="26" t="str">
        <f t="shared" si="2"/>
        <v/>
      </c>
      <c r="C553" s="207" t="str">
        <f t="shared" si="3"/>
        <v/>
      </c>
      <c r="D553" s="208"/>
      <c r="E553" s="194" t="str">
        <f>IFERROR(__xludf.DUMMYFUNCTION("IF(D553&lt;&gt;"""",SPLIT(D553,"" 
""),)"),"")</f>
        <v/>
      </c>
    </row>
    <row r="554">
      <c r="A554" s="26" t="str">
        <f t="shared" si="1"/>
        <v/>
      </c>
      <c r="B554" s="26" t="str">
        <f t="shared" si="2"/>
        <v/>
      </c>
      <c r="C554" s="207" t="str">
        <f t="shared" si="3"/>
        <v/>
      </c>
      <c r="D554" s="208"/>
      <c r="E554" s="194" t="str">
        <f>IFERROR(__xludf.DUMMYFUNCTION("IF(D554&lt;&gt;"""",SPLIT(D554,"" 
""),)"),"")</f>
        <v/>
      </c>
    </row>
    <row r="555">
      <c r="A555" s="26" t="str">
        <f t="shared" si="1"/>
        <v/>
      </c>
      <c r="B555" s="26" t="str">
        <f t="shared" si="2"/>
        <v/>
      </c>
      <c r="C555" s="207" t="str">
        <f t="shared" si="3"/>
        <v/>
      </c>
      <c r="D555" s="208"/>
      <c r="E555" s="194" t="str">
        <f>IFERROR(__xludf.DUMMYFUNCTION("IF(D555&lt;&gt;"""",SPLIT(D555,"" 
""),)"),"")</f>
        <v/>
      </c>
    </row>
    <row r="556">
      <c r="A556" s="26" t="str">
        <f t="shared" si="1"/>
        <v/>
      </c>
      <c r="B556" s="26" t="str">
        <f t="shared" si="2"/>
        <v/>
      </c>
      <c r="C556" s="207" t="str">
        <f t="shared" si="3"/>
        <v/>
      </c>
      <c r="D556" s="208"/>
      <c r="E556" s="194" t="str">
        <f>IFERROR(__xludf.DUMMYFUNCTION("IF(D556&lt;&gt;"""",SPLIT(D556,"" 
""),)"),"")</f>
        <v/>
      </c>
    </row>
    <row r="557">
      <c r="A557" s="26" t="str">
        <f t="shared" si="1"/>
        <v/>
      </c>
      <c r="B557" s="26" t="str">
        <f t="shared" si="2"/>
        <v/>
      </c>
      <c r="C557" s="207" t="str">
        <f t="shared" si="3"/>
        <v/>
      </c>
      <c r="D557" s="208"/>
      <c r="E557" s="194" t="str">
        <f>IFERROR(__xludf.DUMMYFUNCTION("IF(D557&lt;&gt;"""",SPLIT(D557,"" 
""),)"),"")</f>
        <v/>
      </c>
    </row>
    <row r="558">
      <c r="A558" s="26" t="str">
        <f t="shared" si="1"/>
        <v/>
      </c>
      <c r="B558" s="26" t="str">
        <f t="shared" si="2"/>
        <v/>
      </c>
      <c r="C558" s="207" t="str">
        <f t="shared" si="3"/>
        <v/>
      </c>
      <c r="D558" s="208"/>
      <c r="E558" s="194" t="str">
        <f>IFERROR(__xludf.DUMMYFUNCTION("IF(D558&lt;&gt;"""",SPLIT(D558,"" 
""),)"),"")</f>
        <v/>
      </c>
    </row>
    <row r="559">
      <c r="A559" s="26" t="str">
        <f t="shared" si="1"/>
        <v/>
      </c>
      <c r="B559" s="26" t="str">
        <f t="shared" si="2"/>
        <v/>
      </c>
      <c r="C559" s="207" t="str">
        <f t="shared" si="3"/>
        <v/>
      </c>
      <c r="D559" s="208"/>
      <c r="E559" s="194" t="str">
        <f>IFERROR(__xludf.DUMMYFUNCTION("IF(D559&lt;&gt;"""",SPLIT(D559,"" 
""),)"),"")</f>
        <v/>
      </c>
    </row>
    <row r="560">
      <c r="A560" s="26" t="str">
        <f t="shared" si="1"/>
        <v/>
      </c>
      <c r="B560" s="26" t="str">
        <f t="shared" si="2"/>
        <v/>
      </c>
      <c r="C560" s="207" t="str">
        <f t="shared" si="3"/>
        <v/>
      </c>
      <c r="D560" s="208"/>
      <c r="E560" s="194" t="str">
        <f>IFERROR(__xludf.DUMMYFUNCTION("IF(D560&lt;&gt;"""",SPLIT(D560,"" 
""),)"),"")</f>
        <v/>
      </c>
    </row>
    <row r="561">
      <c r="A561" s="26" t="str">
        <f t="shared" si="1"/>
        <v/>
      </c>
      <c r="B561" s="26" t="str">
        <f t="shared" si="2"/>
        <v/>
      </c>
      <c r="C561" s="207" t="str">
        <f t="shared" si="3"/>
        <v/>
      </c>
      <c r="D561" s="208"/>
      <c r="E561" s="194" t="str">
        <f>IFERROR(__xludf.DUMMYFUNCTION("IF(D561&lt;&gt;"""",SPLIT(D561,"" 
""),)"),"")</f>
        <v/>
      </c>
    </row>
    <row r="562">
      <c r="A562" s="26" t="str">
        <f t="shared" si="1"/>
        <v/>
      </c>
      <c r="B562" s="26" t="str">
        <f t="shared" si="2"/>
        <v/>
      </c>
      <c r="C562" s="207" t="str">
        <f t="shared" si="3"/>
        <v/>
      </c>
      <c r="D562" s="208"/>
      <c r="E562" s="194" t="str">
        <f>IFERROR(__xludf.DUMMYFUNCTION("IF(D562&lt;&gt;"""",SPLIT(D562,"" 
""),)"),"")</f>
        <v/>
      </c>
    </row>
    <row r="563">
      <c r="A563" s="26" t="str">
        <f t="shared" si="1"/>
        <v/>
      </c>
      <c r="B563" s="26" t="str">
        <f t="shared" si="2"/>
        <v/>
      </c>
      <c r="C563" s="207" t="str">
        <f t="shared" si="3"/>
        <v/>
      </c>
      <c r="D563" s="208"/>
      <c r="E563" s="194" t="str">
        <f>IFERROR(__xludf.DUMMYFUNCTION("IF(D563&lt;&gt;"""",SPLIT(D563,"" 
""),)"),"")</f>
        <v/>
      </c>
    </row>
    <row r="564">
      <c r="A564" s="26" t="str">
        <f t="shared" si="1"/>
        <v/>
      </c>
      <c r="B564" s="26" t="str">
        <f t="shared" si="2"/>
        <v/>
      </c>
      <c r="C564" s="207" t="str">
        <f t="shared" si="3"/>
        <v/>
      </c>
      <c r="D564" s="208"/>
      <c r="E564" s="194" t="str">
        <f>IFERROR(__xludf.DUMMYFUNCTION("IF(D564&lt;&gt;"""",SPLIT(D564,"" 
""),)"),"")</f>
        <v/>
      </c>
    </row>
    <row r="565">
      <c r="A565" s="26" t="str">
        <f t="shared" si="1"/>
        <v/>
      </c>
      <c r="B565" s="26" t="str">
        <f t="shared" si="2"/>
        <v/>
      </c>
      <c r="C565" s="207" t="str">
        <f t="shared" si="3"/>
        <v/>
      </c>
      <c r="D565" s="208"/>
      <c r="E565" s="194" t="str">
        <f>IFERROR(__xludf.DUMMYFUNCTION("IF(D565&lt;&gt;"""",SPLIT(D565,"" 
""),)"),"")</f>
        <v/>
      </c>
    </row>
    <row r="566">
      <c r="A566" s="26" t="str">
        <f t="shared" si="1"/>
        <v/>
      </c>
      <c r="B566" s="26" t="str">
        <f t="shared" si="2"/>
        <v/>
      </c>
      <c r="C566" s="207" t="str">
        <f t="shared" si="3"/>
        <v/>
      </c>
      <c r="D566" s="208"/>
      <c r="E566" s="194" t="str">
        <f>IFERROR(__xludf.DUMMYFUNCTION("IF(D566&lt;&gt;"""",SPLIT(D566,"" 
""),)"),"")</f>
        <v/>
      </c>
    </row>
    <row r="567">
      <c r="A567" s="26" t="str">
        <f t="shared" si="1"/>
        <v/>
      </c>
      <c r="B567" s="26" t="str">
        <f t="shared" si="2"/>
        <v/>
      </c>
      <c r="C567" s="207" t="str">
        <f t="shared" si="3"/>
        <v/>
      </c>
      <c r="D567" s="208"/>
      <c r="E567" s="194" t="str">
        <f>IFERROR(__xludf.DUMMYFUNCTION("IF(D567&lt;&gt;"""",SPLIT(D567,"" 
""),)"),"")</f>
        <v/>
      </c>
    </row>
    <row r="568">
      <c r="A568" s="26" t="str">
        <f t="shared" si="1"/>
        <v/>
      </c>
      <c r="B568" s="26" t="str">
        <f t="shared" si="2"/>
        <v/>
      </c>
      <c r="C568" s="207" t="str">
        <f t="shared" si="3"/>
        <v/>
      </c>
      <c r="D568" s="208"/>
      <c r="E568" s="194" t="str">
        <f>IFERROR(__xludf.DUMMYFUNCTION("IF(D568&lt;&gt;"""",SPLIT(D568,"" 
""),)"),"")</f>
        <v/>
      </c>
    </row>
    <row r="569">
      <c r="A569" s="26" t="str">
        <f t="shared" si="1"/>
        <v/>
      </c>
      <c r="B569" s="26" t="str">
        <f t="shared" si="2"/>
        <v/>
      </c>
      <c r="C569" s="207" t="str">
        <f t="shared" si="3"/>
        <v/>
      </c>
      <c r="D569" s="208"/>
      <c r="E569" s="194" t="str">
        <f>IFERROR(__xludf.DUMMYFUNCTION("IF(D569&lt;&gt;"""",SPLIT(D569,"" 
""),)"),"")</f>
        <v/>
      </c>
    </row>
    <row r="570">
      <c r="A570" s="26" t="str">
        <f t="shared" si="1"/>
        <v/>
      </c>
      <c r="B570" s="26" t="str">
        <f t="shared" si="2"/>
        <v/>
      </c>
      <c r="C570" s="207" t="str">
        <f t="shared" si="3"/>
        <v/>
      </c>
      <c r="D570" s="208"/>
      <c r="E570" s="194" t="str">
        <f>IFERROR(__xludf.DUMMYFUNCTION("IF(D570&lt;&gt;"""",SPLIT(D570,"" 
""),)"),"")</f>
        <v/>
      </c>
    </row>
    <row r="571">
      <c r="A571" s="26" t="str">
        <f t="shared" si="1"/>
        <v/>
      </c>
      <c r="B571" s="26" t="str">
        <f t="shared" si="2"/>
        <v/>
      </c>
      <c r="C571" s="207" t="str">
        <f t="shared" si="3"/>
        <v/>
      </c>
      <c r="D571" s="208"/>
      <c r="E571" s="194" t="str">
        <f>IFERROR(__xludf.DUMMYFUNCTION("IF(D571&lt;&gt;"""",SPLIT(D571,"" 
""),)"),"")</f>
        <v/>
      </c>
    </row>
    <row r="572">
      <c r="A572" s="26" t="str">
        <f t="shared" si="1"/>
        <v/>
      </c>
      <c r="B572" s="26" t="str">
        <f t="shared" si="2"/>
        <v/>
      </c>
      <c r="C572" s="207" t="str">
        <f t="shared" si="3"/>
        <v/>
      </c>
      <c r="D572" s="208"/>
      <c r="E572" s="194" t="str">
        <f>IFERROR(__xludf.DUMMYFUNCTION("IF(D572&lt;&gt;"""",SPLIT(D572,"" 
""),)"),"")</f>
        <v/>
      </c>
    </row>
    <row r="573">
      <c r="A573" s="26" t="str">
        <f t="shared" si="1"/>
        <v/>
      </c>
      <c r="B573" s="26" t="str">
        <f t="shared" si="2"/>
        <v/>
      </c>
      <c r="C573" s="207" t="str">
        <f t="shared" si="3"/>
        <v/>
      </c>
      <c r="D573" s="208"/>
      <c r="E573" s="194" t="str">
        <f>IFERROR(__xludf.DUMMYFUNCTION("IF(D573&lt;&gt;"""",SPLIT(D573,"" 
""),)"),"")</f>
        <v/>
      </c>
    </row>
    <row r="574">
      <c r="A574" s="26" t="str">
        <f t="shared" si="1"/>
        <v/>
      </c>
      <c r="B574" s="26" t="str">
        <f t="shared" si="2"/>
        <v/>
      </c>
      <c r="C574" s="207" t="str">
        <f t="shared" si="3"/>
        <v/>
      </c>
      <c r="D574" s="208"/>
      <c r="E574" s="194" t="str">
        <f>IFERROR(__xludf.DUMMYFUNCTION("IF(D574&lt;&gt;"""",SPLIT(D574,"" 
""),)"),"")</f>
        <v/>
      </c>
    </row>
    <row r="575">
      <c r="A575" s="26" t="str">
        <f t="shared" si="1"/>
        <v/>
      </c>
      <c r="B575" s="26" t="str">
        <f t="shared" si="2"/>
        <v/>
      </c>
      <c r="C575" s="207" t="str">
        <f t="shared" si="3"/>
        <v/>
      </c>
      <c r="D575" s="208"/>
      <c r="E575" s="194" t="str">
        <f>IFERROR(__xludf.DUMMYFUNCTION("IF(D575&lt;&gt;"""",SPLIT(D575,"" 
""),)"),"")</f>
        <v/>
      </c>
    </row>
    <row r="576">
      <c r="A576" s="26" t="str">
        <f t="shared" si="1"/>
        <v/>
      </c>
      <c r="B576" s="26" t="str">
        <f t="shared" si="2"/>
        <v/>
      </c>
      <c r="C576" s="207" t="str">
        <f t="shared" si="3"/>
        <v/>
      </c>
      <c r="D576" s="208"/>
      <c r="E576" s="194" t="str">
        <f>IFERROR(__xludf.DUMMYFUNCTION("IF(D576&lt;&gt;"""",SPLIT(D576,"" 
""),)"),"")</f>
        <v/>
      </c>
    </row>
    <row r="577">
      <c r="A577" s="26" t="str">
        <f t="shared" si="1"/>
        <v/>
      </c>
      <c r="B577" s="26" t="str">
        <f t="shared" si="2"/>
        <v/>
      </c>
      <c r="C577" s="207" t="str">
        <f t="shared" si="3"/>
        <v/>
      </c>
      <c r="D577" s="208"/>
      <c r="E577" s="194" t="str">
        <f>IFERROR(__xludf.DUMMYFUNCTION("IF(D577&lt;&gt;"""",SPLIT(D577,"" 
""),)"),"")</f>
        <v/>
      </c>
    </row>
    <row r="578">
      <c r="A578" s="26" t="str">
        <f t="shared" si="1"/>
        <v/>
      </c>
      <c r="B578" s="26" t="str">
        <f t="shared" si="2"/>
        <v/>
      </c>
      <c r="C578" s="207" t="str">
        <f t="shared" si="3"/>
        <v/>
      </c>
      <c r="D578" s="208"/>
      <c r="E578" s="194" t="str">
        <f>IFERROR(__xludf.DUMMYFUNCTION("IF(D578&lt;&gt;"""",SPLIT(D578,"" 
""),)"),"")</f>
        <v/>
      </c>
    </row>
    <row r="579">
      <c r="A579" s="26" t="str">
        <f t="shared" si="1"/>
        <v/>
      </c>
      <c r="B579" s="26" t="str">
        <f t="shared" si="2"/>
        <v/>
      </c>
      <c r="C579" s="207" t="str">
        <f t="shared" si="3"/>
        <v/>
      </c>
      <c r="D579" s="208"/>
      <c r="E579" s="194" t="str">
        <f>IFERROR(__xludf.DUMMYFUNCTION("IF(D579&lt;&gt;"""",SPLIT(D579,"" 
""),)"),"")</f>
        <v/>
      </c>
    </row>
    <row r="580">
      <c r="A580" s="26" t="str">
        <f t="shared" si="1"/>
        <v/>
      </c>
      <c r="B580" s="26" t="str">
        <f t="shared" si="2"/>
        <v/>
      </c>
      <c r="C580" s="207" t="str">
        <f t="shared" si="3"/>
        <v/>
      </c>
      <c r="D580" s="208"/>
      <c r="E580" s="194" t="str">
        <f>IFERROR(__xludf.DUMMYFUNCTION("IF(D580&lt;&gt;"""",SPLIT(D580,"" 
""),)"),"")</f>
        <v/>
      </c>
    </row>
    <row r="581">
      <c r="A581" s="26" t="str">
        <f t="shared" si="1"/>
        <v/>
      </c>
      <c r="B581" s="26" t="str">
        <f t="shared" si="2"/>
        <v/>
      </c>
      <c r="C581" s="207" t="str">
        <f t="shared" si="3"/>
        <v/>
      </c>
      <c r="D581" s="208"/>
      <c r="E581" s="194" t="str">
        <f>IFERROR(__xludf.DUMMYFUNCTION("IF(D581&lt;&gt;"""",SPLIT(D581,"" 
""),)"),"")</f>
        <v/>
      </c>
    </row>
    <row r="582">
      <c r="A582" s="26" t="str">
        <f t="shared" si="1"/>
        <v/>
      </c>
      <c r="B582" s="26" t="str">
        <f t="shared" si="2"/>
        <v/>
      </c>
      <c r="C582" s="207" t="str">
        <f t="shared" si="3"/>
        <v/>
      </c>
      <c r="D582" s="208"/>
      <c r="E582" s="194" t="str">
        <f>IFERROR(__xludf.DUMMYFUNCTION("IF(D582&lt;&gt;"""",SPLIT(D582,"" 
""),)"),"")</f>
        <v/>
      </c>
    </row>
    <row r="583">
      <c r="A583" s="26" t="str">
        <f t="shared" si="1"/>
        <v/>
      </c>
      <c r="B583" s="26" t="str">
        <f t="shared" si="2"/>
        <v/>
      </c>
      <c r="C583" s="207" t="str">
        <f t="shared" si="3"/>
        <v/>
      </c>
      <c r="D583" s="208"/>
      <c r="E583" s="194" t="str">
        <f>IFERROR(__xludf.DUMMYFUNCTION("IF(D583&lt;&gt;"""",SPLIT(D583,"" 
""),)"),"")</f>
        <v/>
      </c>
    </row>
    <row r="584">
      <c r="A584" s="26" t="str">
        <f t="shared" si="1"/>
        <v/>
      </c>
      <c r="B584" s="26" t="str">
        <f t="shared" si="2"/>
        <v/>
      </c>
      <c r="C584" s="207" t="str">
        <f t="shared" si="3"/>
        <v/>
      </c>
      <c r="D584" s="208"/>
      <c r="E584" s="194" t="str">
        <f>IFERROR(__xludf.DUMMYFUNCTION("IF(D584&lt;&gt;"""",SPLIT(D584,"" 
""),)"),"")</f>
        <v/>
      </c>
    </row>
    <row r="585">
      <c r="A585" s="26" t="str">
        <f t="shared" si="1"/>
        <v/>
      </c>
      <c r="B585" s="26" t="str">
        <f t="shared" si="2"/>
        <v/>
      </c>
      <c r="C585" s="207" t="str">
        <f t="shared" si="3"/>
        <v/>
      </c>
      <c r="D585" s="208"/>
      <c r="E585" s="194" t="str">
        <f>IFERROR(__xludf.DUMMYFUNCTION("IF(D585&lt;&gt;"""",SPLIT(D585,"" 
""),)"),"")</f>
        <v/>
      </c>
    </row>
    <row r="586">
      <c r="A586" s="26" t="str">
        <f t="shared" si="1"/>
        <v/>
      </c>
      <c r="B586" s="26" t="str">
        <f t="shared" si="2"/>
        <v/>
      </c>
      <c r="C586" s="207" t="str">
        <f t="shared" si="3"/>
        <v/>
      </c>
      <c r="D586" s="208"/>
      <c r="E586" s="194" t="str">
        <f>IFERROR(__xludf.DUMMYFUNCTION("IF(D586&lt;&gt;"""",SPLIT(D586,"" 
""),)"),"")</f>
        <v/>
      </c>
    </row>
    <row r="587">
      <c r="A587" s="26" t="str">
        <f t="shared" si="1"/>
        <v/>
      </c>
      <c r="B587" s="26" t="str">
        <f t="shared" si="2"/>
        <v/>
      </c>
      <c r="C587" s="207" t="str">
        <f t="shared" si="3"/>
        <v/>
      </c>
      <c r="D587" s="208"/>
      <c r="E587" s="194" t="str">
        <f>IFERROR(__xludf.DUMMYFUNCTION("IF(D587&lt;&gt;"""",SPLIT(D587,"" 
""),)"),"")</f>
        <v/>
      </c>
    </row>
    <row r="588">
      <c r="A588" s="26" t="str">
        <f t="shared" si="1"/>
        <v/>
      </c>
      <c r="B588" s="26" t="str">
        <f t="shared" si="2"/>
        <v/>
      </c>
      <c r="C588" s="207" t="str">
        <f t="shared" si="3"/>
        <v/>
      </c>
      <c r="D588" s="208"/>
      <c r="E588" s="194" t="str">
        <f>IFERROR(__xludf.DUMMYFUNCTION("IF(D588&lt;&gt;"""",SPLIT(D588,"" 
""),)"),"")</f>
        <v/>
      </c>
    </row>
    <row r="589">
      <c r="A589" s="26" t="str">
        <f t="shared" si="1"/>
        <v/>
      </c>
      <c r="B589" s="26" t="str">
        <f t="shared" si="2"/>
        <v/>
      </c>
      <c r="C589" s="207" t="str">
        <f t="shared" si="3"/>
        <v/>
      </c>
      <c r="D589" s="208"/>
      <c r="E589" s="194" t="str">
        <f>IFERROR(__xludf.DUMMYFUNCTION("IF(D589&lt;&gt;"""",SPLIT(D589,"" 
""),)"),"")</f>
        <v/>
      </c>
    </row>
    <row r="590">
      <c r="A590" s="26" t="str">
        <f t="shared" si="1"/>
        <v/>
      </c>
      <c r="B590" s="26" t="str">
        <f t="shared" si="2"/>
        <v/>
      </c>
      <c r="C590" s="207" t="str">
        <f t="shared" si="3"/>
        <v/>
      </c>
      <c r="D590" s="208"/>
      <c r="E590" s="194" t="str">
        <f>IFERROR(__xludf.DUMMYFUNCTION("IF(D590&lt;&gt;"""",SPLIT(D590,"" 
""),)"),"")</f>
        <v/>
      </c>
    </row>
    <row r="591">
      <c r="A591" s="26" t="str">
        <f t="shared" si="1"/>
        <v/>
      </c>
      <c r="B591" s="26" t="str">
        <f t="shared" si="2"/>
        <v/>
      </c>
      <c r="C591" s="207" t="str">
        <f t="shared" si="3"/>
        <v/>
      </c>
      <c r="D591" s="208"/>
      <c r="E591" s="194" t="str">
        <f>IFERROR(__xludf.DUMMYFUNCTION("IF(D591&lt;&gt;"""",SPLIT(D591,"" 
""),)"),"")</f>
        <v/>
      </c>
    </row>
    <row r="592">
      <c r="A592" s="26" t="str">
        <f t="shared" si="1"/>
        <v/>
      </c>
      <c r="B592" s="26" t="str">
        <f t="shared" si="2"/>
        <v/>
      </c>
      <c r="C592" s="207" t="str">
        <f t="shared" si="3"/>
        <v/>
      </c>
      <c r="D592" s="208"/>
      <c r="E592" s="194" t="str">
        <f>IFERROR(__xludf.DUMMYFUNCTION("IF(D592&lt;&gt;"""",SPLIT(D592,"" 
""),)"),"")</f>
        <v/>
      </c>
    </row>
    <row r="593">
      <c r="A593" s="26" t="str">
        <f t="shared" si="1"/>
        <v/>
      </c>
      <c r="B593" s="26" t="str">
        <f t="shared" si="2"/>
        <v/>
      </c>
      <c r="C593" s="207" t="str">
        <f t="shared" si="3"/>
        <v/>
      </c>
      <c r="D593" s="208"/>
      <c r="E593" s="194" t="str">
        <f>IFERROR(__xludf.DUMMYFUNCTION("IF(D593&lt;&gt;"""",SPLIT(D593,"" 
""),)"),"")</f>
        <v/>
      </c>
    </row>
    <row r="594">
      <c r="A594" s="26" t="str">
        <f t="shared" si="1"/>
        <v/>
      </c>
      <c r="B594" s="26" t="str">
        <f t="shared" si="2"/>
        <v/>
      </c>
      <c r="C594" s="207" t="str">
        <f t="shared" si="3"/>
        <v/>
      </c>
      <c r="D594" s="208"/>
      <c r="E594" s="194" t="str">
        <f>IFERROR(__xludf.DUMMYFUNCTION("IF(D594&lt;&gt;"""",SPLIT(D594,"" 
""),)"),"")</f>
        <v/>
      </c>
    </row>
    <row r="595">
      <c r="A595" s="26" t="str">
        <f t="shared" si="1"/>
        <v/>
      </c>
      <c r="B595" s="26" t="str">
        <f t="shared" si="2"/>
        <v/>
      </c>
      <c r="C595" s="207" t="str">
        <f t="shared" si="3"/>
        <v/>
      </c>
      <c r="D595" s="208"/>
      <c r="E595" s="194" t="str">
        <f>IFERROR(__xludf.DUMMYFUNCTION("IF(D595&lt;&gt;"""",SPLIT(D595,"" 
""),)"),"")</f>
        <v/>
      </c>
    </row>
    <row r="596">
      <c r="A596" s="26" t="str">
        <f t="shared" si="1"/>
        <v/>
      </c>
      <c r="B596" s="26" t="str">
        <f t="shared" si="2"/>
        <v/>
      </c>
      <c r="C596" s="207" t="str">
        <f t="shared" si="3"/>
        <v/>
      </c>
      <c r="D596" s="208"/>
      <c r="E596" s="194" t="str">
        <f>IFERROR(__xludf.DUMMYFUNCTION("IF(D596&lt;&gt;"""",SPLIT(D596,"" 
""),)"),"")</f>
        <v/>
      </c>
    </row>
    <row r="597">
      <c r="A597" s="26" t="str">
        <f t="shared" si="1"/>
        <v/>
      </c>
      <c r="B597" s="26" t="str">
        <f t="shared" si="2"/>
        <v/>
      </c>
      <c r="C597" s="207" t="str">
        <f t="shared" si="3"/>
        <v/>
      </c>
      <c r="D597" s="208"/>
      <c r="E597" s="194" t="str">
        <f>IFERROR(__xludf.DUMMYFUNCTION("IF(D597&lt;&gt;"""",SPLIT(D597,"" 
""),)"),"")</f>
        <v/>
      </c>
    </row>
    <row r="598">
      <c r="A598" s="26" t="str">
        <f t="shared" si="1"/>
        <v/>
      </c>
      <c r="B598" s="26" t="str">
        <f t="shared" si="2"/>
        <v/>
      </c>
      <c r="C598" s="207" t="str">
        <f t="shared" si="3"/>
        <v/>
      </c>
      <c r="D598" s="208"/>
      <c r="E598" s="194" t="str">
        <f>IFERROR(__xludf.DUMMYFUNCTION("IF(D598&lt;&gt;"""",SPLIT(D598,"" 
""),)"),"")</f>
        <v/>
      </c>
    </row>
    <row r="599">
      <c r="A599" s="26" t="str">
        <f t="shared" si="1"/>
        <v/>
      </c>
      <c r="B599" s="26" t="str">
        <f t="shared" si="2"/>
        <v/>
      </c>
      <c r="C599" s="207" t="str">
        <f t="shared" si="3"/>
        <v/>
      </c>
      <c r="D599" s="208"/>
      <c r="E599" s="194" t="str">
        <f>IFERROR(__xludf.DUMMYFUNCTION("IF(D599&lt;&gt;"""",SPLIT(D599,"" 
""),)"),"")</f>
        <v/>
      </c>
    </row>
    <row r="600">
      <c r="A600" s="26" t="str">
        <f t="shared" si="1"/>
        <v/>
      </c>
      <c r="B600" s="26" t="str">
        <f t="shared" si="2"/>
        <v/>
      </c>
      <c r="C600" s="207" t="str">
        <f t="shared" si="3"/>
        <v/>
      </c>
      <c r="D600" s="208"/>
      <c r="E600" s="194" t="str">
        <f>IFERROR(__xludf.DUMMYFUNCTION("IF(D600&lt;&gt;"""",SPLIT(D600,"" 
""),)"),"")</f>
        <v/>
      </c>
    </row>
    <row r="601">
      <c r="A601" s="26" t="str">
        <f t="shared" si="1"/>
        <v/>
      </c>
      <c r="B601" s="26" t="str">
        <f t="shared" si="2"/>
        <v/>
      </c>
      <c r="C601" s="207" t="str">
        <f t="shared" si="3"/>
        <v/>
      </c>
      <c r="D601" s="208"/>
      <c r="E601" s="194" t="str">
        <f>IFERROR(__xludf.DUMMYFUNCTION("IF(D601&lt;&gt;"""",SPLIT(D601,"" 
""),)"),"")</f>
        <v/>
      </c>
    </row>
    <row r="602">
      <c r="A602" s="26" t="str">
        <f t="shared" si="1"/>
        <v/>
      </c>
      <c r="B602" s="26" t="str">
        <f t="shared" si="2"/>
        <v/>
      </c>
      <c r="C602" s="207" t="str">
        <f t="shared" si="3"/>
        <v/>
      </c>
      <c r="D602" s="208"/>
      <c r="E602" s="194" t="str">
        <f>IFERROR(__xludf.DUMMYFUNCTION("IF(D602&lt;&gt;"""",SPLIT(D602,"" 
""),)"),"")</f>
        <v/>
      </c>
    </row>
    <row r="603">
      <c r="A603" s="26" t="str">
        <f t="shared" si="1"/>
        <v/>
      </c>
      <c r="B603" s="26" t="str">
        <f t="shared" si="2"/>
        <v/>
      </c>
      <c r="C603" s="207" t="str">
        <f t="shared" si="3"/>
        <v/>
      </c>
      <c r="D603" s="208"/>
      <c r="E603" s="194" t="str">
        <f>IFERROR(__xludf.DUMMYFUNCTION("IF(D603&lt;&gt;"""",SPLIT(D603,"" 
""),)"),"")</f>
        <v/>
      </c>
    </row>
    <row r="604">
      <c r="A604" s="26" t="str">
        <f t="shared" si="1"/>
        <v/>
      </c>
      <c r="B604" s="26" t="str">
        <f t="shared" si="2"/>
        <v/>
      </c>
      <c r="C604" s="207" t="str">
        <f t="shared" si="3"/>
        <v/>
      </c>
      <c r="D604" s="208"/>
      <c r="E604" s="194" t="str">
        <f>IFERROR(__xludf.DUMMYFUNCTION("IF(D604&lt;&gt;"""",SPLIT(D604,"" 
""),)"),"")</f>
        <v/>
      </c>
    </row>
    <row r="605">
      <c r="A605" s="26" t="str">
        <f t="shared" si="1"/>
        <v/>
      </c>
      <c r="B605" s="26" t="str">
        <f t="shared" si="2"/>
        <v/>
      </c>
      <c r="C605" s="207" t="str">
        <f t="shared" si="3"/>
        <v/>
      </c>
      <c r="D605" s="208"/>
      <c r="E605" s="194" t="str">
        <f>IFERROR(__xludf.DUMMYFUNCTION("IF(D605&lt;&gt;"""",SPLIT(D605,"" 
""),)"),"")</f>
        <v/>
      </c>
    </row>
    <row r="606">
      <c r="A606" s="26" t="str">
        <f t="shared" si="1"/>
        <v/>
      </c>
      <c r="B606" s="26" t="str">
        <f t="shared" si="2"/>
        <v/>
      </c>
      <c r="C606" s="207" t="str">
        <f t="shared" si="3"/>
        <v/>
      </c>
      <c r="D606" s="208"/>
      <c r="E606" s="194" t="str">
        <f>IFERROR(__xludf.DUMMYFUNCTION("IF(D606&lt;&gt;"""",SPLIT(D606,"" 
""),)"),"")</f>
        <v/>
      </c>
    </row>
    <row r="607">
      <c r="A607" s="26" t="str">
        <f t="shared" si="1"/>
        <v/>
      </c>
      <c r="B607" s="26" t="str">
        <f t="shared" si="2"/>
        <v/>
      </c>
      <c r="C607" s="207" t="str">
        <f t="shared" si="3"/>
        <v/>
      </c>
      <c r="D607" s="208"/>
      <c r="E607" s="194" t="str">
        <f>IFERROR(__xludf.DUMMYFUNCTION("IF(D607&lt;&gt;"""",SPLIT(D607,"" 
""),)"),"")</f>
        <v/>
      </c>
    </row>
    <row r="608">
      <c r="A608" s="26" t="str">
        <f t="shared" si="1"/>
        <v/>
      </c>
      <c r="B608" s="26" t="str">
        <f t="shared" si="2"/>
        <v/>
      </c>
      <c r="C608" s="207" t="str">
        <f t="shared" si="3"/>
        <v/>
      </c>
      <c r="D608" s="208"/>
      <c r="E608" s="194" t="str">
        <f>IFERROR(__xludf.DUMMYFUNCTION("IF(D608&lt;&gt;"""",SPLIT(D608,"" 
""),)"),"")</f>
        <v/>
      </c>
    </row>
    <row r="609">
      <c r="A609" s="26" t="str">
        <f t="shared" si="1"/>
        <v/>
      </c>
      <c r="B609" s="26" t="str">
        <f t="shared" si="2"/>
        <v/>
      </c>
      <c r="C609" s="207" t="str">
        <f t="shared" si="3"/>
        <v/>
      </c>
      <c r="D609" s="208"/>
      <c r="E609" s="194" t="str">
        <f>IFERROR(__xludf.DUMMYFUNCTION("IF(D609&lt;&gt;"""",SPLIT(D609,"" 
""),)"),"")</f>
        <v/>
      </c>
    </row>
    <row r="610">
      <c r="A610" s="26" t="str">
        <f t="shared" si="1"/>
        <v/>
      </c>
      <c r="B610" s="26" t="str">
        <f t="shared" si="2"/>
        <v/>
      </c>
      <c r="C610" s="207" t="str">
        <f t="shared" si="3"/>
        <v/>
      </c>
      <c r="D610" s="208"/>
      <c r="E610" s="194" t="str">
        <f>IFERROR(__xludf.DUMMYFUNCTION("IF(D610&lt;&gt;"""",SPLIT(D610,"" 
""),)"),"")</f>
        <v/>
      </c>
    </row>
    <row r="611">
      <c r="A611" s="26" t="str">
        <f t="shared" si="1"/>
        <v/>
      </c>
      <c r="B611" s="26" t="str">
        <f t="shared" si="2"/>
        <v/>
      </c>
      <c r="C611" s="207" t="str">
        <f t="shared" si="3"/>
        <v/>
      </c>
      <c r="D611" s="208"/>
      <c r="E611" s="194" t="str">
        <f>IFERROR(__xludf.DUMMYFUNCTION("IF(D611&lt;&gt;"""",SPLIT(D611,"" 
""),)"),"")</f>
        <v/>
      </c>
    </row>
    <row r="612">
      <c r="A612" s="26" t="str">
        <f t="shared" si="1"/>
        <v/>
      </c>
      <c r="B612" s="26" t="str">
        <f t="shared" si="2"/>
        <v/>
      </c>
      <c r="C612" s="207" t="str">
        <f t="shared" si="3"/>
        <v/>
      </c>
      <c r="D612" s="208"/>
      <c r="E612" s="194" t="str">
        <f>IFERROR(__xludf.DUMMYFUNCTION("IF(D612&lt;&gt;"""",SPLIT(D612,"" 
""),)"),"")</f>
        <v/>
      </c>
    </row>
    <row r="613">
      <c r="A613" s="26" t="str">
        <f t="shared" si="1"/>
        <v/>
      </c>
      <c r="B613" s="26" t="str">
        <f t="shared" si="2"/>
        <v/>
      </c>
      <c r="C613" s="207" t="str">
        <f t="shared" si="3"/>
        <v/>
      </c>
      <c r="D613" s="208"/>
      <c r="E613" s="194" t="str">
        <f>IFERROR(__xludf.DUMMYFUNCTION("IF(D613&lt;&gt;"""",SPLIT(D613,"" 
""),)"),"")</f>
        <v/>
      </c>
    </row>
    <row r="614">
      <c r="A614" s="26" t="str">
        <f t="shared" si="1"/>
        <v/>
      </c>
      <c r="B614" s="26" t="str">
        <f t="shared" si="2"/>
        <v/>
      </c>
      <c r="C614" s="207" t="str">
        <f t="shared" si="3"/>
        <v/>
      </c>
      <c r="D614" s="208"/>
      <c r="E614" s="194" t="str">
        <f>IFERROR(__xludf.DUMMYFUNCTION("IF(D614&lt;&gt;"""",SPLIT(D614,"" 
""),)"),"")</f>
        <v/>
      </c>
    </row>
    <row r="615">
      <c r="A615" s="26" t="str">
        <f t="shared" si="1"/>
        <v/>
      </c>
      <c r="B615" s="26" t="str">
        <f t="shared" si="2"/>
        <v/>
      </c>
      <c r="C615" s="207" t="str">
        <f t="shared" si="3"/>
        <v/>
      </c>
      <c r="D615" s="208"/>
      <c r="E615" s="194" t="str">
        <f>IFERROR(__xludf.DUMMYFUNCTION("IF(D615&lt;&gt;"""",SPLIT(D615,"" 
""),)"),"")</f>
        <v/>
      </c>
    </row>
    <row r="616">
      <c r="A616" s="26" t="str">
        <f t="shared" si="1"/>
        <v/>
      </c>
      <c r="B616" s="26" t="str">
        <f t="shared" si="2"/>
        <v/>
      </c>
      <c r="C616" s="207" t="str">
        <f t="shared" si="3"/>
        <v/>
      </c>
      <c r="D616" s="208"/>
      <c r="E616" s="194" t="str">
        <f>IFERROR(__xludf.DUMMYFUNCTION("IF(D616&lt;&gt;"""",SPLIT(D616,"" 
""),)"),"")</f>
        <v/>
      </c>
    </row>
    <row r="617">
      <c r="A617" s="26" t="str">
        <f t="shared" si="1"/>
        <v/>
      </c>
      <c r="B617" s="26" t="str">
        <f t="shared" si="2"/>
        <v/>
      </c>
      <c r="C617" s="207" t="str">
        <f t="shared" si="3"/>
        <v/>
      </c>
      <c r="D617" s="208"/>
      <c r="E617" s="194" t="str">
        <f>IFERROR(__xludf.DUMMYFUNCTION("IF(D617&lt;&gt;"""",SPLIT(D617,"" 
""),)"),"")</f>
        <v/>
      </c>
    </row>
    <row r="618">
      <c r="A618" s="26" t="str">
        <f t="shared" si="1"/>
        <v/>
      </c>
      <c r="B618" s="26" t="str">
        <f t="shared" si="2"/>
        <v/>
      </c>
      <c r="C618" s="207" t="str">
        <f t="shared" si="3"/>
        <v/>
      </c>
      <c r="D618" s="208"/>
      <c r="E618" s="194" t="str">
        <f>IFERROR(__xludf.DUMMYFUNCTION("IF(D618&lt;&gt;"""",SPLIT(D618,"" 
""),)"),"")</f>
        <v/>
      </c>
    </row>
    <row r="619">
      <c r="A619" s="26" t="str">
        <f t="shared" si="1"/>
        <v/>
      </c>
      <c r="B619" s="26" t="str">
        <f t="shared" si="2"/>
        <v/>
      </c>
      <c r="C619" s="207" t="str">
        <f t="shared" si="3"/>
        <v/>
      </c>
      <c r="D619" s="208"/>
      <c r="E619" s="194" t="str">
        <f>IFERROR(__xludf.DUMMYFUNCTION("IF(D619&lt;&gt;"""",SPLIT(D619,"" 
""),)"),"")</f>
        <v/>
      </c>
    </row>
    <row r="620">
      <c r="A620" s="26" t="str">
        <f t="shared" si="1"/>
        <v/>
      </c>
      <c r="B620" s="26" t="str">
        <f t="shared" si="2"/>
        <v/>
      </c>
      <c r="C620" s="207" t="str">
        <f t="shared" si="3"/>
        <v/>
      </c>
      <c r="D620" s="208"/>
      <c r="E620" s="194" t="str">
        <f>IFERROR(__xludf.DUMMYFUNCTION("IF(D620&lt;&gt;"""",SPLIT(D620,"" 
""),)"),"")</f>
        <v/>
      </c>
    </row>
    <row r="621">
      <c r="A621" s="26" t="str">
        <f t="shared" si="1"/>
        <v/>
      </c>
      <c r="B621" s="26" t="str">
        <f t="shared" si="2"/>
        <v/>
      </c>
      <c r="C621" s="207" t="str">
        <f t="shared" si="3"/>
        <v/>
      </c>
      <c r="D621" s="208"/>
      <c r="E621" s="194" t="str">
        <f>IFERROR(__xludf.DUMMYFUNCTION("IF(D621&lt;&gt;"""",SPLIT(D621,"" 
""),)"),"")</f>
        <v/>
      </c>
    </row>
    <row r="622">
      <c r="A622" s="26" t="str">
        <f t="shared" si="1"/>
        <v/>
      </c>
      <c r="B622" s="26" t="str">
        <f t="shared" si="2"/>
        <v/>
      </c>
      <c r="C622" s="207" t="str">
        <f t="shared" si="3"/>
        <v/>
      </c>
      <c r="D622" s="208"/>
      <c r="E622" s="194" t="str">
        <f>IFERROR(__xludf.DUMMYFUNCTION("IF(D622&lt;&gt;"""",SPLIT(D622,"" 
""),)"),"")</f>
        <v/>
      </c>
    </row>
    <row r="623">
      <c r="A623" s="26" t="str">
        <f t="shared" si="1"/>
        <v/>
      </c>
      <c r="B623" s="26" t="str">
        <f t="shared" si="2"/>
        <v/>
      </c>
      <c r="C623" s="207" t="str">
        <f t="shared" si="3"/>
        <v/>
      </c>
      <c r="D623" s="208"/>
      <c r="E623" s="194" t="str">
        <f>IFERROR(__xludf.DUMMYFUNCTION("IF(D623&lt;&gt;"""",SPLIT(D623,"" 
""),)"),"")</f>
        <v/>
      </c>
    </row>
    <row r="624">
      <c r="A624" s="26" t="str">
        <f t="shared" si="1"/>
        <v/>
      </c>
      <c r="B624" s="26" t="str">
        <f t="shared" si="2"/>
        <v/>
      </c>
      <c r="C624" s="207" t="str">
        <f t="shared" si="3"/>
        <v/>
      </c>
      <c r="D624" s="208"/>
      <c r="E624" s="194" t="str">
        <f>IFERROR(__xludf.DUMMYFUNCTION("IF(D624&lt;&gt;"""",SPLIT(D624,"" 
""),)"),"")</f>
        <v/>
      </c>
    </row>
    <row r="625">
      <c r="A625" s="26" t="str">
        <f t="shared" si="1"/>
        <v/>
      </c>
      <c r="B625" s="26" t="str">
        <f t="shared" si="2"/>
        <v/>
      </c>
      <c r="C625" s="207" t="str">
        <f t="shared" si="3"/>
        <v/>
      </c>
      <c r="D625" s="208"/>
      <c r="E625" s="194" t="str">
        <f>IFERROR(__xludf.DUMMYFUNCTION("IF(D625&lt;&gt;"""",SPLIT(D625,"" 
""),)"),"")</f>
        <v/>
      </c>
    </row>
    <row r="626">
      <c r="A626" s="26" t="str">
        <f t="shared" si="1"/>
        <v/>
      </c>
      <c r="B626" s="26" t="str">
        <f t="shared" si="2"/>
        <v/>
      </c>
      <c r="C626" s="207" t="str">
        <f t="shared" si="3"/>
        <v/>
      </c>
      <c r="D626" s="208"/>
      <c r="E626" s="194" t="str">
        <f>IFERROR(__xludf.DUMMYFUNCTION("IF(D626&lt;&gt;"""",SPLIT(D626,"" 
""),)"),"")</f>
        <v/>
      </c>
    </row>
    <row r="627">
      <c r="A627" s="26" t="str">
        <f t="shared" si="1"/>
        <v/>
      </c>
      <c r="B627" s="26" t="str">
        <f t="shared" si="2"/>
        <v/>
      </c>
      <c r="C627" s="207" t="str">
        <f t="shared" si="3"/>
        <v/>
      </c>
      <c r="D627" s="208"/>
      <c r="E627" s="194" t="str">
        <f>IFERROR(__xludf.DUMMYFUNCTION("IF(D627&lt;&gt;"""",SPLIT(D627,"" 
""),)"),"")</f>
        <v/>
      </c>
    </row>
    <row r="628">
      <c r="A628" s="26" t="str">
        <f t="shared" si="1"/>
        <v/>
      </c>
      <c r="B628" s="26" t="str">
        <f t="shared" si="2"/>
        <v/>
      </c>
      <c r="C628" s="207" t="str">
        <f t="shared" si="3"/>
        <v/>
      </c>
      <c r="D628" s="208"/>
      <c r="E628" s="194" t="str">
        <f>IFERROR(__xludf.DUMMYFUNCTION("IF(D628&lt;&gt;"""",SPLIT(D628,"" 
""),)"),"")</f>
        <v/>
      </c>
    </row>
    <row r="629">
      <c r="A629" s="26" t="str">
        <f t="shared" si="1"/>
        <v/>
      </c>
      <c r="B629" s="26" t="str">
        <f t="shared" si="2"/>
        <v/>
      </c>
      <c r="C629" s="207" t="str">
        <f t="shared" si="3"/>
        <v/>
      </c>
      <c r="D629" s="208"/>
      <c r="E629" s="194" t="str">
        <f>IFERROR(__xludf.DUMMYFUNCTION("IF(D629&lt;&gt;"""",SPLIT(D629,"" 
""),)"),"")</f>
        <v/>
      </c>
    </row>
    <row r="630">
      <c r="A630" s="26" t="str">
        <f t="shared" si="1"/>
        <v/>
      </c>
      <c r="B630" s="26" t="str">
        <f t="shared" si="2"/>
        <v/>
      </c>
      <c r="C630" s="207" t="str">
        <f t="shared" si="3"/>
        <v/>
      </c>
      <c r="D630" s="208"/>
      <c r="E630" s="194" t="str">
        <f>IFERROR(__xludf.DUMMYFUNCTION("IF(D630&lt;&gt;"""",SPLIT(D630,"" 
""),)"),"")</f>
        <v/>
      </c>
    </row>
    <row r="631">
      <c r="A631" s="26" t="str">
        <f t="shared" si="1"/>
        <v/>
      </c>
      <c r="B631" s="26" t="str">
        <f t="shared" si="2"/>
        <v/>
      </c>
      <c r="C631" s="207" t="str">
        <f t="shared" si="3"/>
        <v/>
      </c>
      <c r="D631" s="208"/>
      <c r="E631" s="194" t="str">
        <f>IFERROR(__xludf.DUMMYFUNCTION("IF(D631&lt;&gt;"""",SPLIT(D631,"" 
""),)"),"")</f>
        <v/>
      </c>
    </row>
    <row r="632">
      <c r="A632" s="26" t="str">
        <f t="shared" si="1"/>
        <v/>
      </c>
      <c r="B632" s="26" t="str">
        <f t="shared" si="2"/>
        <v/>
      </c>
      <c r="C632" s="207" t="str">
        <f t="shared" si="3"/>
        <v/>
      </c>
      <c r="D632" s="208"/>
      <c r="E632" s="194" t="str">
        <f>IFERROR(__xludf.DUMMYFUNCTION("IF(D632&lt;&gt;"""",SPLIT(D632,"" 
""),)"),"")</f>
        <v/>
      </c>
    </row>
    <row r="633">
      <c r="A633" s="26" t="str">
        <f t="shared" si="1"/>
        <v/>
      </c>
      <c r="B633" s="26" t="str">
        <f t="shared" si="2"/>
        <v/>
      </c>
      <c r="C633" s="207" t="str">
        <f t="shared" si="3"/>
        <v/>
      </c>
      <c r="D633" s="208"/>
      <c r="E633" s="194" t="str">
        <f>IFERROR(__xludf.DUMMYFUNCTION("IF(D633&lt;&gt;"""",SPLIT(D633,"" 
""),)"),"")</f>
        <v/>
      </c>
    </row>
    <row r="634">
      <c r="A634" s="26" t="str">
        <f t="shared" si="1"/>
        <v/>
      </c>
      <c r="B634" s="26" t="str">
        <f t="shared" si="2"/>
        <v/>
      </c>
      <c r="C634" s="207" t="str">
        <f t="shared" si="3"/>
        <v/>
      </c>
      <c r="D634" s="208"/>
      <c r="E634" s="194" t="str">
        <f>IFERROR(__xludf.DUMMYFUNCTION("IF(D634&lt;&gt;"""",SPLIT(D634,"" 
""),)"),"")</f>
        <v/>
      </c>
    </row>
    <row r="635">
      <c r="A635" s="26" t="str">
        <f t="shared" si="1"/>
        <v/>
      </c>
      <c r="B635" s="26" t="str">
        <f t="shared" si="2"/>
        <v/>
      </c>
      <c r="C635" s="207" t="str">
        <f t="shared" si="3"/>
        <v/>
      </c>
      <c r="D635" s="208"/>
      <c r="E635" s="194" t="str">
        <f>IFERROR(__xludf.DUMMYFUNCTION("IF(D635&lt;&gt;"""",SPLIT(D635,"" 
""),)"),"")</f>
        <v/>
      </c>
    </row>
    <row r="636">
      <c r="A636" s="26" t="str">
        <f t="shared" si="1"/>
        <v/>
      </c>
      <c r="B636" s="26" t="str">
        <f t="shared" si="2"/>
        <v/>
      </c>
      <c r="C636" s="207" t="str">
        <f t="shared" si="3"/>
        <v/>
      </c>
      <c r="D636" s="208"/>
      <c r="E636" s="194" t="str">
        <f>IFERROR(__xludf.DUMMYFUNCTION("IF(D636&lt;&gt;"""",SPLIT(D636,"" 
""),)"),"")</f>
        <v/>
      </c>
    </row>
    <row r="637">
      <c r="A637" s="26" t="str">
        <f t="shared" si="1"/>
        <v/>
      </c>
      <c r="B637" s="26" t="str">
        <f t="shared" si="2"/>
        <v/>
      </c>
      <c r="C637" s="207" t="str">
        <f t="shared" si="3"/>
        <v/>
      </c>
      <c r="D637" s="208"/>
      <c r="E637" s="194" t="str">
        <f>IFERROR(__xludf.DUMMYFUNCTION("IF(D637&lt;&gt;"""",SPLIT(D637,"" 
""),)"),"")</f>
        <v/>
      </c>
    </row>
    <row r="638">
      <c r="A638" s="26" t="str">
        <f t="shared" si="1"/>
        <v/>
      </c>
      <c r="B638" s="26" t="str">
        <f t="shared" si="2"/>
        <v/>
      </c>
      <c r="C638" s="207" t="str">
        <f t="shared" si="3"/>
        <v/>
      </c>
      <c r="D638" s="208"/>
      <c r="E638" s="194" t="str">
        <f>IFERROR(__xludf.DUMMYFUNCTION("IF(D638&lt;&gt;"""",SPLIT(D638,"" 
""),)"),"")</f>
        <v/>
      </c>
    </row>
    <row r="639">
      <c r="A639" s="26" t="str">
        <f t="shared" si="1"/>
        <v/>
      </c>
      <c r="B639" s="26" t="str">
        <f t="shared" si="2"/>
        <v/>
      </c>
      <c r="C639" s="207" t="str">
        <f t="shared" si="3"/>
        <v/>
      </c>
      <c r="D639" s="208"/>
      <c r="E639" s="194" t="str">
        <f>IFERROR(__xludf.DUMMYFUNCTION("IF(D639&lt;&gt;"""",SPLIT(D639,"" 
""),)"),"")</f>
        <v/>
      </c>
    </row>
    <row r="640">
      <c r="A640" s="26" t="str">
        <f t="shared" si="1"/>
        <v/>
      </c>
      <c r="B640" s="26" t="str">
        <f t="shared" si="2"/>
        <v/>
      </c>
      <c r="C640" s="207" t="str">
        <f t="shared" si="3"/>
        <v/>
      </c>
      <c r="D640" s="208"/>
      <c r="E640" s="194" t="str">
        <f>IFERROR(__xludf.DUMMYFUNCTION("IF(D640&lt;&gt;"""",SPLIT(D640,"" 
""),)"),"")</f>
        <v/>
      </c>
    </row>
    <row r="641">
      <c r="A641" s="26" t="str">
        <f t="shared" si="1"/>
        <v/>
      </c>
      <c r="B641" s="26" t="str">
        <f t="shared" si="2"/>
        <v/>
      </c>
      <c r="C641" s="207" t="str">
        <f t="shared" si="3"/>
        <v/>
      </c>
      <c r="D641" s="208"/>
      <c r="E641" s="194" t="str">
        <f>IFERROR(__xludf.DUMMYFUNCTION("IF(D641&lt;&gt;"""",SPLIT(D641,"" 
""),)"),"")</f>
        <v/>
      </c>
    </row>
    <row r="642">
      <c r="A642" s="26" t="str">
        <f t="shared" si="1"/>
        <v/>
      </c>
      <c r="B642" s="26" t="str">
        <f t="shared" si="2"/>
        <v/>
      </c>
      <c r="C642" s="207" t="str">
        <f t="shared" si="3"/>
        <v/>
      </c>
      <c r="D642" s="208"/>
      <c r="E642" s="194" t="str">
        <f>IFERROR(__xludf.DUMMYFUNCTION("IF(D642&lt;&gt;"""",SPLIT(D642,"" 
""),)"),"")</f>
        <v/>
      </c>
    </row>
    <row r="643">
      <c r="A643" s="26" t="str">
        <f t="shared" si="1"/>
        <v/>
      </c>
      <c r="B643" s="26" t="str">
        <f t="shared" si="2"/>
        <v/>
      </c>
      <c r="C643" s="207" t="str">
        <f t="shared" si="3"/>
        <v/>
      </c>
      <c r="D643" s="208"/>
      <c r="E643" s="194" t="str">
        <f>IFERROR(__xludf.DUMMYFUNCTION("IF(D643&lt;&gt;"""",SPLIT(D643,"" 
""),)"),"")</f>
        <v/>
      </c>
    </row>
    <row r="644">
      <c r="A644" s="26" t="str">
        <f t="shared" si="1"/>
        <v/>
      </c>
      <c r="B644" s="26" t="str">
        <f t="shared" si="2"/>
        <v/>
      </c>
      <c r="C644" s="207" t="str">
        <f t="shared" si="3"/>
        <v/>
      </c>
      <c r="D644" s="208"/>
      <c r="E644" s="194" t="str">
        <f>IFERROR(__xludf.DUMMYFUNCTION("IF(D644&lt;&gt;"""",SPLIT(D644,"" 
""),)"),"")</f>
        <v/>
      </c>
    </row>
    <row r="645">
      <c r="A645" s="26" t="str">
        <f t="shared" si="1"/>
        <v/>
      </c>
      <c r="B645" s="26" t="str">
        <f t="shared" si="2"/>
        <v/>
      </c>
      <c r="C645" s="207" t="str">
        <f t="shared" si="3"/>
        <v/>
      </c>
      <c r="D645" s="208"/>
      <c r="E645" s="194" t="str">
        <f>IFERROR(__xludf.DUMMYFUNCTION("IF(D645&lt;&gt;"""",SPLIT(D645,"" 
""),)"),"")</f>
        <v/>
      </c>
    </row>
    <row r="646">
      <c r="A646" s="26" t="str">
        <f t="shared" si="1"/>
        <v/>
      </c>
      <c r="B646" s="26" t="str">
        <f t="shared" si="2"/>
        <v/>
      </c>
      <c r="C646" s="207" t="str">
        <f t="shared" si="3"/>
        <v/>
      </c>
      <c r="D646" s="208"/>
      <c r="E646" s="194" t="str">
        <f>IFERROR(__xludf.DUMMYFUNCTION("IF(D646&lt;&gt;"""",SPLIT(D646,"" 
""),)"),"")</f>
        <v/>
      </c>
    </row>
    <row r="647">
      <c r="A647" s="26" t="str">
        <f t="shared" si="1"/>
        <v/>
      </c>
      <c r="B647" s="26" t="str">
        <f t="shared" si="2"/>
        <v/>
      </c>
      <c r="C647" s="207" t="str">
        <f t="shared" si="3"/>
        <v/>
      </c>
      <c r="D647" s="208"/>
      <c r="E647" s="194" t="str">
        <f>IFERROR(__xludf.DUMMYFUNCTION("IF(D647&lt;&gt;"""",SPLIT(D647,"" 
""),)"),"")</f>
        <v/>
      </c>
    </row>
    <row r="648">
      <c r="A648" s="26" t="str">
        <f t="shared" si="1"/>
        <v/>
      </c>
      <c r="B648" s="26" t="str">
        <f t="shared" si="2"/>
        <v/>
      </c>
      <c r="C648" s="207" t="str">
        <f t="shared" si="3"/>
        <v/>
      </c>
      <c r="D648" s="208"/>
      <c r="E648" s="194" t="str">
        <f>IFERROR(__xludf.DUMMYFUNCTION("IF(D648&lt;&gt;"""",SPLIT(D648,"" 
""),)"),"")</f>
        <v/>
      </c>
    </row>
    <row r="649">
      <c r="A649" s="26" t="str">
        <f t="shared" si="1"/>
        <v/>
      </c>
      <c r="B649" s="26" t="str">
        <f t="shared" si="2"/>
        <v/>
      </c>
      <c r="C649" s="207" t="str">
        <f t="shared" si="3"/>
        <v/>
      </c>
      <c r="D649" s="208"/>
      <c r="E649" s="194" t="str">
        <f>IFERROR(__xludf.DUMMYFUNCTION("IF(D649&lt;&gt;"""",SPLIT(D649,"" 
""),)"),"")</f>
        <v/>
      </c>
    </row>
    <row r="650">
      <c r="A650" s="26" t="str">
        <f t="shared" si="1"/>
        <v/>
      </c>
      <c r="B650" s="26" t="str">
        <f t="shared" si="2"/>
        <v/>
      </c>
      <c r="C650" s="207" t="str">
        <f t="shared" si="3"/>
        <v/>
      </c>
      <c r="D650" s="208"/>
      <c r="E650" s="194" t="str">
        <f>IFERROR(__xludf.DUMMYFUNCTION("IF(D650&lt;&gt;"""",SPLIT(D650,"" 
""),)"),"")</f>
        <v/>
      </c>
    </row>
    <row r="651">
      <c r="A651" s="26" t="str">
        <f t="shared" si="1"/>
        <v/>
      </c>
      <c r="B651" s="26" t="str">
        <f t="shared" si="2"/>
        <v/>
      </c>
      <c r="C651" s="207" t="str">
        <f t="shared" si="3"/>
        <v/>
      </c>
      <c r="D651" s="208"/>
      <c r="E651" s="194" t="str">
        <f>IFERROR(__xludf.DUMMYFUNCTION("IF(D651&lt;&gt;"""",SPLIT(D651,"" 
""),)"),"")</f>
        <v/>
      </c>
    </row>
    <row r="652">
      <c r="A652" s="26" t="str">
        <f t="shared" si="1"/>
        <v/>
      </c>
      <c r="B652" s="26" t="str">
        <f t="shared" si="2"/>
        <v/>
      </c>
      <c r="C652" s="207" t="str">
        <f t="shared" si="3"/>
        <v/>
      </c>
      <c r="D652" s="208"/>
      <c r="E652" s="194" t="str">
        <f>IFERROR(__xludf.DUMMYFUNCTION("IF(D652&lt;&gt;"""",SPLIT(D652,"" 
""),)"),"")</f>
        <v/>
      </c>
    </row>
    <row r="653">
      <c r="A653" s="26" t="str">
        <f t="shared" si="1"/>
        <v/>
      </c>
      <c r="B653" s="26" t="str">
        <f t="shared" si="2"/>
        <v/>
      </c>
      <c r="C653" s="207" t="str">
        <f t="shared" si="3"/>
        <v/>
      </c>
      <c r="D653" s="208"/>
      <c r="E653" s="194" t="str">
        <f>IFERROR(__xludf.DUMMYFUNCTION("IF(D653&lt;&gt;"""",SPLIT(D653,"" 
""),)"),"")</f>
        <v/>
      </c>
    </row>
    <row r="654">
      <c r="A654" s="26" t="str">
        <f t="shared" si="1"/>
        <v/>
      </c>
      <c r="B654" s="26" t="str">
        <f t="shared" si="2"/>
        <v/>
      </c>
      <c r="C654" s="207" t="str">
        <f t="shared" si="3"/>
        <v/>
      </c>
      <c r="D654" s="208"/>
      <c r="E654" s="194" t="str">
        <f>IFERROR(__xludf.DUMMYFUNCTION("IF(D654&lt;&gt;"""",SPLIT(D654,"" 
""),)"),"")</f>
        <v/>
      </c>
    </row>
    <row r="655">
      <c r="A655" s="26" t="str">
        <f t="shared" si="1"/>
        <v/>
      </c>
      <c r="B655" s="26" t="str">
        <f t="shared" si="2"/>
        <v/>
      </c>
      <c r="C655" s="207" t="str">
        <f t="shared" si="3"/>
        <v/>
      </c>
      <c r="D655" s="208"/>
      <c r="E655" s="194" t="str">
        <f>IFERROR(__xludf.DUMMYFUNCTION("IF(D655&lt;&gt;"""",SPLIT(D655,"" 
""),)"),"")</f>
        <v/>
      </c>
    </row>
    <row r="656">
      <c r="A656" s="26" t="str">
        <f t="shared" si="1"/>
        <v/>
      </c>
      <c r="B656" s="26" t="str">
        <f t="shared" si="2"/>
        <v/>
      </c>
      <c r="C656" s="207" t="str">
        <f t="shared" si="3"/>
        <v/>
      </c>
      <c r="D656" s="208"/>
      <c r="E656" s="194" t="str">
        <f>IFERROR(__xludf.DUMMYFUNCTION("IF(D656&lt;&gt;"""",SPLIT(D656,"" 
""),)"),"")</f>
        <v/>
      </c>
    </row>
    <row r="657">
      <c r="A657" s="26" t="str">
        <f t="shared" si="1"/>
        <v/>
      </c>
      <c r="B657" s="26" t="str">
        <f t="shared" si="2"/>
        <v/>
      </c>
      <c r="C657" s="207" t="str">
        <f t="shared" si="3"/>
        <v/>
      </c>
      <c r="D657" s="208"/>
      <c r="E657" s="194" t="str">
        <f>IFERROR(__xludf.DUMMYFUNCTION("IF(D657&lt;&gt;"""",SPLIT(D657,"" 
""),)"),"")</f>
        <v/>
      </c>
    </row>
    <row r="658">
      <c r="A658" s="26" t="str">
        <f t="shared" si="1"/>
        <v/>
      </c>
      <c r="B658" s="26" t="str">
        <f t="shared" si="2"/>
        <v/>
      </c>
      <c r="C658" s="207" t="str">
        <f t="shared" si="3"/>
        <v/>
      </c>
      <c r="D658" s="208"/>
      <c r="E658" s="194" t="str">
        <f>IFERROR(__xludf.DUMMYFUNCTION("IF(D658&lt;&gt;"""",SPLIT(D658,"" 
""),)"),"")</f>
        <v/>
      </c>
    </row>
    <row r="659">
      <c r="A659" s="26" t="str">
        <f t="shared" si="1"/>
        <v/>
      </c>
      <c r="B659" s="26" t="str">
        <f t="shared" si="2"/>
        <v/>
      </c>
      <c r="C659" s="207" t="str">
        <f t="shared" si="3"/>
        <v/>
      </c>
      <c r="D659" s="208"/>
      <c r="E659" s="194" t="str">
        <f>IFERROR(__xludf.DUMMYFUNCTION("IF(D659&lt;&gt;"""",SPLIT(D659,"" 
""),)"),"")</f>
        <v/>
      </c>
    </row>
    <row r="660">
      <c r="A660" s="26" t="str">
        <f t="shared" si="1"/>
        <v/>
      </c>
      <c r="B660" s="26" t="str">
        <f t="shared" si="2"/>
        <v/>
      </c>
      <c r="C660" s="207" t="str">
        <f t="shared" si="3"/>
        <v/>
      </c>
      <c r="D660" s="208"/>
      <c r="E660" s="194" t="str">
        <f>IFERROR(__xludf.DUMMYFUNCTION("IF(D660&lt;&gt;"""",SPLIT(D660,"" 
""),)"),"")</f>
        <v/>
      </c>
    </row>
    <row r="661">
      <c r="A661" s="26" t="str">
        <f t="shared" si="1"/>
        <v/>
      </c>
      <c r="B661" s="26" t="str">
        <f t="shared" si="2"/>
        <v/>
      </c>
      <c r="C661" s="207" t="str">
        <f t="shared" si="3"/>
        <v/>
      </c>
      <c r="D661" s="208"/>
      <c r="E661" s="194" t="str">
        <f>IFERROR(__xludf.DUMMYFUNCTION("IF(D661&lt;&gt;"""",SPLIT(D661,"" 
""),)"),"")</f>
        <v/>
      </c>
    </row>
    <row r="662">
      <c r="A662" s="26" t="str">
        <f t="shared" si="1"/>
        <v/>
      </c>
      <c r="B662" s="26" t="str">
        <f t="shared" si="2"/>
        <v/>
      </c>
      <c r="C662" s="207" t="str">
        <f t="shared" si="3"/>
        <v/>
      </c>
      <c r="D662" s="208"/>
      <c r="E662" s="194" t="str">
        <f>IFERROR(__xludf.DUMMYFUNCTION("IF(D662&lt;&gt;"""",SPLIT(D662,"" 
""),)"),"")</f>
        <v/>
      </c>
    </row>
    <row r="663">
      <c r="A663" s="26" t="str">
        <f t="shared" si="1"/>
        <v/>
      </c>
      <c r="B663" s="26" t="str">
        <f t="shared" si="2"/>
        <v/>
      </c>
      <c r="C663" s="207" t="str">
        <f t="shared" si="3"/>
        <v/>
      </c>
      <c r="D663" s="208"/>
      <c r="E663" s="194" t="str">
        <f>IFERROR(__xludf.DUMMYFUNCTION("IF(D663&lt;&gt;"""",SPLIT(D663,"" 
""),)"),"")</f>
        <v/>
      </c>
    </row>
    <row r="664">
      <c r="A664" s="26" t="str">
        <f t="shared" si="1"/>
        <v/>
      </c>
      <c r="B664" s="26" t="str">
        <f t="shared" si="2"/>
        <v/>
      </c>
      <c r="C664" s="207" t="str">
        <f t="shared" si="3"/>
        <v/>
      </c>
      <c r="D664" s="208"/>
      <c r="E664" s="194" t="str">
        <f>IFERROR(__xludf.DUMMYFUNCTION("IF(D664&lt;&gt;"""",SPLIT(D664,"" 
""),)"),"")</f>
        <v/>
      </c>
    </row>
    <row r="665">
      <c r="A665" s="26" t="str">
        <f t="shared" si="1"/>
        <v/>
      </c>
      <c r="B665" s="26" t="str">
        <f t="shared" si="2"/>
        <v/>
      </c>
      <c r="C665" s="207" t="str">
        <f t="shared" si="3"/>
        <v/>
      </c>
      <c r="D665" s="208"/>
      <c r="E665" s="194" t="str">
        <f>IFERROR(__xludf.DUMMYFUNCTION("IF(D665&lt;&gt;"""",SPLIT(D665,"" 
""),)"),"")</f>
        <v/>
      </c>
    </row>
    <row r="666">
      <c r="A666" s="26" t="str">
        <f t="shared" si="1"/>
        <v/>
      </c>
      <c r="B666" s="26" t="str">
        <f t="shared" si="2"/>
        <v/>
      </c>
      <c r="C666" s="207" t="str">
        <f t="shared" si="3"/>
        <v/>
      </c>
      <c r="D666" s="208"/>
      <c r="E666" s="194" t="str">
        <f>IFERROR(__xludf.DUMMYFUNCTION("IF(D666&lt;&gt;"""",SPLIT(D666,"" 
""),)"),"")</f>
        <v/>
      </c>
    </row>
    <row r="667">
      <c r="A667" s="26" t="str">
        <f t="shared" si="1"/>
        <v/>
      </c>
      <c r="B667" s="26" t="str">
        <f t="shared" si="2"/>
        <v/>
      </c>
      <c r="C667" s="207" t="str">
        <f t="shared" si="3"/>
        <v/>
      </c>
      <c r="D667" s="208"/>
      <c r="E667" s="194" t="str">
        <f>IFERROR(__xludf.DUMMYFUNCTION("IF(D667&lt;&gt;"""",SPLIT(D667,"" 
""),)"),"")</f>
        <v/>
      </c>
    </row>
    <row r="668">
      <c r="A668" s="26" t="str">
        <f t="shared" si="1"/>
        <v/>
      </c>
      <c r="B668" s="26" t="str">
        <f t="shared" si="2"/>
        <v/>
      </c>
      <c r="C668" s="207" t="str">
        <f t="shared" si="3"/>
        <v/>
      </c>
      <c r="D668" s="208"/>
      <c r="E668" s="194" t="str">
        <f>IFERROR(__xludf.DUMMYFUNCTION("IF(D668&lt;&gt;"""",SPLIT(D668,"" 
""),)"),"")</f>
        <v/>
      </c>
    </row>
    <row r="669">
      <c r="A669" s="26" t="str">
        <f t="shared" si="1"/>
        <v/>
      </c>
      <c r="B669" s="26" t="str">
        <f t="shared" si="2"/>
        <v/>
      </c>
      <c r="C669" s="207" t="str">
        <f t="shared" si="3"/>
        <v/>
      </c>
      <c r="D669" s="208"/>
      <c r="E669" s="194" t="str">
        <f>IFERROR(__xludf.DUMMYFUNCTION("IF(D669&lt;&gt;"""",SPLIT(D669,"" 
""),)"),"")</f>
        <v/>
      </c>
    </row>
    <row r="670">
      <c r="A670" s="26" t="str">
        <f t="shared" si="1"/>
        <v/>
      </c>
      <c r="B670" s="26" t="str">
        <f t="shared" si="2"/>
        <v/>
      </c>
      <c r="C670" s="207" t="str">
        <f t="shared" si="3"/>
        <v/>
      </c>
      <c r="D670" s="208"/>
      <c r="E670" s="194" t="str">
        <f>IFERROR(__xludf.DUMMYFUNCTION("IF(D670&lt;&gt;"""",SPLIT(D670,"" 
""),)"),"")</f>
        <v/>
      </c>
    </row>
    <row r="671">
      <c r="A671" s="26" t="str">
        <f t="shared" si="1"/>
        <v/>
      </c>
      <c r="B671" s="26" t="str">
        <f t="shared" si="2"/>
        <v/>
      </c>
      <c r="C671" s="207" t="str">
        <f t="shared" si="3"/>
        <v/>
      </c>
      <c r="D671" s="208"/>
      <c r="E671" s="194" t="str">
        <f>IFERROR(__xludf.DUMMYFUNCTION("IF(D671&lt;&gt;"""",SPLIT(D671,"" 
""),)"),"")</f>
        <v/>
      </c>
    </row>
    <row r="672">
      <c r="A672" s="26" t="str">
        <f t="shared" si="1"/>
        <v/>
      </c>
      <c r="B672" s="26" t="str">
        <f t="shared" si="2"/>
        <v/>
      </c>
      <c r="C672" s="207" t="str">
        <f t="shared" si="3"/>
        <v/>
      </c>
      <c r="D672" s="208"/>
      <c r="E672" s="194" t="str">
        <f>IFERROR(__xludf.DUMMYFUNCTION("IF(D672&lt;&gt;"""",SPLIT(D672,"" 
""),)"),"")</f>
        <v/>
      </c>
    </row>
    <row r="673">
      <c r="A673" s="26" t="str">
        <f t="shared" si="1"/>
        <v/>
      </c>
      <c r="B673" s="26" t="str">
        <f t="shared" si="2"/>
        <v/>
      </c>
      <c r="C673" s="207" t="str">
        <f t="shared" si="3"/>
        <v/>
      </c>
      <c r="D673" s="208"/>
      <c r="E673" s="194" t="str">
        <f>IFERROR(__xludf.DUMMYFUNCTION("IF(D673&lt;&gt;"""",SPLIT(D673,"" 
""),)"),"")</f>
        <v/>
      </c>
    </row>
    <row r="674">
      <c r="A674" s="26" t="str">
        <f t="shared" si="1"/>
        <v/>
      </c>
      <c r="B674" s="26" t="str">
        <f t="shared" si="2"/>
        <v/>
      </c>
      <c r="C674" s="207" t="str">
        <f t="shared" si="3"/>
        <v/>
      </c>
      <c r="D674" s="208"/>
      <c r="E674" s="194" t="str">
        <f>IFERROR(__xludf.DUMMYFUNCTION("IF(D674&lt;&gt;"""",SPLIT(D674,"" 
""),)"),"")</f>
        <v/>
      </c>
    </row>
    <row r="675">
      <c r="A675" s="26" t="str">
        <f t="shared" si="1"/>
        <v/>
      </c>
      <c r="B675" s="26" t="str">
        <f t="shared" si="2"/>
        <v/>
      </c>
      <c r="C675" s="207" t="str">
        <f t="shared" si="3"/>
        <v/>
      </c>
      <c r="D675" s="208"/>
      <c r="E675" s="194" t="str">
        <f>IFERROR(__xludf.DUMMYFUNCTION("IF(D675&lt;&gt;"""",SPLIT(D675,"" 
""),)"),"")</f>
        <v/>
      </c>
    </row>
    <row r="676">
      <c r="A676" s="26" t="str">
        <f t="shared" si="1"/>
        <v/>
      </c>
      <c r="B676" s="26" t="str">
        <f t="shared" si="2"/>
        <v/>
      </c>
      <c r="C676" s="207" t="str">
        <f t="shared" si="3"/>
        <v/>
      </c>
      <c r="D676" s="208"/>
      <c r="E676" s="194" t="str">
        <f>IFERROR(__xludf.DUMMYFUNCTION("IF(D676&lt;&gt;"""",SPLIT(D676,"" 
""),)"),"")</f>
        <v/>
      </c>
    </row>
    <row r="677">
      <c r="A677" s="26" t="str">
        <f t="shared" si="1"/>
        <v/>
      </c>
      <c r="B677" s="26" t="str">
        <f t="shared" si="2"/>
        <v/>
      </c>
      <c r="C677" s="207" t="str">
        <f t="shared" si="3"/>
        <v/>
      </c>
      <c r="D677" s="208"/>
      <c r="E677" s="194" t="str">
        <f>IFERROR(__xludf.DUMMYFUNCTION("IF(D677&lt;&gt;"""",SPLIT(D677,"" 
""),)"),"")</f>
        <v/>
      </c>
    </row>
    <row r="678">
      <c r="A678" s="26" t="str">
        <f t="shared" si="1"/>
        <v/>
      </c>
      <c r="B678" s="26" t="str">
        <f t="shared" si="2"/>
        <v/>
      </c>
      <c r="C678" s="207" t="str">
        <f t="shared" si="3"/>
        <v/>
      </c>
      <c r="D678" s="208"/>
      <c r="E678" s="194" t="str">
        <f>IFERROR(__xludf.DUMMYFUNCTION("IF(D678&lt;&gt;"""",SPLIT(D678,"" 
""),)"),"")</f>
        <v/>
      </c>
    </row>
    <row r="679">
      <c r="A679" s="26" t="str">
        <f t="shared" si="1"/>
        <v/>
      </c>
      <c r="B679" s="26" t="str">
        <f t="shared" si="2"/>
        <v/>
      </c>
      <c r="C679" s="207" t="str">
        <f t="shared" si="3"/>
        <v/>
      </c>
      <c r="D679" s="208"/>
      <c r="E679" s="194" t="str">
        <f>IFERROR(__xludf.DUMMYFUNCTION("IF(D679&lt;&gt;"""",SPLIT(D679,"" 
""),)"),"")</f>
        <v/>
      </c>
    </row>
    <row r="680">
      <c r="A680" s="26" t="str">
        <f t="shared" si="1"/>
        <v/>
      </c>
      <c r="B680" s="26" t="str">
        <f t="shared" si="2"/>
        <v/>
      </c>
      <c r="C680" s="207" t="str">
        <f t="shared" si="3"/>
        <v/>
      </c>
      <c r="D680" s="208"/>
      <c r="E680" s="194" t="str">
        <f>IFERROR(__xludf.DUMMYFUNCTION("IF(D680&lt;&gt;"""",SPLIT(D680,"" 
""),)"),"")</f>
        <v/>
      </c>
    </row>
    <row r="681">
      <c r="A681" s="26" t="str">
        <f t="shared" si="1"/>
        <v/>
      </c>
      <c r="B681" s="26" t="str">
        <f t="shared" si="2"/>
        <v/>
      </c>
      <c r="C681" s="207" t="str">
        <f t="shared" si="3"/>
        <v/>
      </c>
      <c r="D681" s="208"/>
      <c r="E681" s="194" t="str">
        <f>IFERROR(__xludf.DUMMYFUNCTION("IF(D681&lt;&gt;"""",SPLIT(D681,"" 
""),)"),"")</f>
        <v/>
      </c>
    </row>
    <row r="682">
      <c r="A682" s="26" t="str">
        <f t="shared" si="1"/>
        <v/>
      </c>
      <c r="B682" s="26" t="str">
        <f t="shared" si="2"/>
        <v/>
      </c>
      <c r="C682" s="207" t="str">
        <f t="shared" si="3"/>
        <v/>
      </c>
      <c r="D682" s="208"/>
      <c r="E682" s="194" t="str">
        <f>IFERROR(__xludf.DUMMYFUNCTION("IF(D682&lt;&gt;"""",SPLIT(D682,"" 
""),)"),"")</f>
        <v/>
      </c>
    </row>
    <row r="683">
      <c r="A683" s="26" t="str">
        <f t="shared" si="1"/>
        <v/>
      </c>
      <c r="B683" s="26" t="str">
        <f t="shared" si="2"/>
        <v/>
      </c>
      <c r="C683" s="207" t="str">
        <f t="shared" si="3"/>
        <v/>
      </c>
      <c r="D683" s="208"/>
      <c r="E683" s="194" t="str">
        <f>IFERROR(__xludf.DUMMYFUNCTION("IF(D683&lt;&gt;"""",SPLIT(D683,"" 
""),)"),"")</f>
        <v/>
      </c>
    </row>
    <row r="684">
      <c r="A684" s="26" t="str">
        <f t="shared" si="1"/>
        <v/>
      </c>
      <c r="B684" s="26" t="str">
        <f t="shared" si="2"/>
        <v/>
      </c>
      <c r="C684" s="207" t="str">
        <f t="shared" si="3"/>
        <v/>
      </c>
      <c r="D684" s="208"/>
      <c r="E684" s="194" t="str">
        <f>IFERROR(__xludf.DUMMYFUNCTION("IF(D684&lt;&gt;"""",SPLIT(D684,"" 
""),)"),"")</f>
        <v/>
      </c>
    </row>
    <row r="685">
      <c r="A685" s="26" t="str">
        <f t="shared" si="1"/>
        <v/>
      </c>
      <c r="B685" s="26" t="str">
        <f t="shared" si="2"/>
        <v/>
      </c>
      <c r="C685" s="207" t="str">
        <f t="shared" si="3"/>
        <v/>
      </c>
      <c r="D685" s="208"/>
      <c r="E685" s="194" t="str">
        <f>IFERROR(__xludf.DUMMYFUNCTION("IF(D685&lt;&gt;"""",SPLIT(D685,"" 
""),)"),"")</f>
        <v/>
      </c>
    </row>
    <row r="686">
      <c r="A686" s="26" t="str">
        <f t="shared" si="1"/>
        <v/>
      </c>
      <c r="B686" s="26" t="str">
        <f t="shared" si="2"/>
        <v/>
      </c>
      <c r="C686" s="207" t="str">
        <f t="shared" si="3"/>
        <v/>
      </c>
      <c r="D686" s="208"/>
      <c r="E686" s="194" t="str">
        <f>IFERROR(__xludf.DUMMYFUNCTION("IF(D686&lt;&gt;"""",SPLIT(D686,"" 
""),)"),"")</f>
        <v/>
      </c>
    </row>
    <row r="687">
      <c r="A687" s="26" t="str">
        <f t="shared" si="1"/>
        <v/>
      </c>
      <c r="B687" s="26" t="str">
        <f t="shared" si="2"/>
        <v/>
      </c>
      <c r="C687" s="207" t="str">
        <f t="shared" si="3"/>
        <v/>
      </c>
      <c r="D687" s="208"/>
      <c r="E687" s="194" t="str">
        <f>IFERROR(__xludf.DUMMYFUNCTION("IF(D687&lt;&gt;"""",SPLIT(D687,"" 
""),)"),"")</f>
        <v/>
      </c>
    </row>
    <row r="688">
      <c r="A688" s="26" t="str">
        <f t="shared" si="1"/>
        <v/>
      </c>
      <c r="B688" s="26" t="str">
        <f t="shared" si="2"/>
        <v/>
      </c>
      <c r="C688" s="207" t="str">
        <f t="shared" si="3"/>
        <v/>
      </c>
      <c r="D688" s="208"/>
      <c r="E688" s="194" t="str">
        <f>IFERROR(__xludf.DUMMYFUNCTION("IF(D688&lt;&gt;"""",SPLIT(D688,"" 
""),)"),"")</f>
        <v/>
      </c>
    </row>
    <row r="689">
      <c r="A689" s="26" t="str">
        <f t="shared" si="1"/>
        <v/>
      </c>
      <c r="B689" s="26" t="str">
        <f t="shared" si="2"/>
        <v/>
      </c>
      <c r="C689" s="207" t="str">
        <f t="shared" si="3"/>
        <v/>
      </c>
      <c r="D689" s="208"/>
      <c r="E689" s="194" t="str">
        <f>IFERROR(__xludf.DUMMYFUNCTION("IF(D689&lt;&gt;"""",SPLIT(D689,"" 
""),)"),"")</f>
        <v/>
      </c>
    </row>
    <row r="690">
      <c r="A690" s="26" t="str">
        <f t="shared" si="1"/>
        <v/>
      </c>
      <c r="B690" s="26" t="str">
        <f t="shared" si="2"/>
        <v/>
      </c>
      <c r="C690" s="207" t="str">
        <f t="shared" si="3"/>
        <v/>
      </c>
      <c r="D690" s="208"/>
      <c r="E690" s="194" t="str">
        <f>IFERROR(__xludf.DUMMYFUNCTION("IF(D690&lt;&gt;"""",SPLIT(D690,"" 
""),)"),"")</f>
        <v/>
      </c>
    </row>
    <row r="691">
      <c r="A691" s="26" t="str">
        <f t="shared" si="1"/>
        <v/>
      </c>
      <c r="B691" s="26" t="str">
        <f t="shared" si="2"/>
        <v/>
      </c>
      <c r="C691" s="207" t="str">
        <f t="shared" si="3"/>
        <v/>
      </c>
      <c r="D691" s="208"/>
      <c r="E691" s="194" t="str">
        <f>IFERROR(__xludf.DUMMYFUNCTION("IF(D691&lt;&gt;"""",SPLIT(D691,"" 
""),)"),"")</f>
        <v/>
      </c>
    </row>
    <row r="692">
      <c r="A692" s="26" t="str">
        <f t="shared" si="1"/>
        <v/>
      </c>
      <c r="B692" s="26" t="str">
        <f t="shared" si="2"/>
        <v/>
      </c>
      <c r="C692" s="207" t="str">
        <f t="shared" si="3"/>
        <v/>
      </c>
      <c r="D692" s="208"/>
      <c r="E692" s="194" t="str">
        <f>IFERROR(__xludf.DUMMYFUNCTION("IF(D692&lt;&gt;"""",SPLIT(D692,"" 
""),)"),"")</f>
        <v/>
      </c>
    </row>
    <row r="693">
      <c r="A693" s="26" t="str">
        <f t="shared" si="1"/>
        <v/>
      </c>
      <c r="B693" s="26" t="str">
        <f t="shared" si="2"/>
        <v/>
      </c>
      <c r="C693" s="207" t="str">
        <f t="shared" si="3"/>
        <v/>
      </c>
      <c r="D693" s="208"/>
      <c r="E693" s="194" t="str">
        <f>IFERROR(__xludf.DUMMYFUNCTION("IF(D693&lt;&gt;"""",SPLIT(D693,"" 
""),)"),"")</f>
        <v/>
      </c>
    </row>
    <row r="694">
      <c r="A694" s="26" t="str">
        <f t="shared" si="1"/>
        <v/>
      </c>
      <c r="B694" s="26" t="str">
        <f t="shared" si="2"/>
        <v/>
      </c>
      <c r="C694" s="207" t="str">
        <f t="shared" si="3"/>
        <v/>
      </c>
      <c r="D694" s="208"/>
      <c r="E694" s="194" t="str">
        <f>IFERROR(__xludf.DUMMYFUNCTION("IF(D694&lt;&gt;"""",SPLIT(D694,"" 
""),)"),"")</f>
        <v/>
      </c>
    </row>
    <row r="695">
      <c r="A695" s="26" t="str">
        <f t="shared" si="1"/>
        <v/>
      </c>
      <c r="B695" s="26" t="str">
        <f t="shared" si="2"/>
        <v/>
      </c>
      <c r="C695" s="207" t="str">
        <f t="shared" si="3"/>
        <v/>
      </c>
      <c r="D695" s="208"/>
      <c r="E695" s="194" t="str">
        <f>IFERROR(__xludf.DUMMYFUNCTION("IF(D695&lt;&gt;"""",SPLIT(D695,"" 
""),)"),"")</f>
        <v/>
      </c>
    </row>
    <row r="696">
      <c r="A696" s="26" t="str">
        <f t="shared" si="1"/>
        <v/>
      </c>
      <c r="B696" s="26" t="str">
        <f t="shared" si="2"/>
        <v/>
      </c>
      <c r="C696" s="207" t="str">
        <f t="shared" si="3"/>
        <v/>
      </c>
      <c r="D696" s="208"/>
      <c r="E696" s="194" t="str">
        <f>IFERROR(__xludf.DUMMYFUNCTION("IF(D696&lt;&gt;"""",SPLIT(D696,"" 
""),)"),"")</f>
        <v/>
      </c>
    </row>
    <row r="697">
      <c r="A697" s="26" t="str">
        <f t="shared" si="1"/>
        <v/>
      </c>
      <c r="B697" s="26" t="str">
        <f t="shared" si="2"/>
        <v/>
      </c>
      <c r="C697" s="207" t="str">
        <f t="shared" si="3"/>
        <v/>
      </c>
      <c r="D697" s="208"/>
      <c r="E697" s="194" t="str">
        <f>IFERROR(__xludf.DUMMYFUNCTION("IF(D697&lt;&gt;"""",SPLIT(D697,"" 
""),)"),"")</f>
        <v/>
      </c>
    </row>
    <row r="698">
      <c r="A698" s="26" t="str">
        <f t="shared" si="1"/>
        <v/>
      </c>
      <c r="B698" s="26" t="str">
        <f t="shared" si="2"/>
        <v/>
      </c>
      <c r="C698" s="207" t="str">
        <f t="shared" si="3"/>
        <v/>
      </c>
      <c r="D698" s="208"/>
      <c r="E698" s="194" t="str">
        <f>IFERROR(__xludf.DUMMYFUNCTION("IF(D698&lt;&gt;"""",SPLIT(D698,"" 
""),)"),"")</f>
        <v/>
      </c>
    </row>
    <row r="699">
      <c r="A699" s="26" t="str">
        <f t="shared" si="1"/>
        <v/>
      </c>
      <c r="B699" s="26" t="str">
        <f t="shared" si="2"/>
        <v/>
      </c>
      <c r="C699" s="207" t="str">
        <f t="shared" si="3"/>
        <v/>
      </c>
      <c r="D699" s="208"/>
      <c r="E699" s="194" t="str">
        <f>IFERROR(__xludf.DUMMYFUNCTION("IF(D699&lt;&gt;"""",SPLIT(D699,"" 
""),)"),"")</f>
        <v/>
      </c>
    </row>
    <row r="700">
      <c r="A700" s="26" t="str">
        <f t="shared" si="1"/>
        <v/>
      </c>
      <c r="B700" s="26" t="str">
        <f t="shared" si="2"/>
        <v/>
      </c>
      <c r="C700" s="207" t="str">
        <f t="shared" si="3"/>
        <v/>
      </c>
      <c r="D700" s="208"/>
      <c r="E700" s="194" t="str">
        <f>IFERROR(__xludf.DUMMYFUNCTION("IF(D700&lt;&gt;"""",SPLIT(D700,"" 
""),)"),"")</f>
        <v/>
      </c>
    </row>
    <row r="701">
      <c r="A701" s="26" t="str">
        <f t="shared" si="1"/>
        <v/>
      </c>
      <c r="B701" s="26" t="str">
        <f t="shared" si="2"/>
        <v/>
      </c>
      <c r="C701" s="207" t="str">
        <f t="shared" si="3"/>
        <v/>
      </c>
      <c r="D701" s="208"/>
      <c r="E701" s="194" t="str">
        <f>IFERROR(__xludf.DUMMYFUNCTION("IF(D701&lt;&gt;"""",SPLIT(D701,"" 
""),)"),"")</f>
        <v/>
      </c>
    </row>
    <row r="702">
      <c r="A702" s="26" t="str">
        <f t="shared" si="1"/>
        <v/>
      </c>
      <c r="B702" s="26" t="str">
        <f t="shared" si="2"/>
        <v/>
      </c>
      <c r="C702" s="207" t="str">
        <f t="shared" si="3"/>
        <v/>
      </c>
      <c r="D702" s="208"/>
      <c r="E702" s="194" t="str">
        <f>IFERROR(__xludf.DUMMYFUNCTION("IF(D702&lt;&gt;"""",SPLIT(D702,"" 
""),)"),"")</f>
        <v/>
      </c>
    </row>
    <row r="703">
      <c r="A703" s="26" t="str">
        <f t="shared" si="1"/>
        <v/>
      </c>
      <c r="B703" s="26" t="str">
        <f t="shared" si="2"/>
        <v/>
      </c>
      <c r="C703" s="207" t="str">
        <f t="shared" si="3"/>
        <v/>
      </c>
      <c r="D703" s="208"/>
      <c r="E703" s="194" t="str">
        <f>IFERROR(__xludf.DUMMYFUNCTION("IF(D703&lt;&gt;"""",SPLIT(D703,"" 
""),)"),"")</f>
        <v/>
      </c>
    </row>
    <row r="704">
      <c r="A704" s="26" t="str">
        <f t="shared" si="1"/>
        <v/>
      </c>
      <c r="B704" s="26" t="str">
        <f t="shared" si="2"/>
        <v/>
      </c>
      <c r="C704" s="207" t="str">
        <f t="shared" si="3"/>
        <v/>
      </c>
      <c r="D704" s="208"/>
      <c r="E704" s="194" t="str">
        <f>IFERROR(__xludf.DUMMYFUNCTION("IF(D704&lt;&gt;"""",SPLIT(D704,"" 
""),)"),"")</f>
        <v/>
      </c>
    </row>
    <row r="705">
      <c r="A705" s="26" t="str">
        <f t="shared" si="1"/>
        <v/>
      </c>
      <c r="B705" s="26" t="str">
        <f t="shared" si="2"/>
        <v/>
      </c>
      <c r="C705" s="207" t="str">
        <f t="shared" si="3"/>
        <v/>
      </c>
      <c r="D705" s="208"/>
      <c r="E705" s="194" t="str">
        <f>IFERROR(__xludf.DUMMYFUNCTION("IF(D705&lt;&gt;"""",SPLIT(D705,"" 
""),)"),"")</f>
        <v/>
      </c>
    </row>
    <row r="706">
      <c r="A706" s="26" t="str">
        <f t="shared" si="1"/>
        <v/>
      </c>
      <c r="B706" s="26" t="str">
        <f t="shared" si="2"/>
        <v/>
      </c>
      <c r="C706" s="207" t="str">
        <f t="shared" si="3"/>
        <v/>
      </c>
      <c r="D706" s="208"/>
      <c r="E706" s="194" t="str">
        <f>IFERROR(__xludf.DUMMYFUNCTION("IF(D706&lt;&gt;"""",SPLIT(D706,"" 
""),)"),"")</f>
        <v/>
      </c>
    </row>
    <row r="707">
      <c r="A707" s="26" t="str">
        <f t="shared" si="1"/>
        <v/>
      </c>
      <c r="B707" s="26" t="str">
        <f t="shared" si="2"/>
        <v/>
      </c>
      <c r="C707" s="207" t="str">
        <f t="shared" si="3"/>
        <v/>
      </c>
      <c r="D707" s="208"/>
      <c r="E707" s="194" t="str">
        <f>IFERROR(__xludf.DUMMYFUNCTION("IF(D707&lt;&gt;"""",SPLIT(D707,"" 
""),)"),"")</f>
        <v/>
      </c>
    </row>
    <row r="708">
      <c r="A708" s="26" t="str">
        <f t="shared" si="1"/>
        <v/>
      </c>
      <c r="B708" s="26" t="str">
        <f t="shared" si="2"/>
        <v/>
      </c>
      <c r="C708" s="207" t="str">
        <f t="shared" si="3"/>
        <v/>
      </c>
      <c r="D708" s="208"/>
      <c r="E708" s="194" t="str">
        <f>IFERROR(__xludf.DUMMYFUNCTION("IF(D708&lt;&gt;"""",SPLIT(D708,"" 
""),)"),"")</f>
        <v/>
      </c>
    </row>
    <row r="709">
      <c r="A709" s="26" t="str">
        <f t="shared" si="1"/>
        <v/>
      </c>
      <c r="B709" s="26" t="str">
        <f t="shared" si="2"/>
        <v/>
      </c>
      <c r="C709" s="207" t="str">
        <f t="shared" si="3"/>
        <v/>
      </c>
      <c r="D709" s="208"/>
      <c r="E709" s="194" t="str">
        <f>IFERROR(__xludf.DUMMYFUNCTION("IF(D709&lt;&gt;"""",SPLIT(D709,"" 
""),)"),"")</f>
        <v/>
      </c>
    </row>
    <row r="710">
      <c r="A710" s="26" t="str">
        <f t="shared" si="1"/>
        <v/>
      </c>
      <c r="B710" s="26" t="str">
        <f t="shared" si="2"/>
        <v/>
      </c>
      <c r="C710" s="207" t="str">
        <f t="shared" si="3"/>
        <v/>
      </c>
      <c r="D710" s="208"/>
      <c r="E710" s="194" t="str">
        <f>IFERROR(__xludf.DUMMYFUNCTION("IF(D710&lt;&gt;"""",SPLIT(D710,"" 
""),)"),"")</f>
        <v/>
      </c>
    </row>
    <row r="711">
      <c r="A711" s="26" t="str">
        <f t="shared" si="1"/>
        <v/>
      </c>
      <c r="B711" s="26" t="str">
        <f t="shared" si="2"/>
        <v/>
      </c>
      <c r="C711" s="207" t="str">
        <f t="shared" si="3"/>
        <v/>
      </c>
      <c r="D711" s="208"/>
      <c r="E711" s="194" t="str">
        <f>IFERROR(__xludf.DUMMYFUNCTION("IF(D711&lt;&gt;"""",SPLIT(D711,"" 
""),)"),"")</f>
        <v/>
      </c>
    </row>
    <row r="712">
      <c r="A712" s="26" t="str">
        <f t="shared" si="1"/>
        <v/>
      </c>
      <c r="B712" s="26" t="str">
        <f t="shared" si="2"/>
        <v/>
      </c>
      <c r="C712" s="207" t="str">
        <f t="shared" si="3"/>
        <v/>
      </c>
      <c r="D712" s="208"/>
      <c r="E712" s="194" t="str">
        <f>IFERROR(__xludf.DUMMYFUNCTION("IF(D712&lt;&gt;"""",SPLIT(D712,"" 
""),)"),"")</f>
        <v/>
      </c>
    </row>
    <row r="713">
      <c r="A713" s="26" t="str">
        <f t="shared" si="1"/>
        <v/>
      </c>
      <c r="B713" s="26" t="str">
        <f t="shared" si="2"/>
        <v/>
      </c>
      <c r="C713" s="207" t="str">
        <f t="shared" si="3"/>
        <v/>
      </c>
      <c r="D713" s="208"/>
      <c r="E713" s="194" t="str">
        <f>IFERROR(__xludf.DUMMYFUNCTION("IF(D713&lt;&gt;"""",SPLIT(D713,"" 
""),)"),"")</f>
        <v/>
      </c>
    </row>
    <row r="714">
      <c r="A714" s="26" t="str">
        <f t="shared" si="1"/>
        <v/>
      </c>
      <c r="B714" s="26" t="str">
        <f t="shared" si="2"/>
        <v/>
      </c>
      <c r="C714" s="207" t="str">
        <f t="shared" si="3"/>
        <v/>
      </c>
      <c r="D714" s="208"/>
      <c r="E714" s="194" t="str">
        <f>IFERROR(__xludf.DUMMYFUNCTION("IF(D714&lt;&gt;"""",SPLIT(D714,"" 
""),)"),"")</f>
        <v/>
      </c>
    </row>
    <row r="715">
      <c r="A715" s="26" t="str">
        <f t="shared" si="1"/>
        <v/>
      </c>
      <c r="B715" s="26" t="str">
        <f t="shared" si="2"/>
        <v/>
      </c>
      <c r="C715" s="207" t="str">
        <f t="shared" si="3"/>
        <v/>
      </c>
      <c r="D715" s="208"/>
      <c r="E715" s="194" t="str">
        <f>IFERROR(__xludf.DUMMYFUNCTION("IF(D715&lt;&gt;"""",SPLIT(D715,"" 
""),)"),"")</f>
        <v/>
      </c>
    </row>
    <row r="716">
      <c r="A716" s="26" t="str">
        <f t="shared" si="1"/>
        <v/>
      </c>
      <c r="B716" s="26" t="str">
        <f t="shared" si="2"/>
        <v/>
      </c>
      <c r="C716" s="207" t="str">
        <f t="shared" si="3"/>
        <v/>
      </c>
      <c r="D716" s="208"/>
      <c r="E716" s="194" t="str">
        <f>IFERROR(__xludf.DUMMYFUNCTION("IF(D716&lt;&gt;"""",SPLIT(D716,"" 
""),)"),"")</f>
        <v/>
      </c>
    </row>
    <row r="717">
      <c r="A717" s="26" t="str">
        <f t="shared" si="1"/>
        <v/>
      </c>
      <c r="B717" s="26" t="str">
        <f t="shared" si="2"/>
        <v/>
      </c>
      <c r="C717" s="207" t="str">
        <f t="shared" si="3"/>
        <v/>
      </c>
      <c r="D717" s="208"/>
      <c r="E717" s="194" t="str">
        <f>IFERROR(__xludf.DUMMYFUNCTION("IF(D717&lt;&gt;"""",SPLIT(D717,"" 
""),)"),"")</f>
        <v/>
      </c>
    </row>
    <row r="718">
      <c r="A718" s="26" t="str">
        <f t="shared" si="1"/>
        <v/>
      </c>
      <c r="B718" s="26" t="str">
        <f t="shared" si="2"/>
        <v/>
      </c>
      <c r="C718" s="207" t="str">
        <f t="shared" si="3"/>
        <v/>
      </c>
      <c r="D718" s="208"/>
      <c r="E718" s="194" t="str">
        <f>IFERROR(__xludf.DUMMYFUNCTION("IF(D718&lt;&gt;"""",SPLIT(D718,"" 
""),)"),"")</f>
        <v/>
      </c>
    </row>
    <row r="719">
      <c r="A719" s="26" t="str">
        <f t="shared" si="1"/>
        <v/>
      </c>
      <c r="B719" s="26" t="str">
        <f t="shared" si="2"/>
        <v/>
      </c>
      <c r="C719" s="207" t="str">
        <f t="shared" si="3"/>
        <v/>
      </c>
      <c r="D719" s="208"/>
      <c r="E719" s="194" t="str">
        <f>IFERROR(__xludf.DUMMYFUNCTION("IF(D719&lt;&gt;"""",SPLIT(D719,"" 
""),)"),"")</f>
        <v/>
      </c>
    </row>
    <row r="720">
      <c r="A720" s="26" t="str">
        <f t="shared" si="1"/>
        <v/>
      </c>
      <c r="B720" s="26" t="str">
        <f t="shared" si="2"/>
        <v/>
      </c>
      <c r="C720" s="207" t="str">
        <f t="shared" si="3"/>
        <v/>
      </c>
      <c r="D720" s="208"/>
      <c r="E720" s="194" t="str">
        <f>IFERROR(__xludf.DUMMYFUNCTION("IF(D720&lt;&gt;"""",SPLIT(D720,"" 
""),)"),"")</f>
        <v/>
      </c>
    </row>
    <row r="721">
      <c r="A721" s="26" t="str">
        <f t="shared" si="1"/>
        <v/>
      </c>
      <c r="B721" s="26" t="str">
        <f t="shared" si="2"/>
        <v/>
      </c>
      <c r="C721" s="207" t="str">
        <f t="shared" si="3"/>
        <v/>
      </c>
      <c r="D721" s="208"/>
      <c r="E721" s="194" t="str">
        <f>IFERROR(__xludf.DUMMYFUNCTION("IF(D721&lt;&gt;"""",SPLIT(D721,"" 
""),)"),"")</f>
        <v/>
      </c>
    </row>
    <row r="722">
      <c r="A722" s="26" t="str">
        <f t="shared" si="1"/>
        <v/>
      </c>
      <c r="B722" s="26" t="str">
        <f t="shared" si="2"/>
        <v/>
      </c>
      <c r="C722" s="207" t="str">
        <f t="shared" si="3"/>
        <v/>
      </c>
      <c r="D722" s="208"/>
      <c r="E722" s="194" t="str">
        <f>IFERROR(__xludf.DUMMYFUNCTION("IF(D722&lt;&gt;"""",SPLIT(D722,"" 
""),)"),"")</f>
        <v/>
      </c>
    </row>
    <row r="723">
      <c r="A723" s="26" t="str">
        <f t="shared" si="1"/>
        <v/>
      </c>
      <c r="B723" s="26" t="str">
        <f t="shared" si="2"/>
        <v/>
      </c>
      <c r="C723" s="207" t="str">
        <f t="shared" si="3"/>
        <v/>
      </c>
      <c r="D723" s="208"/>
      <c r="E723" s="194" t="str">
        <f>IFERROR(__xludf.DUMMYFUNCTION("IF(D723&lt;&gt;"""",SPLIT(D723,"" 
""),)"),"")</f>
        <v/>
      </c>
    </row>
    <row r="724">
      <c r="A724" s="26" t="str">
        <f t="shared" si="1"/>
        <v/>
      </c>
      <c r="B724" s="26" t="str">
        <f t="shared" si="2"/>
        <v/>
      </c>
      <c r="C724" s="207" t="str">
        <f t="shared" si="3"/>
        <v/>
      </c>
      <c r="D724" s="208"/>
      <c r="E724" s="194" t="str">
        <f>IFERROR(__xludf.DUMMYFUNCTION("IF(D724&lt;&gt;"""",SPLIT(D724,"" 
""),)"),"")</f>
        <v/>
      </c>
    </row>
    <row r="725">
      <c r="A725" s="26" t="str">
        <f t="shared" si="1"/>
        <v/>
      </c>
      <c r="B725" s="26" t="str">
        <f t="shared" si="2"/>
        <v/>
      </c>
      <c r="C725" s="207" t="str">
        <f t="shared" si="3"/>
        <v/>
      </c>
      <c r="D725" s="208"/>
      <c r="E725" s="194" t="str">
        <f>IFERROR(__xludf.DUMMYFUNCTION("IF(D725&lt;&gt;"""",SPLIT(D725,"" 
""),)"),"")</f>
        <v/>
      </c>
    </row>
    <row r="726">
      <c r="A726" s="26" t="str">
        <f t="shared" si="1"/>
        <v/>
      </c>
      <c r="B726" s="26" t="str">
        <f t="shared" si="2"/>
        <v/>
      </c>
      <c r="C726" s="207" t="str">
        <f t="shared" si="3"/>
        <v/>
      </c>
      <c r="D726" s="208"/>
      <c r="E726" s="194" t="str">
        <f>IFERROR(__xludf.DUMMYFUNCTION("IF(D726&lt;&gt;"""",SPLIT(D726,"" 
""),)"),"")</f>
        <v/>
      </c>
    </row>
    <row r="727">
      <c r="A727" s="26" t="str">
        <f t="shared" si="1"/>
        <v/>
      </c>
      <c r="B727" s="26" t="str">
        <f t="shared" si="2"/>
        <v/>
      </c>
      <c r="C727" s="207" t="str">
        <f t="shared" si="3"/>
        <v/>
      </c>
      <c r="D727" s="208"/>
      <c r="E727" s="194" t="str">
        <f>IFERROR(__xludf.DUMMYFUNCTION("IF(D727&lt;&gt;"""",SPLIT(D727,"" 
""),)"),"")</f>
        <v/>
      </c>
    </row>
    <row r="728">
      <c r="A728" s="26" t="str">
        <f t="shared" si="1"/>
        <v/>
      </c>
      <c r="B728" s="26" t="str">
        <f t="shared" si="2"/>
        <v/>
      </c>
      <c r="C728" s="207" t="str">
        <f t="shared" si="3"/>
        <v/>
      </c>
      <c r="D728" s="208"/>
      <c r="E728" s="194" t="str">
        <f>IFERROR(__xludf.DUMMYFUNCTION("IF(D728&lt;&gt;"""",SPLIT(D728,"" 
""),)"),"")</f>
        <v/>
      </c>
    </row>
    <row r="729">
      <c r="A729" s="26" t="str">
        <f t="shared" si="1"/>
        <v/>
      </c>
      <c r="B729" s="26" t="str">
        <f t="shared" si="2"/>
        <v/>
      </c>
      <c r="C729" s="207" t="str">
        <f t="shared" si="3"/>
        <v/>
      </c>
      <c r="D729" s="208"/>
      <c r="E729" s="194" t="str">
        <f>IFERROR(__xludf.DUMMYFUNCTION("IF(D729&lt;&gt;"""",SPLIT(D729,"" 
""),)"),"")</f>
        <v/>
      </c>
    </row>
    <row r="730">
      <c r="A730" s="26" t="str">
        <f t="shared" si="1"/>
        <v/>
      </c>
      <c r="B730" s="26" t="str">
        <f t="shared" si="2"/>
        <v/>
      </c>
      <c r="C730" s="207" t="str">
        <f t="shared" si="3"/>
        <v/>
      </c>
      <c r="D730" s="208"/>
      <c r="E730" s="194" t="str">
        <f>IFERROR(__xludf.DUMMYFUNCTION("IF(D730&lt;&gt;"""",SPLIT(D730,"" 
""),)"),"")</f>
        <v/>
      </c>
    </row>
    <row r="731">
      <c r="A731" s="26" t="str">
        <f t="shared" si="1"/>
        <v/>
      </c>
      <c r="B731" s="26" t="str">
        <f t="shared" si="2"/>
        <v/>
      </c>
      <c r="C731" s="207" t="str">
        <f t="shared" si="3"/>
        <v/>
      </c>
      <c r="D731" s="208"/>
      <c r="E731" s="194" t="str">
        <f>IFERROR(__xludf.DUMMYFUNCTION("IF(D731&lt;&gt;"""",SPLIT(D731,"" 
""),)"),"")</f>
        <v/>
      </c>
    </row>
    <row r="732">
      <c r="A732" s="26" t="str">
        <f t="shared" si="1"/>
        <v/>
      </c>
      <c r="B732" s="26" t="str">
        <f t="shared" si="2"/>
        <v/>
      </c>
      <c r="C732" s="207" t="str">
        <f t="shared" si="3"/>
        <v/>
      </c>
      <c r="D732" s="208"/>
      <c r="E732" s="194" t="str">
        <f>IFERROR(__xludf.DUMMYFUNCTION("IF(D732&lt;&gt;"""",SPLIT(D732,"" 
""),)"),"")</f>
        <v/>
      </c>
    </row>
    <row r="733">
      <c r="A733" s="26" t="str">
        <f t="shared" si="1"/>
        <v/>
      </c>
      <c r="B733" s="26" t="str">
        <f t="shared" si="2"/>
        <v/>
      </c>
      <c r="C733" s="207" t="str">
        <f t="shared" si="3"/>
        <v/>
      </c>
      <c r="D733" s="208"/>
      <c r="E733" s="194" t="str">
        <f>IFERROR(__xludf.DUMMYFUNCTION("IF(D733&lt;&gt;"""",SPLIT(D733,"" 
""),)"),"")</f>
        <v/>
      </c>
    </row>
    <row r="734">
      <c r="A734" s="26" t="str">
        <f t="shared" si="1"/>
        <v/>
      </c>
      <c r="B734" s="26" t="str">
        <f t="shared" si="2"/>
        <v/>
      </c>
      <c r="C734" s="207" t="str">
        <f t="shared" si="3"/>
        <v/>
      </c>
      <c r="D734" s="208"/>
      <c r="E734" s="194" t="str">
        <f>IFERROR(__xludf.DUMMYFUNCTION("IF(D734&lt;&gt;"""",SPLIT(D734,"" 
""),)"),"")</f>
        <v/>
      </c>
    </row>
    <row r="735">
      <c r="A735" s="26" t="str">
        <f t="shared" si="1"/>
        <v/>
      </c>
      <c r="B735" s="26" t="str">
        <f t="shared" si="2"/>
        <v/>
      </c>
      <c r="C735" s="207" t="str">
        <f t="shared" si="3"/>
        <v/>
      </c>
      <c r="D735" s="208"/>
      <c r="E735" s="194" t="str">
        <f>IFERROR(__xludf.DUMMYFUNCTION("IF(D735&lt;&gt;"""",SPLIT(D735,"" 
""),)"),"")</f>
        <v/>
      </c>
    </row>
    <row r="736">
      <c r="A736" s="26" t="str">
        <f t="shared" si="1"/>
        <v/>
      </c>
      <c r="B736" s="26" t="str">
        <f t="shared" si="2"/>
        <v/>
      </c>
      <c r="C736" s="207" t="str">
        <f t="shared" si="3"/>
        <v/>
      </c>
      <c r="D736" s="208"/>
      <c r="E736" s="194" t="str">
        <f>IFERROR(__xludf.DUMMYFUNCTION("IF(D736&lt;&gt;"""",SPLIT(D736,"" 
""),)"),"")</f>
        <v/>
      </c>
    </row>
    <row r="737">
      <c r="A737" s="26" t="str">
        <f t="shared" si="1"/>
        <v/>
      </c>
      <c r="B737" s="26" t="str">
        <f t="shared" si="2"/>
        <v/>
      </c>
      <c r="C737" s="207" t="str">
        <f t="shared" si="3"/>
        <v/>
      </c>
      <c r="D737" s="208"/>
      <c r="E737" s="194" t="str">
        <f>IFERROR(__xludf.DUMMYFUNCTION("IF(D737&lt;&gt;"""",SPLIT(D737,"" 
""),)"),"")</f>
        <v/>
      </c>
    </row>
    <row r="738">
      <c r="A738" s="26" t="str">
        <f t="shared" si="1"/>
        <v/>
      </c>
      <c r="B738" s="26" t="str">
        <f t="shared" si="2"/>
        <v/>
      </c>
      <c r="C738" s="207" t="str">
        <f t="shared" si="3"/>
        <v/>
      </c>
      <c r="D738" s="208"/>
      <c r="E738" s="194" t="str">
        <f>IFERROR(__xludf.DUMMYFUNCTION("IF(D738&lt;&gt;"""",SPLIT(D738,"" 
""),)"),"")</f>
        <v/>
      </c>
    </row>
    <row r="739">
      <c r="A739" s="26" t="str">
        <f t="shared" si="1"/>
        <v/>
      </c>
      <c r="B739" s="26" t="str">
        <f t="shared" si="2"/>
        <v/>
      </c>
      <c r="C739" s="207" t="str">
        <f t="shared" si="3"/>
        <v/>
      </c>
      <c r="D739" s="208"/>
      <c r="E739" s="194" t="str">
        <f>IFERROR(__xludf.DUMMYFUNCTION("IF(D739&lt;&gt;"""",SPLIT(D739,"" 
""),)"),"")</f>
        <v/>
      </c>
    </row>
    <row r="740">
      <c r="A740" s="26" t="str">
        <f t="shared" si="1"/>
        <v/>
      </c>
      <c r="B740" s="26" t="str">
        <f t="shared" si="2"/>
        <v/>
      </c>
      <c r="C740" s="207" t="str">
        <f t="shared" si="3"/>
        <v/>
      </c>
      <c r="D740" s="208"/>
      <c r="E740" s="194" t="str">
        <f>IFERROR(__xludf.DUMMYFUNCTION("IF(D740&lt;&gt;"""",SPLIT(D740,"" 
""),)"),"")</f>
        <v/>
      </c>
    </row>
    <row r="741">
      <c r="A741" s="26" t="str">
        <f t="shared" si="1"/>
        <v/>
      </c>
      <c r="B741" s="26" t="str">
        <f t="shared" si="2"/>
        <v/>
      </c>
      <c r="C741" s="207" t="str">
        <f t="shared" si="3"/>
        <v/>
      </c>
      <c r="D741" s="208"/>
      <c r="E741" s="194" t="str">
        <f>IFERROR(__xludf.DUMMYFUNCTION("IF(D741&lt;&gt;"""",SPLIT(D741,"" 
""),)"),"")</f>
        <v/>
      </c>
    </row>
    <row r="742">
      <c r="A742" s="26" t="str">
        <f t="shared" si="1"/>
        <v/>
      </c>
      <c r="B742" s="26" t="str">
        <f t="shared" si="2"/>
        <v/>
      </c>
      <c r="C742" s="207" t="str">
        <f t="shared" si="3"/>
        <v/>
      </c>
      <c r="D742" s="208"/>
      <c r="E742" s="194" t="str">
        <f>IFERROR(__xludf.DUMMYFUNCTION("IF(D742&lt;&gt;"""",SPLIT(D742,"" 
""),)"),"")</f>
        <v/>
      </c>
    </row>
    <row r="743">
      <c r="A743" s="26" t="str">
        <f t="shared" si="1"/>
        <v/>
      </c>
      <c r="B743" s="26" t="str">
        <f t="shared" si="2"/>
        <v/>
      </c>
      <c r="C743" s="207" t="str">
        <f t="shared" si="3"/>
        <v/>
      </c>
      <c r="D743" s="208"/>
      <c r="E743" s="194" t="str">
        <f>IFERROR(__xludf.DUMMYFUNCTION("IF(D743&lt;&gt;"""",SPLIT(D743,"" 
""),)"),"")</f>
        <v/>
      </c>
    </row>
    <row r="744">
      <c r="A744" s="26" t="str">
        <f t="shared" si="1"/>
        <v/>
      </c>
      <c r="B744" s="26" t="str">
        <f t="shared" si="2"/>
        <v/>
      </c>
      <c r="C744" s="207" t="str">
        <f t="shared" si="3"/>
        <v/>
      </c>
      <c r="D744" s="208"/>
      <c r="E744" s="194" t="str">
        <f>IFERROR(__xludf.DUMMYFUNCTION("IF(D744&lt;&gt;"""",SPLIT(D744,"" 
""),)"),"")</f>
        <v/>
      </c>
    </row>
    <row r="745">
      <c r="A745" s="26" t="str">
        <f t="shared" si="1"/>
        <v/>
      </c>
      <c r="B745" s="26" t="str">
        <f t="shared" si="2"/>
        <v/>
      </c>
      <c r="C745" s="207" t="str">
        <f t="shared" si="3"/>
        <v/>
      </c>
      <c r="D745" s="208"/>
      <c r="E745" s="194" t="str">
        <f>IFERROR(__xludf.DUMMYFUNCTION("IF(D745&lt;&gt;"""",SPLIT(D745,"" 
""),)"),"")</f>
        <v/>
      </c>
    </row>
    <row r="746">
      <c r="A746" s="26" t="str">
        <f t="shared" si="1"/>
        <v/>
      </c>
      <c r="B746" s="26" t="str">
        <f t="shared" si="2"/>
        <v/>
      </c>
      <c r="C746" s="207" t="str">
        <f t="shared" si="3"/>
        <v/>
      </c>
      <c r="D746" s="208"/>
      <c r="E746" s="194" t="str">
        <f>IFERROR(__xludf.DUMMYFUNCTION("IF(D746&lt;&gt;"""",SPLIT(D746,"" 
""),)"),"")</f>
        <v/>
      </c>
    </row>
    <row r="747">
      <c r="A747" s="26" t="str">
        <f t="shared" si="1"/>
        <v/>
      </c>
      <c r="B747" s="26" t="str">
        <f t="shared" si="2"/>
        <v/>
      </c>
      <c r="C747" s="207" t="str">
        <f t="shared" si="3"/>
        <v/>
      </c>
      <c r="D747" s="208"/>
      <c r="E747" s="194" t="str">
        <f>IFERROR(__xludf.DUMMYFUNCTION("IF(D747&lt;&gt;"""",SPLIT(D747,"" 
""),)"),"")</f>
        <v/>
      </c>
    </row>
    <row r="748">
      <c r="A748" s="26" t="str">
        <f t="shared" si="1"/>
        <v/>
      </c>
      <c r="B748" s="26" t="str">
        <f t="shared" si="2"/>
        <v/>
      </c>
      <c r="C748" s="207" t="str">
        <f t="shared" si="3"/>
        <v/>
      </c>
      <c r="D748" s="208"/>
      <c r="E748" s="194" t="str">
        <f>IFERROR(__xludf.DUMMYFUNCTION("IF(D748&lt;&gt;"""",SPLIT(D748,"" 
""),)"),"")</f>
        <v/>
      </c>
    </row>
    <row r="749">
      <c r="A749" s="26" t="str">
        <f t="shared" si="1"/>
        <v/>
      </c>
      <c r="B749" s="26" t="str">
        <f t="shared" si="2"/>
        <v/>
      </c>
      <c r="C749" s="207" t="str">
        <f t="shared" si="3"/>
        <v/>
      </c>
      <c r="D749" s="208"/>
      <c r="E749" s="194" t="str">
        <f>IFERROR(__xludf.DUMMYFUNCTION("IF(D749&lt;&gt;"""",SPLIT(D749,"" 
""),)"),"")</f>
        <v/>
      </c>
    </row>
    <row r="750">
      <c r="A750" s="26" t="str">
        <f t="shared" si="1"/>
        <v/>
      </c>
      <c r="B750" s="26" t="str">
        <f t="shared" si="2"/>
        <v/>
      </c>
      <c r="C750" s="207" t="str">
        <f t="shared" si="3"/>
        <v/>
      </c>
      <c r="D750" s="208"/>
      <c r="E750" s="194" t="str">
        <f>IFERROR(__xludf.DUMMYFUNCTION("IF(D750&lt;&gt;"""",SPLIT(D750,"" 
""),)"),"")</f>
        <v/>
      </c>
    </row>
    <row r="751">
      <c r="A751" s="26" t="str">
        <f t="shared" si="1"/>
        <v/>
      </c>
      <c r="B751" s="26" t="str">
        <f t="shared" si="2"/>
        <v/>
      </c>
      <c r="C751" s="207" t="str">
        <f t="shared" si="3"/>
        <v/>
      </c>
      <c r="D751" s="208"/>
      <c r="E751" s="194" t="str">
        <f>IFERROR(__xludf.DUMMYFUNCTION("IF(D751&lt;&gt;"""",SPLIT(D751,"" 
""),)"),"")</f>
        <v/>
      </c>
    </row>
    <row r="752">
      <c r="A752" s="26" t="str">
        <f t="shared" si="1"/>
        <v/>
      </c>
      <c r="B752" s="26" t="str">
        <f t="shared" si="2"/>
        <v/>
      </c>
      <c r="C752" s="207" t="str">
        <f t="shared" si="3"/>
        <v/>
      </c>
      <c r="D752" s="208"/>
      <c r="E752" s="194" t="str">
        <f>IFERROR(__xludf.DUMMYFUNCTION("IF(D752&lt;&gt;"""",SPLIT(D752,"" 
""),)"),"")</f>
        <v/>
      </c>
    </row>
    <row r="753">
      <c r="A753" s="26" t="str">
        <f t="shared" si="1"/>
        <v/>
      </c>
      <c r="B753" s="26" t="str">
        <f t="shared" si="2"/>
        <v/>
      </c>
      <c r="C753" s="207" t="str">
        <f t="shared" si="3"/>
        <v/>
      </c>
      <c r="D753" s="208"/>
      <c r="E753" s="194" t="str">
        <f>IFERROR(__xludf.DUMMYFUNCTION("IF(D753&lt;&gt;"""",SPLIT(D753,"" 
""),)"),"")</f>
        <v/>
      </c>
    </row>
    <row r="754">
      <c r="A754" s="26" t="str">
        <f t="shared" si="1"/>
        <v/>
      </c>
      <c r="B754" s="26" t="str">
        <f t="shared" si="2"/>
        <v/>
      </c>
      <c r="C754" s="207" t="str">
        <f t="shared" si="3"/>
        <v/>
      </c>
      <c r="D754" s="208"/>
      <c r="E754" s="194" t="str">
        <f>IFERROR(__xludf.DUMMYFUNCTION("IF(D754&lt;&gt;"""",SPLIT(D754,"" 
""),)"),"")</f>
        <v/>
      </c>
    </row>
    <row r="755">
      <c r="A755" s="26" t="str">
        <f t="shared" si="1"/>
        <v/>
      </c>
      <c r="B755" s="26" t="str">
        <f t="shared" si="2"/>
        <v/>
      </c>
      <c r="C755" s="207" t="str">
        <f t="shared" si="3"/>
        <v/>
      </c>
      <c r="D755" s="208"/>
      <c r="E755" s="194" t="str">
        <f>IFERROR(__xludf.DUMMYFUNCTION("IF(D755&lt;&gt;"""",SPLIT(D755,"" 
""),)"),"")</f>
        <v/>
      </c>
    </row>
    <row r="756">
      <c r="A756" s="26" t="str">
        <f t="shared" si="1"/>
        <v/>
      </c>
      <c r="B756" s="26" t="str">
        <f t="shared" si="2"/>
        <v/>
      </c>
      <c r="C756" s="207" t="str">
        <f t="shared" si="3"/>
        <v/>
      </c>
      <c r="D756" s="208"/>
      <c r="E756" s="194" t="str">
        <f>IFERROR(__xludf.DUMMYFUNCTION("IF(D756&lt;&gt;"""",SPLIT(D756,"" 
""),)"),"")</f>
        <v/>
      </c>
    </row>
    <row r="757">
      <c r="A757" s="26" t="str">
        <f t="shared" si="1"/>
        <v/>
      </c>
      <c r="B757" s="26" t="str">
        <f t="shared" si="2"/>
        <v/>
      </c>
      <c r="C757" s="207" t="str">
        <f t="shared" si="3"/>
        <v/>
      </c>
      <c r="D757" s="208"/>
      <c r="E757" s="194" t="str">
        <f>IFERROR(__xludf.DUMMYFUNCTION("IF(D757&lt;&gt;"""",SPLIT(D757,"" 
""),)"),"")</f>
        <v/>
      </c>
    </row>
    <row r="758">
      <c r="A758" s="26" t="str">
        <f t="shared" si="1"/>
        <v/>
      </c>
      <c r="B758" s="26" t="str">
        <f t="shared" si="2"/>
        <v/>
      </c>
      <c r="C758" s="207" t="str">
        <f t="shared" si="3"/>
        <v/>
      </c>
      <c r="D758" s="208"/>
      <c r="E758" s="194" t="str">
        <f>IFERROR(__xludf.DUMMYFUNCTION("IF(D758&lt;&gt;"""",SPLIT(D758,"" 
""),)"),"")</f>
        <v/>
      </c>
    </row>
    <row r="759">
      <c r="A759" s="26" t="str">
        <f t="shared" si="1"/>
        <v/>
      </c>
      <c r="B759" s="26" t="str">
        <f t="shared" si="2"/>
        <v/>
      </c>
      <c r="C759" s="207" t="str">
        <f t="shared" si="3"/>
        <v/>
      </c>
      <c r="D759" s="208"/>
      <c r="E759" s="194" t="str">
        <f>IFERROR(__xludf.DUMMYFUNCTION("IF(D759&lt;&gt;"""",SPLIT(D759,"" 
""),)"),"")</f>
        <v/>
      </c>
    </row>
    <row r="760">
      <c r="A760" s="26" t="str">
        <f t="shared" si="1"/>
        <v/>
      </c>
      <c r="B760" s="26" t="str">
        <f t="shared" si="2"/>
        <v/>
      </c>
      <c r="C760" s="207" t="str">
        <f t="shared" si="3"/>
        <v/>
      </c>
      <c r="D760" s="208"/>
      <c r="E760" s="194" t="str">
        <f>IFERROR(__xludf.DUMMYFUNCTION("IF(D760&lt;&gt;"""",SPLIT(D760,"" 
""),)"),"")</f>
        <v/>
      </c>
    </row>
    <row r="761">
      <c r="A761" s="26" t="str">
        <f t="shared" si="1"/>
        <v/>
      </c>
      <c r="B761" s="26" t="str">
        <f t="shared" si="2"/>
        <v/>
      </c>
      <c r="C761" s="207" t="str">
        <f t="shared" si="3"/>
        <v/>
      </c>
      <c r="D761" s="208"/>
      <c r="E761" s="194" t="str">
        <f>IFERROR(__xludf.DUMMYFUNCTION("IF(D761&lt;&gt;"""",SPLIT(D761,"" 
""),)"),"")</f>
        <v/>
      </c>
    </row>
    <row r="762">
      <c r="A762" s="26" t="str">
        <f t="shared" si="1"/>
        <v/>
      </c>
      <c r="B762" s="26" t="str">
        <f t="shared" si="2"/>
        <v/>
      </c>
      <c r="C762" s="207" t="str">
        <f t="shared" si="3"/>
        <v/>
      </c>
      <c r="D762" s="208"/>
      <c r="E762" s="194" t="str">
        <f>IFERROR(__xludf.DUMMYFUNCTION("IF(D762&lt;&gt;"""",SPLIT(D762,"" 
""),)"),"")</f>
        <v/>
      </c>
    </row>
    <row r="763">
      <c r="A763" s="26" t="str">
        <f t="shared" si="1"/>
        <v/>
      </c>
      <c r="B763" s="26" t="str">
        <f t="shared" si="2"/>
        <v/>
      </c>
      <c r="C763" s="207" t="str">
        <f t="shared" si="3"/>
        <v/>
      </c>
      <c r="D763" s="208"/>
      <c r="E763" s="194" t="str">
        <f>IFERROR(__xludf.DUMMYFUNCTION("IF(D763&lt;&gt;"""",SPLIT(D763,"" 
""),)"),"")</f>
        <v/>
      </c>
    </row>
    <row r="764">
      <c r="A764" s="26" t="str">
        <f t="shared" si="1"/>
        <v/>
      </c>
      <c r="B764" s="26" t="str">
        <f t="shared" si="2"/>
        <v/>
      </c>
      <c r="C764" s="207" t="str">
        <f t="shared" si="3"/>
        <v/>
      </c>
      <c r="D764" s="208"/>
      <c r="E764" s="194" t="str">
        <f>IFERROR(__xludf.DUMMYFUNCTION("IF(D764&lt;&gt;"""",SPLIT(D764,"" 
""),)"),"")</f>
        <v/>
      </c>
    </row>
    <row r="765">
      <c r="A765" s="26" t="str">
        <f t="shared" si="1"/>
        <v/>
      </c>
      <c r="B765" s="26" t="str">
        <f t="shared" si="2"/>
        <v/>
      </c>
      <c r="C765" s="207" t="str">
        <f t="shared" si="3"/>
        <v/>
      </c>
      <c r="D765" s="208"/>
      <c r="E765" s="194" t="str">
        <f>IFERROR(__xludf.DUMMYFUNCTION("IF(D765&lt;&gt;"""",SPLIT(D765,"" 
""),)"),"")</f>
        <v/>
      </c>
    </row>
    <row r="766">
      <c r="A766" s="26" t="str">
        <f t="shared" si="1"/>
        <v/>
      </c>
      <c r="B766" s="26" t="str">
        <f t="shared" si="2"/>
        <v/>
      </c>
      <c r="C766" s="207" t="str">
        <f t="shared" si="3"/>
        <v/>
      </c>
      <c r="D766" s="208"/>
      <c r="E766" s="194" t="str">
        <f>IFERROR(__xludf.DUMMYFUNCTION("IF(D766&lt;&gt;"""",SPLIT(D766,"" 
""),)"),"")</f>
        <v/>
      </c>
    </row>
    <row r="767">
      <c r="A767" s="26" t="str">
        <f t="shared" si="1"/>
        <v/>
      </c>
      <c r="B767" s="26" t="str">
        <f t="shared" si="2"/>
        <v/>
      </c>
      <c r="C767" s="207" t="str">
        <f t="shared" si="3"/>
        <v/>
      </c>
      <c r="D767" s="208"/>
      <c r="E767" s="194" t="str">
        <f>IFERROR(__xludf.DUMMYFUNCTION("IF(D767&lt;&gt;"""",SPLIT(D767,"" 
""),)"),"")</f>
        <v/>
      </c>
    </row>
    <row r="768">
      <c r="A768" s="26" t="str">
        <f t="shared" si="1"/>
        <v/>
      </c>
      <c r="B768" s="26" t="str">
        <f t="shared" si="2"/>
        <v/>
      </c>
      <c r="C768" s="207" t="str">
        <f t="shared" si="3"/>
        <v/>
      </c>
      <c r="D768" s="208"/>
      <c r="E768" s="194" t="str">
        <f>IFERROR(__xludf.DUMMYFUNCTION("IF(D768&lt;&gt;"""",SPLIT(D768,"" 
""),)"),"")</f>
        <v/>
      </c>
    </row>
    <row r="769">
      <c r="A769" s="26" t="str">
        <f t="shared" si="1"/>
        <v/>
      </c>
      <c r="B769" s="26" t="str">
        <f t="shared" si="2"/>
        <v/>
      </c>
      <c r="C769" s="207" t="str">
        <f t="shared" si="3"/>
        <v/>
      </c>
      <c r="D769" s="208"/>
      <c r="E769" s="194" t="str">
        <f>IFERROR(__xludf.DUMMYFUNCTION("IF(D769&lt;&gt;"""",SPLIT(D769,"" 
""),)"),"")</f>
        <v/>
      </c>
    </row>
    <row r="770">
      <c r="A770" s="26" t="str">
        <f t="shared" si="1"/>
        <v/>
      </c>
      <c r="B770" s="26" t="str">
        <f t="shared" si="2"/>
        <v/>
      </c>
      <c r="C770" s="207" t="str">
        <f t="shared" si="3"/>
        <v/>
      </c>
      <c r="D770" s="208"/>
      <c r="E770" s="194" t="str">
        <f>IFERROR(__xludf.DUMMYFUNCTION("IF(D770&lt;&gt;"""",SPLIT(D770,"" 
""),)"),"")</f>
        <v/>
      </c>
    </row>
    <row r="771">
      <c r="A771" s="26" t="str">
        <f t="shared" si="1"/>
        <v/>
      </c>
      <c r="B771" s="26" t="str">
        <f t="shared" si="2"/>
        <v/>
      </c>
      <c r="C771" s="207" t="str">
        <f t="shared" si="3"/>
        <v/>
      </c>
      <c r="D771" s="208"/>
      <c r="E771" s="194" t="str">
        <f>IFERROR(__xludf.DUMMYFUNCTION("IF(D771&lt;&gt;"""",SPLIT(D771,"" 
""),)"),"")</f>
        <v/>
      </c>
    </row>
    <row r="772">
      <c r="A772" s="26" t="str">
        <f t="shared" si="1"/>
        <v/>
      </c>
      <c r="B772" s="26" t="str">
        <f t="shared" si="2"/>
        <v/>
      </c>
      <c r="C772" s="207" t="str">
        <f t="shared" si="3"/>
        <v/>
      </c>
      <c r="D772" s="208"/>
      <c r="E772" s="194" t="str">
        <f>IFERROR(__xludf.DUMMYFUNCTION("IF(D772&lt;&gt;"""",SPLIT(D772,"" 
""),)"),"")</f>
        <v/>
      </c>
    </row>
    <row r="773">
      <c r="A773" s="26" t="str">
        <f t="shared" si="1"/>
        <v/>
      </c>
      <c r="B773" s="26" t="str">
        <f t="shared" si="2"/>
        <v/>
      </c>
      <c r="C773" s="207" t="str">
        <f t="shared" si="3"/>
        <v/>
      </c>
      <c r="D773" s="208"/>
      <c r="E773" s="194" t="str">
        <f>IFERROR(__xludf.DUMMYFUNCTION("IF(D773&lt;&gt;"""",SPLIT(D773,"" 
""),)"),"")</f>
        <v/>
      </c>
    </row>
    <row r="774">
      <c r="A774" s="26" t="str">
        <f t="shared" si="1"/>
        <v/>
      </c>
      <c r="B774" s="26" t="str">
        <f t="shared" si="2"/>
        <v/>
      </c>
      <c r="C774" s="207" t="str">
        <f t="shared" si="3"/>
        <v/>
      </c>
      <c r="D774" s="208"/>
      <c r="E774" s="194" t="str">
        <f>IFERROR(__xludf.DUMMYFUNCTION("IF(D774&lt;&gt;"""",SPLIT(D774,"" 
""),)"),"")</f>
        <v/>
      </c>
    </row>
    <row r="775">
      <c r="A775" s="26" t="str">
        <f t="shared" si="1"/>
        <v/>
      </c>
      <c r="B775" s="26" t="str">
        <f t="shared" si="2"/>
        <v/>
      </c>
      <c r="C775" s="207" t="str">
        <f t="shared" si="3"/>
        <v/>
      </c>
      <c r="D775" s="208"/>
      <c r="E775" s="194" t="str">
        <f>IFERROR(__xludf.DUMMYFUNCTION("IF(D775&lt;&gt;"""",SPLIT(D775,"" 
""),)"),"")</f>
        <v/>
      </c>
    </row>
    <row r="776">
      <c r="A776" s="26" t="str">
        <f t="shared" si="1"/>
        <v/>
      </c>
      <c r="B776" s="26" t="str">
        <f t="shared" si="2"/>
        <v/>
      </c>
      <c r="C776" s="207" t="str">
        <f t="shared" si="3"/>
        <v/>
      </c>
      <c r="D776" s="208"/>
      <c r="E776" s="194" t="str">
        <f>IFERROR(__xludf.DUMMYFUNCTION("IF(D776&lt;&gt;"""",SPLIT(D776,"" 
""),)"),"")</f>
        <v/>
      </c>
    </row>
    <row r="777">
      <c r="A777" s="26" t="str">
        <f t="shared" si="1"/>
        <v/>
      </c>
      <c r="B777" s="26" t="str">
        <f t="shared" si="2"/>
        <v/>
      </c>
      <c r="C777" s="207" t="str">
        <f t="shared" si="3"/>
        <v/>
      </c>
      <c r="D777" s="208"/>
      <c r="E777" s="194" t="str">
        <f>IFERROR(__xludf.DUMMYFUNCTION("IF(D777&lt;&gt;"""",SPLIT(D777,"" 
""),)"),"")</f>
        <v/>
      </c>
    </row>
    <row r="778">
      <c r="A778" s="26" t="str">
        <f t="shared" si="1"/>
        <v/>
      </c>
      <c r="B778" s="26" t="str">
        <f t="shared" si="2"/>
        <v/>
      </c>
      <c r="C778" s="207" t="str">
        <f t="shared" si="3"/>
        <v/>
      </c>
      <c r="D778" s="208"/>
      <c r="E778" s="194" t="str">
        <f>IFERROR(__xludf.DUMMYFUNCTION("IF(D778&lt;&gt;"""",SPLIT(D778,"" 
""),)"),"")</f>
        <v/>
      </c>
    </row>
    <row r="779">
      <c r="A779" s="26" t="str">
        <f t="shared" si="1"/>
        <v/>
      </c>
      <c r="B779" s="26" t="str">
        <f t="shared" si="2"/>
        <v/>
      </c>
      <c r="C779" s="207" t="str">
        <f t="shared" si="3"/>
        <v/>
      </c>
      <c r="D779" s="208"/>
      <c r="E779" s="194" t="str">
        <f>IFERROR(__xludf.DUMMYFUNCTION("IF(D779&lt;&gt;"""",SPLIT(D779,"" 
""),)"),"")</f>
        <v/>
      </c>
    </row>
    <row r="780">
      <c r="A780" s="26" t="str">
        <f t="shared" si="1"/>
        <v/>
      </c>
      <c r="B780" s="26" t="str">
        <f t="shared" si="2"/>
        <v/>
      </c>
      <c r="C780" s="207" t="str">
        <f t="shared" si="3"/>
        <v/>
      </c>
      <c r="D780" s="208"/>
      <c r="E780" s="194" t="str">
        <f>IFERROR(__xludf.DUMMYFUNCTION("IF(D780&lt;&gt;"""",SPLIT(D780,"" 
""),)"),"")</f>
        <v/>
      </c>
    </row>
    <row r="781">
      <c r="A781" s="26" t="str">
        <f t="shared" si="1"/>
        <v/>
      </c>
      <c r="B781" s="26" t="str">
        <f t="shared" si="2"/>
        <v/>
      </c>
      <c r="C781" s="207" t="str">
        <f t="shared" si="3"/>
        <v/>
      </c>
      <c r="D781" s="208"/>
      <c r="E781" s="194" t="str">
        <f>IFERROR(__xludf.DUMMYFUNCTION("IF(D781&lt;&gt;"""",SPLIT(D781,"" 
""),)"),"")</f>
        <v/>
      </c>
    </row>
    <row r="782">
      <c r="A782" s="26" t="str">
        <f t="shared" si="1"/>
        <v/>
      </c>
      <c r="B782" s="26" t="str">
        <f t="shared" si="2"/>
        <v/>
      </c>
      <c r="C782" s="207" t="str">
        <f t="shared" si="3"/>
        <v/>
      </c>
      <c r="D782" s="208"/>
      <c r="E782" s="194" t="str">
        <f>IFERROR(__xludf.DUMMYFUNCTION("IF(D782&lt;&gt;"""",SPLIT(D782,"" 
""),)"),"")</f>
        <v/>
      </c>
    </row>
    <row r="783">
      <c r="A783" s="26" t="str">
        <f t="shared" si="1"/>
        <v/>
      </c>
      <c r="B783" s="26" t="str">
        <f t="shared" si="2"/>
        <v/>
      </c>
      <c r="C783" s="207" t="str">
        <f t="shared" si="3"/>
        <v/>
      </c>
      <c r="D783" s="208"/>
      <c r="E783" s="194" t="str">
        <f>IFERROR(__xludf.DUMMYFUNCTION("IF(D783&lt;&gt;"""",SPLIT(D783,"" 
""),)"),"")</f>
        <v/>
      </c>
    </row>
    <row r="784">
      <c r="A784" s="26" t="str">
        <f t="shared" si="1"/>
        <v/>
      </c>
      <c r="B784" s="26" t="str">
        <f t="shared" si="2"/>
        <v/>
      </c>
      <c r="C784" s="207" t="str">
        <f t="shared" si="3"/>
        <v/>
      </c>
      <c r="D784" s="208"/>
      <c r="E784" s="194" t="str">
        <f>IFERROR(__xludf.DUMMYFUNCTION("IF(D784&lt;&gt;"""",SPLIT(D784,"" 
""),)"),"")</f>
        <v/>
      </c>
    </row>
    <row r="785">
      <c r="A785" s="26" t="str">
        <f t="shared" si="1"/>
        <v/>
      </c>
      <c r="B785" s="26" t="str">
        <f t="shared" si="2"/>
        <v/>
      </c>
      <c r="C785" s="207" t="str">
        <f t="shared" si="3"/>
        <v/>
      </c>
      <c r="D785" s="208"/>
      <c r="E785" s="194" t="str">
        <f>IFERROR(__xludf.DUMMYFUNCTION("IF(D785&lt;&gt;"""",SPLIT(D785,"" 
""),)"),"")</f>
        <v/>
      </c>
    </row>
    <row r="786">
      <c r="A786" s="26" t="str">
        <f t="shared" si="1"/>
        <v/>
      </c>
      <c r="B786" s="26" t="str">
        <f t="shared" si="2"/>
        <v/>
      </c>
      <c r="C786" s="207" t="str">
        <f t="shared" si="3"/>
        <v/>
      </c>
      <c r="D786" s="208"/>
      <c r="E786" s="194" t="str">
        <f>IFERROR(__xludf.DUMMYFUNCTION("IF(D786&lt;&gt;"""",SPLIT(D786,"" 
""),)"),"")</f>
        <v/>
      </c>
    </row>
    <row r="787">
      <c r="A787" s="26" t="str">
        <f t="shared" si="1"/>
        <v/>
      </c>
      <c r="B787" s="26" t="str">
        <f t="shared" si="2"/>
        <v/>
      </c>
      <c r="C787" s="207" t="str">
        <f t="shared" si="3"/>
        <v/>
      </c>
      <c r="D787" s="208"/>
      <c r="E787" s="194" t="str">
        <f>IFERROR(__xludf.DUMMYFUNCTION("IF(D787&lt;&gt;"""",SPLIT(D787,"" 
""),)"),"")</f>
        <v/>
      </c>
    </row>
    <row r="788">
      <c r="A788" s="26" t="str">
        <f t="shared" si="1"/>
        <v/>
      </c>
      <c r="B788" s="26" t="str">
        <f t="shared" si="2"/>
        <v/>
      </c>
      <c r="C788" s="207" t="str">
        <f t="shared" si="3"/>
        <v/>
      </c>
      <c r="D788" s="208"/>
      <c r="E788" s="194" t="str">
        <f>IFERROR(__xludf.DUMMYFUNCTION("IF(D788&lt;&gt;"""",SPLIT(D788,"" 
""),)"),"")</f>
        <v/>
      </c>
    </row>
    <row r="789">
      <c r="A789" s="26" t="str">
        <f t="shared" si="1"/>
        <v/>
      </c>
      <c r="B789" s="26" t="str">
        <f t="shared" si="2"/>
        <v/>
      </c>
      <c r="C789" s="207" t="str">
        <f t="shared" si="3"/>
        <v/>
      </c>
      <c r="D789" s="208"/>
      <c r="E789" s="194" t="str">
        <f>IFERROR(__xludf.DUMMYFUNCTION("IF(D789&lt;&gt;"""",SPLIT(D789,"" 
""),)"),"")</f>
        <v/>
      </c>
    </row>
    <row r="790">
      <c r="A790" s="26" t="str">
        <f t="shared" si="1"/>
        <v/>
      </c>
      <c r="B790" s="26" t="str">
        <f t="shared" si="2"/>
        <v/>
      </c>
      <c r="C790" s="207" t="str">
        <f t="shared" si="3"/>
        <v/>
      </c>
      <c r="D790" s="208"/>
      <c r="E790" s="194" t="str">
        <f>IFERROR(__xludf.DUMMYFUNCTION("IF(D790&lt;&gt;"""",SPLIT(D790,"" 
""),)"),"")</f>
        <v/>
      </c>
    </row>
    <row r="791">
      <c r="A791" s="26" t="str">
        <f t="shared" si="1"/>
        <v/>
      </c>
      <c r="B791" s="26" t="str">
        <f t="shared" si="2"/>
        <v/>
      </c>
      <c r="C791" s="207" t="str">
        <f t="shared" si="3"/>
        <v/>
      </c>
      <c r="D791" s="208"/>
      <c r="E791" s="194" t="str">
        <f>IFERROR(__xludf.DUMMYFUNCTION("IF(D791&lt;&gt;"""",SPLIT(D791,"" 
""),)"),"")</f>
        <v/>
      </c>
    </row>
    <row r="792">
      <c r="A792" s="26" t="str">
        <f t="shared" si="1"/>
        <v/>
      </c>
      <c r="B792" s="26" t="str">
        <f t="shared" si="2"/>
        <v/>
      </c>
      <c r="C792" s="207" t="str">
        <f t="shared" si="3"/>
        <v/>
      </c>
      <c r="D792" s="208"/>
      <c r="E792" s="194" t="str">
        <f>IFERROR(__xludf.DUMMYFUNCTION("IF(D792&lt;&gt;"""",SPLIT(D792,"" 
""),)"),"")</f>
        <v/>
      </c>
    </row>
    <row r="793">
      <c r="A793" s="26" t="str">
        <f t="shared" si="1"/>
        <v/>
      </c>
      <c r="B793" s="26" t="str">
        <f t="shared" si="2"/>
        <v/>
      </c>
      <c r="C793" s="207" t="str">
        <f t="shared" si="3"/>
        <v/>
      </c>
      <c r="D793" s="208"/>
      <c r="E793" s="194" t="str">
        <f>IFERROR(__xludf.DUMMYFUNCTION("IF(D793&lt;&gt;"""",SPLIT(D793,"" 
""),)"),"")</f>
        <v/>
      </c>
    </row>
    <row r="794">
      <c r="A794" s="26" t="str">
        <f t="shared" si="1"/>
        <v/>
      </c>
      <c r="B794" s="26" t="str">
        <f t="shared" si="2"/>
        <v/>
      </c>
      <c r="C794" s="207" t="str">
        <f t="shared" si="3"/>
        <v/>
      </c>
      <c r="D794" s="208"/>
      <c r="E794" s="194" t="str">
        <f>IFERROR(__xludf.DUMMYFUNCTION("IF(D794&lt;&gt;"""",SPLIT(D794,"" 
""),)"),"")</f>
        <v/>
      </c>
    </row>
    <row r="795">
      <c r="A795" s="26" t="str">
        <f t="shared" si="1"/>
        <v/>
      </c>
      <c r="B795" s="26" t="str">
        <f t="shared" si="2"/>
        <v/>
      </c>
      <c r="C795" s="207" t="str">
        <f t="shared" si="3"/>
        <v/>
      </c>
      <c r="D795" s="208"/>
      <c r="E795" s="194" t="str">
        <f>IFERROR(__xludf.DUMMYFUNCTION("IF(D795&lt;&gt;"""",SPLIT(D795,"" 
""),)"),"")</f>
        <v/>
      </c>
    </row>
    <row r="796">
      <c r="A796" s="26" t="str">
        <f t="shared" si="1"/>
        <v/>
      </c>
      <c r="B796" s="26" t="str">
        <f t="shared" si="2"/>
        <v/>
      </c>
      <c r="C796" s="207" t="str">
        <f t="shared" si="3"/>
        <v/>
      </c>
      <c r="D796" s="208"/>
      <c r="E796" s="194" t="str">
        <f>IFERROR(__xludf.DUMMYFUNCTION("IF(D796&lt;&gt;"""",SPLIT(D796,"" 
""),)"),"")</f>
        <v/>
      </c>
    </row>
    <row r="797">
      <c r="A797" s="26" t="str">
        <f t="shared" si="1"/>
        <v/>
      </c>
      <c r="B797" s="26" t="str">
        <f t="shared" si="2"/>
        <v/>
      </c>
      <c r="C797" s="207" t="str">
        <f t="shared" si="3"/>
        <v/>
      </c>
      <c r="D797" s="208"/>
      <c r="E797" s="194" t="str">
        <f>IFERROR(__xludf.DUMMYFUNCTION("IF(D797&lt;&gt;"""",SPLIT(D797,"" 
""),)"),"")</f>
        <v/>
      </c>
    </row>
    <row r="798">
      <c r="A798" s="26" t="str">
        <f t="shared" si="1"/>
        <v/>
      </c>
      <c r="B798" s="26" t="str">
        <f t="shared" si="2"/>
        <v/>
      </c>
      <c r="C798" s="207" t="str">
        <f t="shared" si="3"/>
        <v/>
      </c>
      <c r="D798" s="208"/>
      <c r="E798" s="194" t="str">
        <f>IFERROR(__xludf.DUMMYFUNCTION("IF(D798&lt;&gt;"""",SPLIT(D798,"" 
""),)"),"")</f>
        <v/>
      </c>
    </row>
    <row r="799">
      <c r="A799" s="26" t="str">
        <f t="shared" si="1"/>
        <v/>
      </c>
      <c r="B799" s="26" t="str">
        <f t="shared" si="2"/>
        <v/>
      </c>
      <c r="C799" s="207" t="str">
        <f t="shared" si="3"/>
        <v/>
      </c>
      <c r="D799" s="208"/>
      <c r="E799" s="194" t="str">
        <f>IFERROR(__xludf.DUMMYFUNCTION("IF(D799&lt;&gt;"""",SPLIT(D799,"" 
""),)"),"")</f>
        <v/>
      </c>
    </row>
    <row r="800">
      <c r="A800" s="26" t="str">
        <f t="shared" si="1"/>
        <v/>
      </c>
      <c r="B800" s="26" t="str">
        <f t="shared" si="2"/>
        <v/>
      </c>
      <c r="C800" s="207" t="str">
        <f t="shared" si="3"/>
        <v/>
      </c>
      <c r="D800" s="208"/>
      <c r="E800" s="194" t="str">
        <f>IFERROR(__xludf.DUMMYFUNCTION("IF(D800&lt;&gt;"""",SPLIT(D800,"" 
""),)"),"")</f>
        <v/>
      </c>
    </row>
    <row r="801">
      <c r="A801" s="26" t="str">
        <f t="shared" si="1"/>
        <v/>
      </c>
      <c r="B801" s="26" t="str">
        <f t="shared" si="2"/>
        <v/>
      </c>
      <c r="C801" s="207" t="str">
        <f t="shared" si="3"/>
        <v/>
      </c>
      <c r="D801" s="208"/>
      <c r="E801" s="194" t="str">
        <f>IFERROR(__xludf.DUMMYFUNCTION("IF(D801&lt;&gt;"""",SPLIT(D801,"" 
""),)"),"")</f>
        <v/>
      </c>
    </row>
    <row r="802">
      <c r="A802" s="26" t="str">
        <f t="shared" si="1"/>
        <v/>
      </c>
      <c r="B802" s="26" t="str">
        <f t="shared" si="2"/>
        <v/>
      </c>
      <c r="C802" s="207" t="str">
        <f t="shared" si="3"/>
        <v/>
      </c>
      <c r="D802" s="208"/>
      <c r="E802" s="194" t="str">
        <f>IFERROR(__xludf.DUMMYFUNCTION("IF(D802&lt;&gt;"""",SPLIT(D802,"" 
""),)"),"")</f>
        <v/>
      </c>
    </row>
    <row r="803">
      <c r="A803" s="26" t="str">
        <f t="shared" si="1"/>
        <v/>
      </c>
      <c r="B803" s="26" t="str">
        <f t="shared" si="2"/>
        <v/>
      </c>
      <c r="C803" s="207" t="str">
        <f t="shared" si="3"/>
        <v/>
      </c>
      <c r="D803" s="208"/>
      <c r="E803" s="194" t="str">
        <f>IFERROR(__xludf.DUMMYFUNCTION("IF(D803&lt;&gt;"""",SPLIT(D803,"" 
""),)"),"")</f>
        <v/>
      </c>
    </row>
    <row r="804">
      <c r="A804" s="26" t="str">
        <f t="shared" si="1"/>
        <v/>
      </c>
      <c r="B804" s="26" t="str">
        <f t="shared" si="2"/>
        <v/>
      </c>
      <c r="C804" s="207" t="str">
        <f t="shared" si="3"/>
        <v/>
      </c>
      <c r="D804" s="208"/>
      <c r="E804" s="194" t="str">
        <f>IFERROR(__xludf.DUMMYFUNCTION("IF(D804&lt;&gt;"""",SPLIT(D804,"" 
""),)"),"")</f>
        <v/>
      </c>
    </row>
    <row r="805">
      <c r="A805" s="26" t="str">
        <f t="shared" si="1"/>
        <v/>
      </c>
      <c r="B805" s="26" t="str">
        <f t="shared" si="2"/>
        <v/>
      </c>
      <c r="C805" s="207" t="str">
        <f t="shared" si="3"/>
        <v/>
      </c>
      <c r="D805" s="208"/>
      <c r="E805" s="194" t="str">
        <f>IFERROR(__xludf.DUMMYFUNCTION("IF(D805&lt;&gt;"""",SPLIT(D805,"" 
""),)"),"")</f>
        <v/>
      </c>
    </row>
    <row r="806">
      <c r="A806" s="26" t="str">
        <f t="shared" si="1"/>
        <v/>
      </c>
      <c r="B806" s="26" t="str">
        <f t="shared" si="2"/>
        <v/>
      </c>
      <c r="C806" s="207" t="str">
        <f t="shared" si="3"/>
        <v/>
      </c>
      <c r="D806" s="208"/>
      <c r="E806" s="194" t="str">
        <f>IFERROR(__xludf.DUMMYFUNCTION("IF(D806&lt;&gt;"""",SPLIT(D806,"" 
""),)"),"")</f>
        <v/>
      </c>
    </row>
    <row r="807">
      <c r="A807" s="26" t="str">
        <f t="shared" si="1"/>
        <v/>
      </c>
      <c r="B807" s="26" t="str">
        <f t="shared" si="2"/>
        <v/>
      </c>
      <c r="C807" s="207" t="str">
        <f t="shared" si="3"/>
        <v/>
      </c>
      <c r="D807" s="208"/>
      <c r="E807" s="194" t="str">
        <f>IFERROR(__xludf.DUMMYFUNCTION("IF(D807&lt;&gt;"""",SPLIT(D807,"" 
""),)"),"")</f>
        <v/>
      </c>
    </row>
    <row r="808">
      <c r="A808" s="26" t="str">
        <f t="shared" si="1"/>
        <v/>
      </c>
      <c r="B808" s="26" t="str">
        <f t="shared" si="2"/>
        <v/>
      </c>
      <c r="C808" s="207" t="str">
        <f t="shared" si="3"/>
        <v/>
      </c>
      <c r="D808" s="208"/>
      <c r="E808" s="194" t="str">
        <f>IFERROR(__xludf.DUMMYFUNCTION("IF(D808&lt;&gt;"""",SPLIT(D808,"" 
""),)"),"")</f>
        <v/>
      </c>
    </row>
    <row r="809">
      <c r="A809" s="26" t="str">
        <f t="shared" si="1"/>
        <v/>
      </c>
      <c r="B809" s="26" t="str">
        <f t="shared" si="2"/>
        <v/>
      </c>
      <c r="C809" s="207" t="str">
        <f t="shared" si="3"/>
        <v/>
      </c>
      <c r="D809" s="208"/>
      <c r="E809" s="194" t="str">
        <f>IFERROR(__xludf.DUMMYFUNCTION("IF(D809&lt;&gt;"""",SPLIT(D809,"" 
""),)"),"")</f>
        <v/>
      </c>
    </row>
    <row r="810">
      <c r="A810" s="26" t="str">
        <f t="shared" si="1"/>
        <v/>
      </c>
      <c r="B810" s="26" t="str">
        <f t="shared" si="2"/>
        <v/>
      </c>
      <c r="C810" s="207" t="str">
        <f t="shared" si="3"/>
        <v/>
      </c>
      <c r="D810" s="208"/>
      <c r="E810" s="194" t="str">
        <f>IFERROR(__xludf.DUMMYFUNCTION("IF(D810&lt;&gt;"""",SPLIT(D810,"" 
""),)"),"")</f>
        <v/>
      </c>
    </row>
    <row r="811">
      <c r="A811" s="26" t="str">
        <f t="shared" si="1"/>
        <v/>
      </c>
      <c r="B811" s="26" t="str">
        <f t="shared" si="2"/>
        <v/>
      </c>
      <c r="C811" s="207" t="str">
        <f t="shared" si="3"/>
        <v/>
      </c>
      <c r="D811" s="208"/>
      <c r="E811" s="194" t="str">
        <f>IFERROR(__xludf.DUMMYFUNCTION("IF(D811&lt;&gt;"""",SPLIT(D811,"" 
""),)"),"")</f>
        <v/>
      </c>
    </row>
    <row r="812">
      <c r="A812" s="26" t="str">
        <f t="shared" si="1"/>
        <v/>
      </c>
      <c r="B812" s="26" t="str">
        <f t="shared" si="2"/>
        <v/>
      </c>
      <c r="C812" s="207" t="str">
        <f t="shared" si="3"/>
        <v/>
      </c>
      <c r="D812" s="208"/>
      <c r="E812" s="194" t="str">
        <f>IFERROR(__xludf.DUMMYFUNCTION("IF(D812&lt;&gt;"""",SPLIT(D812,"" 
""),)"),"")</f>
        <v/>
      </c>
    </row>
    <row r="813">
      <c r="A813" s="26" t="str">
        <f t="shared" si="1"/>
        <v/>
      </c>
      <c r="B813" s="26" t="str">
        <f t="shared" si="2"/>
        <v/>
      </c>
      <c r="C813" s="207" t="str">
        <f t="shared" si="3"/>
        <v/>
      </c>
      <c r="D813" s="208"/>
      <c r="E813" s="194" t="str">
        <f>IFERROR(__xludf.DUMMYFUNCTION("IF(D813&lt;&gt;"""",SPLIT(D813,"" 
""),)"),"")</f>
        <v/>
      </c>
    </row>
    <row r="814">
      <c r="A814" s="26" t="str">
        <f t="shared" si="1"/>
        <v/>
      </c>
      <c r="B814" s="26" t="str">
        <f t="shared" si="2"/>
        <v/>
      </c>
      <c r="C814" s="207" t="str">
        <f t="shared" si="3"/>
        <v/>
      </c>
      <c r="D814" s="208"/>
      <c r="E814" s="194" t="str">
        <f>IFERROR(__xludf.DUMMYFUNCTION("IF(D814&lt;&gt;"""",SPLIT(D814,"" 
""),)"),"")</f>
        <v/>
      </c>
    </row>
    <row r="815">
      <c r="A815" s="26" t="str">
        <f t="shared" si="1"/>
        <v/>
      </c>
      <c r="B815" s="26" t="str">
        <f t="shared" si="2"/>
        <v/>
      </c>
      <c r="C815" s="207" t="str">
        <f t="shared" si="3"/>
        <v/>
      </c>
      <c r="D815" s="208"/>
      <c r="E815" s="194" t="str">
        <f>IFERROR(__xludf.DUMMYFUNCTION("IF(D815&lt;&gt;"""",SPLIT(D815,"" 
""),)"),"")</f>
        <v/>
      </c>
    </row>
    <row r="816">
      <c r="A816" s="26" t="str">
        <f t="shared" si="1"/>
        <v/>
      </c>
      <c r="B816" s="26" t="str">
        <f t="shared" si="2"/>
        <v/>
      </c>
      <c r="C816" s="207" t="str">
        <f t="shared" si="3"/>
        <v/>
      </c>
      <c r="D816" s="208"/>
      <c r="E816" s="194" t="str">
        <f>IFERROR(__xludf.DUMMYFUNCTION("IF(D816&lt;&gt;"""",SPLIT(D816,"" 
""),)"),"")</f>
        <v/>
      </c>
    </row>
    <row r="817">
      <c r="A817" s="26" t="str">
        <f t="shared" si="1"/>
        <v/>
      </c>
      <c r="B817" s="26" t="str">
        <f t="shared" si="2"/>
        <v/>
      </c>
      <c r="C817" s="207" t="str">
        <f t="shared" si="3"/>
        <v/>
      </c>
      <c r="D817" s="208"/>
      <c r="E817" s="194" t="str">
        <f>IFERROR(__xludf.DUMMYFUNCTION("IF(D817&lt;&gt;"""",SPLIT(D817,"" 
""),)"),"")</f>
        <v/>
      </c>
    </row>
    <row r="818">
      <c r="A818" s="26" t="str">
        <f t="shared" si="1"/>
        <v/>
      </c>
      <c r="B818" s="26" t="str">
        <f t="shared" si="2"/>
        <v/>
      </c>
      <c r="C818" s="207" t="str">
        <f t="shared" si="3"/>
        <v/>
      </c>
      <c r="D818" s="208"/>
      <c r="E818" s="194" t="str">
        <f>IFERROR(__xludf.DUMMYFUNCTION("IF(D818&lt;&gt;"""",SPLIT(D818,"" 
""),)"),"")</f>
        <v/>
      </c>
    </row>
    <row r="819">
      <c r="A819" s="26" t="str">
        <f t="shared" si="1"/>
        <v/>
      </c>
      <c r="B819" s="26" t="str">
        <f t="shared" si="2"/>
        <v/>
      </c>
      <c r="C819" s="207" t="str">
        <f t="shared" si="3"/>
        <v/>
      </c>
      <c r="D819" s="208"/>
      <c r="E819" s="194" t="str">
        <f>IFERROR(__xludf.DUMMYFUNCTION("IF(D819&lt;&gt;"""",SPLIT(D819,"" 
""),)"),"")</f>
        <v/>
      </c>
    </row>
    <row r="820">
      <c r="A820" s="26" t="str">
        <f t="shared" si="1"/>
        <v/>
      </c>
      <c r="B820" s="26" t="str">
        <f t="shared" si="2"/>
        <v/>
      </c>
      <c r="C820" s="207" t="str">
        <f t="shared" si="3"/>
        <v/>
      </c>
      <c r="D820" s="208"/>
      <c r="E820" s="194" t="str">
        <f>IFERROR(__xludf.DUMMYFUNCTION("IF(D820&lt;&gt;"""",SPLIT(D820,"" 
""),)"),"")</f>
        <v/>
      </c>
    </row>
    <row r="821">
      <c r="A821" s="26" t="str">
        <f t="shared" si="1"/>
        <v/>
      </c>
      <c r="B821" s="26" t="str">
        <f t="shared" si="2"/>
        <v/>
      </c>
      <c r="C821" s="207" t="str">
        <f t="shared" si="3"/>
        <v/>
      </c>
      <c r="D821" s="208"/>
      <c r="E821" s="194" t="str">
        <f>IFERROR(__xludf.DUMMYFUNCTION("IF(D821&lt;&gt;"""",SPLIT(D821,"" 
""),)"),"")</f>
        <v/>
      </c>
    </row>
    <row r="822">
      <c r="A822" s="26" t="str">
        <f t="shared" si="1"/>
        <v/>
      </c>
      <c r="B822" s="26" t="str">
        <f t="shared" si="2"/>
        <v/>
      </c>
      <c r="C822" s="207" t="str">
        <f t="shared" si="3"/>
        <v/>
      </c>
      <c r="D822" s="208"/>
      <c r="E822" s="194" t="str">
        <f>IFERROR(__xludf.DUMMYFUNCTION("IF(D822&lt;&gt;"""",SPLIT(D822,"" 
""),)"),"")</f>
        <v/>
      </c>
    </row>
    <row r="823">
      <c r="A823" s="26" t="str">
        <f t="shared" si="1"/>
        <v/>
      </c>
      <c r="B823" s="26" t="str">
        <f t="shared" si="2"/>
        <v/>
      </c>
      <c r="C823" s="207" t="str">
        <f t="shared" si="3"/>
        <v/>
      </c>
      <c r="D823" s="208"/>
      <c r="E823" s="194" t="str">
        <f>IFERROR(__xludf.DUMMYFUNCTION("IF(D823&lt;&gt;"""",SPLIT(D823,"" 
""),)"),"")</f>
        <v/>
      </c>
    </row>
    <row r="824">
      <c r="A824" s="26" t="str">
        <f t="shared" si="1"/>
        <v/>
      </c>
      <c r="B824" s="26" t="str">
        <f t="shared" si="2"/>
        <v/>
      </c>
      <c r="C824" s="207" t="str">
        <f t="shared" si="3"/>
        <v/>
      </c>
      <c r="D824" s="208"/>
      <c r="E824" s="194" t="str">
        <f>IFERROR(__xludf.DUMMYFUNCTION("IF(D824&lt;&gt;"""",SPLIT(D824,"" 
""),)"),"")</f>
        <v/>
      </c>
    </row>
    <row r="825">
      <c r="A825" s="26" t="str">
        <f t="shared" si="1"/>
        <v/>
      </c>
      <c r="B825" s="26" t="str">
        <f t="shared" si="2"/>
        <v/>
      </c>
      <c r="C825" s="207" t="str">
        <f t="shared" si="3"/>
        <v/>
      </c>
      <c r="D825" s="208"/>
      <c r="E825" s="194" t="str">
        <f>IFERROR(__xludf.DUMMYFUNCTION("IF(D825&lt;&gt;"""",SPLIT(D825,"" 
""),)"),"")</f>
        <v/>
      </c>
    </row>
    <row r="826">
      <c r="A826" s="26" t="str">
        <f t="shared" si="1"/>
        <v/>
      </c>
      <c r="B826" s="26" t="str">
        <f t="shared" si="2"/>
        <v/>
      </c>
      <c r="C826" s="207" t="str">
        <f t="shared" si="3"/>
        <v/>
      </c>
      <c r="D826" s="208"/>
      <c r="E826" s="194" t="str">
        <f>IFERROR(__xludf.DUMMYFUNCTION("IF(D826&lt;&gt;"""",SPLIT(D826,"" 
""),)"),"")</f>
        <v/>
      </c>
    </row>
    <row r="827">
      <c r="A827" s="26" t="str">
        <f t="shared" si="1"/>
        <v/>
      </c>
      <c r="B827" s="26" t="str">
        <f t="shared" si="2"/>
        <v/>
      </c>
      <c r="C827" s="207" t="str">
        <f t="shared" si="3"/>
        <v/>
      </c>
      <c r="D827" s="208"/>
      <c r="E827" s="194" t="str">
        <f>IFERROR(__xludf.DUMMYFUNCTION("IF(D827&lt;&gt;"""",SPLIT(D827,"" 
""),)"),"")</f>
        <v/>
      </c>
    </row>
    <row r="828">
      <c r="A828" s="26" t="str">
        <f t="shared" si="1"/>
        <v/>
      </c>
      <c r="B828" s="26" t="str">
        <f t="shared" si="2"/>
        <v/>
      </c>
      <c r="C828" s="207" t="str">
        <f t="shared" si="3"/>
        <v/>
      </c>
      <c r="D828" s="208"/>
      <c r="E828" s="194" t="str">
        <f>IFERROR(__xludf.DUMMYFUNCTION("IF(D828&lt;&gt;"""",SPLIT(D828,"" 
""),)"),"")</f>
        <v/>
      </c>
    </row>
    <row r="829">
      <c r="A829" s="26" t="str">
        <f t="shared" si="1"/>
        <v/>
      </c>
      <c r="B829" s="26" t="str">
        <f t="shared" si="2"/>
        <v/>
      </c>
      <c r="C829" s="207" t="str">
        <f t="shared" si="3"/>
        <v/>
      </c>
      <c r="D829" s="208"/>
      <c r="E829" s="194" t="str">
        <f>IFERROR(__xludf.DUMMYFUNCTION("IF(D829&lt;&gt;"""",SPLIT(D829,"" 
""),)"),"")</f>
        <v/>
      </c>
    </row>
    <row r="830">
      <c r="A830" s="26" t="str">
        <f t="shared" si="1"/>
        <v/>
      </c>
      <c r="B830" s="26" t="str">
        <f t="shared" si="2"/>
        <v/>
      </c>
      <c r="C830" s="207" t="str">
        <f t="shared" si="3"/>
        <v/>
      </c>
      <c r="D830" s="208"/>
      <c r="E830" s="194" t="str">
        <f>IFERROR(__xludf.DUMMYFUNCTION("IF(D830&lt;&gt;"""",SPLIT(D830,"" 
""),)"),"")</f>
        <v/>
      </c>
    </row>
    <row r="831">
      <c r="A831" s="26" t="str">
        <f t="shared" si="1"/>
        <v/>
      </c>
      <c r="B831" s="26" t="str">
        <f t="shared" si="2"/>
        <v/>
      </c>
      <c r="C831" s="207" t="str">
        <f t="shared" si="3"/>
        <v/>
      </c>
      <c r="D831" s="208"/>
      <c r="E831" s="194" t="str">
        <f>IFERROR(__xludf.DUMMYFUNCTION("IF(D831&lt;&gt;"""",SPLIT(D831,"" 
""),)"),"")</f>
        <v/>
      </c>
    </row>
    <row r="832">
      <c r="A832" s="26" t="str">
        <f t="shared" si="1"/>
        <v/>
      </c>
      <c r="B832" s="26" t="str">
        <f t="shared" si="2"/>
        <v/>
      </c>
      <c r="C832" s="207" t="str">
        <f t="shared" si="3"/>
        <v/>
      </c>
      <c r="D832" s="208"/>
      <c r="E832" s="194" t="str">
        <f>IFERROR(__xludf.DUMMYFUNCTION("IF(D832&lt;&gt;"""",SPLIT(D832,"" 
""),)"),"")</f>
        <v/>
      </c>
    </row>
    <row r="833">
      <c r="A833" s="26" t="str">
        <f t="shared" si="1"/>
        <v/>
      </c>
      <c r="B833" s="26" t="str">
        <f t="shared" si="2"/>
        <v/>
      </c>
      <c r="C833" s="207" t="str">
        <f t="shared" si="3"/>
        <v/>
      </c>
      <c r="D833" s="208"/>
      <c r="E833" s="194" t="str">
        <f>IFERROR(__xludf.DUMMYFUNCTION("IF(D833&lt;&gt;"""",SPLIT(D833,"" 
""),)"),"")</f>
        <v/>
      </c>
    </row>
    <row r="834">
      <c r="A834" s="26" t="str">
        <f t="shared" si="1"/>
        <v/>
      </c>
      <c r="B834" s="26" t="str">
        <f t="shared" si="2"/>
        <v/>
      </c>
      <c r="C834" s="207" t="str">
        <f t="shared" si="3"/>
        <v/>
      </c>
      <c r="D834" s="208"/>
      <c r="E834" s="194" t="str">
        <f>IFERROR(__xludf.DUMMYFUNCTION("IF(D834&lt;&gt;"""",SPLIT(D834,"" 
""),)"),"")</f>
        <v/>
      </c>
    </row>
    <row r="835">
      <c r="A835" s="26" t="str">
        <f t="shared" si="1"/>
        <v/>
      </c>
      <c r="B835" s="26" t="str">
        <f t="shared" si="2"/>
        <v/>
      </c>
      <c r="C835" s="207" t="str">
        <f t="shared" si="3"/>
        <v/>
      </c>
      <c r="D835" s="208"/>
      <c r="E835" s="194" t="str">
        <f>IFERROR(__xludf.DUMMYFUNCTION("IF(D835&lt;&gt;"""",SPLIT(D835,"" 
""),)"),"")</f>
        <v/>
      </c>
    </row>
    <row r="836">
      <c r="A836" s="26" t="str">
        <f t="shared" si="1"/>
        <v/>
      </c>
      <c r="B836" s="26" t="str">
        <f t="shared" si="2"/>
        <v/>
      </c>
      <c r="C836" s="207" t="str">
        <f t="shared" si="3"/>
        <v/>
      </c>
      <c r="D836" s="208"/>
      <c r="E836" s="194" t="str">
        <f>IFERROR(__xludf.DUMMYFUNCTION("IF(D836&lt;&gt;"""",SPLIT(D836,"" 
""),)"),"")</f>
        <v/>
      </c>
    </row>
    <row r="837">
      <c r="A837" s="26" t="str">
        <f t="shared" si="1"/>
        <v/>
      </c>
      <c r="B837" s="26" t="str">
        <f t="shared" si="2"/>
        <v/>
      </c>
      <c r="C837" s="207" t="str">
        <f t="shared" si="3"/>
        <v/>
      </c>
      <c r="D837" s="208"/>
      <c r="E837" s="194" t="str">
        <f>IFERROR(__xludf.DUMMYFUNCTION("IF(D837&lt;&gt;"""",SPLIT(D837,"" 
""),)"),"")</f>
        <v/>
      </c>
    </row>
    <row r="838">
      <c r="A838" s="26" t="str">
        <f t="shared" si="1"/>
        <v/>
      </c>
      <c r="B838" s="26" t="str">
        <f t="shared" si="2"/>
        <v/>
      </c>
      <c r="C838" s="207" t="str">
        <f t="shared" si="3"/>
        <v/>
      </c>
      <c r="D838" s="208"/>
      <c r="E838" s="194" t="str">
        <f>IFERROR(__xludf.DUMMYFUNCTION("IF(D838&lt;&gt;"""",SPLIT(D838,"" 
""),)"),"")</f>
        <v/>
      </c>
    </row>
    <row r="839">
      <c r="A839" s="26" t="str">
        <f t="shared" si="1"/>
        <v/>
      </c>
      <c r="B839" s="26" t="str">
        <f t="shared" si="2"/>
        <v/>
      </c>
      <c r="C839" s="207" t="str">
        <f t="shared" si="3"/>
        <v/>
      </c>
      <c r="D839" s="208"/>
      <c r="E839" s="194" t="str">
        <f>IFERROR(__xludf.DUMMYFUNCTION("IF(D839&lt;&gt;"""",SPLIT(D839,"" 
""),)"),"")</f>
        <v/>
      </c>
    </row>
    <row r="840">
      <c r="A840" s="26" t="str">
        <f t="shared" si="1"/>
        <v/>
      </c>
      <c r="B840" s="26" t="str">
        <f t="shared" si="2"/>
        <v/>
      </c>
      <c r="C840" s="207" t="str">
        <f t="shared" si="3"/>
        <v/>
      </c>
      <c r="D840" s="208"/>
      <c r="E840" s="194" t="str">
        <f>IFERROR(__xludf.DUMMYFUNCTION("IF(D840&lt;&gt;"""",SPLIT(D840,"" 
""),)"),"")</f>
        <v/>
      </c>
    </row>
    <row r="841">
      <c r="A841" s="26" t="str">
        <f t="shared" si="1"/>
        <v/>
      </c>
      <c r="B841" s="26" t="str">
        <f t="shared" si="2"/>
        <v/>
      </c>
      <c r="C841" s="207" t="str">
        <f t="shared" si="3"/>
        <v/>
      </c>
      <c r="D841" s="208"/>
      <c r="E841" s="194" t="str">
        <f>IFERROR(__xludf.DUMMYFUNCTION("IF(D841&lt;&gt;"""",SPLIT(D841,"" 
""),)"),"")</f>
        <v/>
      </c>
    </row>
    <row r="842">
      <c r="A842" s="26" t="str">
        <f t="shared" si="1"/>
        <v/>
      </c>
      <c r="B842" s="26" t="str">
        <f t="shared" si="2"/>
        <v/>
      </c>
      <c r="C842" s="207" t="str">
        <f t="shared" si="3"/>
        <v/>
      </c>
      <c r="D842" s="208"/>
      <c r="E842" s="194" t="str">
        <f>IFERROR(__xludf.DUMMYFUNCTION("IF(D842&lt;&gt;"""",SPLIT(D842,"" 
""),)"),"")</f>
        <v/>
      </c>
    </row>
    <row r="843">
      <c r="A843" s="26" t="str">
        <f t="shared" si="1"/>
        <v/>
      </c>
      <c r="B843" s="26" t="str">
        <f t="shared" si="2"/>
        <v/>
      </c>
      <c r="C843" s="207" t="str">
        <f t="shared" si="3"/>
        <v/>
      </c>
      <c r="D843" s="208"/>
      <c r="E843" s="194" t="str">
        <f>IFERROR(__xludf.DUMMYFUNCTION("IF(D843&lt;&gt;"""",SPLIT(D843,"" 
""),)"),"")</f>
        <v/>
      </c>
    </row>
    <row r="844">
      <c r="A844" s="26" t="str">
        <f t="shared" si="1"/>
        <v/>
      </c>
      <c r="B844" s="26" t="str">
        <f t="shared" si="2"/>
        <v/>
      </c>
      <c r="C844" s="207" t="str">
        <f t="shared" si="3"/>
        <v/>
      </c>
      <c r="D844" s="208"/>
      <c r="E844" s="194" t="str">
        <f>IFERROR(__xludf.DUMMYFUNCTION("IF(D844&lt;&gt;"""",SPLIT(D844,"" 
""),)"),"")</f>
        <v/>
      </c>
    </row>
    <row r="845">
      <c r="A845" s="26" t="str">
        <f t="shared" si="1"/>
        <v/>
      </c>
      <c r="B845" s="26" t="str">
        <f t="shared" si="2"/>
        <v/>
      </c>
      <c r="C845" s="207" t="str">
        <f t="shared" si="3"/>
        <v/>
      </c>
      <c r="D845" s="208"/>
      <c r="E845" s="194" t="str">
        <f>IFERROR(__xludf.DUMMYFUNCTION("IF(D845&lt;&gt;"""",SPLIT(D845,"" 
""),)"),"")</f>
        <v/>
      </c>
    </row>
    <row r="846">
      <c r="A846" s="26" t="str">
        <f t="shared" si="1"/>
        <v/>
      </c>
      <c r="B846" s="26" t="str">
        <f t="shared" si="2"/>
        <v/>
      </c>
      <c r="C846" s="207" t="str">
        <f t="shared" si="3"/>
        <v/>
      </c>
      <c r="D846" s="208"/>
      <c r="E846" s="194" t="str">
        <f>IFERROR(__xludf.DUMMYFUNCTION("IF(D846&lt;&gt;"""",SPLIT(D846,"" 
""),)"),"")</f>
        <v/>
      </c>
    </row>
    <row r="847">
      <c r="A847" s="26" t="str">
        <f t="shared" si="1"/>
        <v/>
      </c>
      <c r="B847" s="26" t="str">
        <f t="shared" si="2"/>
        <v/>
      </c>
      <c r="C847" s="207" t="str">
        <f t="shared" si="3"/>
        <v/>
      </c>
      <c r="D847" s="208"/>
      <c r="E847" s="194" t="str">
        <f>IFERROR(__xludf.DUMMYFUNCTION("IF(D847&lt;&gt;"""",SPLIT(D847,"" 
""),)"),"")</f>
        <v/>
      </c>
    </row>
    <row r="848">
      <c r="A848" s="26" t="str">
        <f t="shared" si="1"/>
        <v/>
      </c>
      <c r="B848" s="26" t="str">
        <f t="shared" si="2"/>
        <v/>
      </c>
      <c r="C848" s="207" t="str">
        <f t="shared" si="3"/>
        <v/>
      </c>
      <c r="D848" s="208"/>
      <c r="E848" s="194" t="str">
        <f>IFERROR(__xludf.DUMMYFUNCTION("IF(D848&lt;&gt;"""",SPLIT(D848,"" 
""),)"),"")</f>
        <v/>
      </c>
    </row>
    <row r="849">
      <c r="A849" s="26" t="str">
        <f t="shared" si="1"/>
        <v/>
      </c>
      <c r="B849" s="26" t="str">
        <f t="shared" si="2"/>
        <v/>
      </c>
      <c r="C849" s="207" t="str">
        <f t="shared" si="3"/>
        <v/>
      </c>
      <c r="D849" s="208"/>
      <c r="E849" s="194" t="str">
        <f>IFERROR(__xludf.DUMMYFUNCTION("IF(D849&lt;&gt;"""",SPLIT(D849,"" 
""),)"),"")</f>
        <v/>
      </c>
    </row>
    <row r="850">
      <c r="A850" s="26" t="str">
        <f t="shared" si="1"/>
        <v/>
      </c>
      <c r="B850" s="26" t="str">
        <f t="shared" si="2"/>
        <v/>
      </c>
      <c r="C850" s="207" t="str">
        <f t="shared" si="3"/>
        <v/>
      </c>
      <c r="D850" s="208"/>
      <c r="E850" s="194" t="str">
        <f>IFERROR(__xludf.DUMMYFUNCTION("IF(D850&lt;&gt;"""",SPLIT(D850,"" 
""),)"),"")</f>
        <v/>
      </c>
    </row>
    <row r="851">
      <c r="A851" s="26" t="str">
        <f t="shared" si="1"/>
        <v/>
      </c>
      <c r="B851" s="26" t="str">
        <f t="shared" si="2"/>
        <v/>
      </c>
      <c r="C851" s="207" t="str">
        <f t="shared" si="3"/>
        <v/>
      </c>
      <c r="D851" s="208"/>
      <c r="E851" s="194" t="str">
        <f>IFERROR(__xludf.DUMMYFUNCTION("IF(D851&lt;&gt;"""",SPLIT(D851,"" 
""),)"),"")</f>
        <v/>
      </c>
    </row>
    <row r="852">
      <c r="A852" s="26" t="str">
        <f t="shared" si="1"/>
        <v/>
      </c>
      <c r="B852" s="26" t="str">
        <f t="shared" si="2"/>
        <v/>
      </c>
      <c r="C852" s="207" t="str">
        <f t="shared" si="3"/>
        <v/>
      </c>
      <c r="D852" s="208"/>
      <c r="E852" s="194" t="str">
        <f>IFERROR(__xludf.DUMMYFUNCTION("IF(D852&lt;&gt;"""",SPLIT(D852,"" 
""),)"),"")</f>
        <v/>
      </c>
    </row>
    <row r="853">
      <c r="A853" s="26" t="str">
        <f t="shared" si="1"/>
        <v/>
      </c>
      <c r="B853" s="26" t="str">
        <f t="shared" si="2"/>
        <v/>
      </c>
      <c r="C853" s="207" t="str">
        <f t="shared" si="3"/>
        <v/>
      </c>
      <c r="D853" s="208"/>
      <c r="E853" s="194" t="str">
        <f>IFERROR(__xludf.DUMMYFUNCTION("IF(D853&lt;&gt;"""",SPLIT(D853,"" 
""),)"),"")</f>
        <v/>
      </c>
    </row>
    <row r="854">
      <c r="A854" s="26" t="str">
        <f t="shared" si="1"/>
        <v/>
      </c>
      <c r="B854" s="26" t="str">
        <f t="shared" si="2"/>
        <v/>
      </c>
      <c r="C854" s="207" t="str">
        <f t="shared" si="3"/>
        <v/>
      </c>
      <c r="D854" s="208"/>
      <c r="E854" s="194" t="str">
        <f>IFERROR(__xludf.DUMMYFUNCTION("IF(D854&lt;&gt;"""",SPLIT(D854,"" 
""),)"),"")</f>
        <v/>
      </c>
    </row>
    <row r="855">
      <c r="A855" s="26" t="str">
        <f t="shared" si="1"/>
        <v/>
      </c>
      <c r="B855" s="26" t="str">
        <f t="shared" si="2"/>
        <v/>
      </c>
      <c r="C855" s="207" t="str">
        <f t="shared" si="3"/>
        <v/>
      </c>
      <c r="D855" s="208"/>
      <c r="E855" s="194" t="str">
        <f>IFERROR(__xludf.DUMMYFUNCTION("IF(D855&lt;&gt;"""",SPLIT(D855,"" 
""),)"),"")</f>
        <v/>
      </c>
    </row>
    <row r="856">
      <c r="A856" s="26" t="str">
        <f t="shared" si="1"/>
        <v/>
      </c>
      <c r="B856" s="26" t="str">
        <f t="shared" si="2"/>
        <v/>
      </c>
      <c r="C856" s="207" t="str">
        <f t="shared" si="3"/>
        <v/>
      </c>
      <c r="D856" s="208"/>
      <c r="E856" s="194" t="str">
        <f>IFERROR(__xludf.DUMMYFUNCTION("IF(D856&lt;&gt;"""",SPLIT(D856,"" 
""),)"),"")</f>
        <v/>
      </c>
    </row>
    <row r="857">
      <c r="A857" s="26" t="str">
        <f t="shared" si="1"/>
        <v/>
      </c>
      <c r="B857" s="26" t="str">
        <f t="shared" si="2"/>
        <v/>
      </c>
      <c r="C857" s="207" t="str">
        <f t="shared" si="3"/>
        <v/>
      </c>
      <c r="D857" s="208"/>
      <c r="E857" s="194" t="str">
        <f>IFERROR(__xludf.DUMMYFUNCTION("IF(D857&lt;&gt;"""",SPLIT(D857,"" 
""),)"),"")</f>
        <v/>
      </c>
    </row>
    <row r="858">
      <c r="A858" s="26" t="str">
        <f t="shared" si="1"/>
        <v/>
      </c>
      <c r="B858" s="26" t="str">
        <f t="shared" si="2"/>
        <v/>
      </c>
      <c r="C858" s="207" t="str">
        <f t="shared" si="3"/>
        <v/>
      </c>
      <c r="D858" s="208"/>
      <c r="E858" s="194" t="str">
        <f>IFERROR(__xludf.DUMMYFUNCTION("IF(D858&lt;&gt;"""",SPLIT(D858,"" 
""),)"),"")</f>
        <v/>
      </c>
    </row>
    <row r="859">
      <c r="A859" s="26" t="str">
        <f t="shared" si="1"/>
        <v/>
      </c>
      <c r="B859" s="26" t="str">
        <f t="shared" si="2"/>
        <v/>
      </c>
      <c r="C859" s="207" t="str">
        <f t="shared" si="3"/>
        <v/>
      </c>
      <c r="D859" s="208"/>
      <c r="E859" s="194" t="str">
        <f>IFERROR(__xludf.DUMMYFUNCTION("IF(D859&lt;&gt;"""",SPLIT(D859,"" 
""),)"),"")</f>
        <v/>
      </c>
    </row>
    <row r="860">
      <c r="A860" s="26" t="str">
        <f t="shared" si="1"/>
        <v/>
      </c>
      <c r="B860" s="26" t="str">
        <f t="shared" si="2"/>
        <v/>
      </c>
      <c r="C860" s="207" t="str">
        <f t="shared" si="3"/>
        <v/>
      </c>
      <c r="D860" s="208"/>
      <c r="E860" s="194" t="str">
        <f>IFERROR(__xludf.DUMMYFUNCTION("IF(D860&lt;&gt;"""",SPLIT(D860,"" 
""),)"),"")</f>
        <v/>
      </c>
    </row>
    <row r="861">
      <c r="A861" s="26" t="str">
        <f t="shared" si="1"/>
        <v/>
      </c>
      <c r="B861" s="26" t="str">
        <f t="shared" si="2"/>
        <v/>
      </c>
      <c r="C861" s="207" t="str">
        <f t="shared" si="3"/>
        <v/>
      </c>
      <c r="D861" s="208"/>
      <c r="E861" s="194" t="str">
        <f>IFERROR(__xludf.DUMMYFUNCTION("IF(D861&lt;&gt;"""",SPLIT(D861,"" 
""),)"),"")</f>
        <v/>
      </c>
    </row>
    <row r="862">
      <c r="A862" s="26" t="str">
        <f t="shared" si="1"/>
        <v/>
      </c>
      <c r="B862" s="26" t="str">
        <f t="shared" si="2"/>
        <v/>
      </c>
      <c r="C862" s="207" t="str">
        <f t="shared" si="3"/>
        <v/>
      </c>
      <c r="D862" s="208"/>
      <c r="E862" s="194" t="str">
        <f>IFERROR(__xludf.DUMMYFUNCTION("IF(D862&lt;&gt;"""",SPLIT(D862,"" 
""),)"),"")</f>
        <v/>
      </c>
    </row>
    <row r="863">
      <c r="A863" s="26" t="str">
        <f t="shared" si="1"/>
        <v/>
      </c>
      <c r="B863" s="26" t="str">
        <f t="shared" si="2"/>
        <v/>
      </c>
      <c r="C863" s="207" t="str">
        <f t="shared" si="3"/>
        <v/>
      </c>
      <c r="D863" s="208"/>
      <c r="E863" s="194" t="str">
        <f>IFERROR(__xludf.DUMMYFUNCTION("IF(D863&lt;&gt;"""",SPLIT(D863,"" 
""),)"),"")</f>
        <v/>
      </c>
    </row>
    <row r="864">
      <c r="A864" s="26" t="str">
        <f t="shared" si="1"/>
        <v/>
      </c>
      <c r="B864" s="26" t="str">
        <f t="shared" si="2"/>
        <v/>
      </c>
      <c r="C864" s="207" t="str">
        <f t="shared" si="3"/>
        <v/>
      </c>
      <c r="D864" s="208"/>
      <c r="E864" s="194" t="str">
        <f>IFERROR(__xludf.DUMMYFUNCTION("IF(D864&lt;&gt;"""",SPLIT(D864,"" 
""),)"),"")</f>
        <v/>
      </c>
    </row>
    <row r="865">
      <c r="A865" s="26" t="str">
        <f t="shared" si="1"/>
        <v/>
      </c>
      <c r="B865" s="26" t="str">
        <f t="shared" si="2"/>
        <v/>
      </c>
      <c r="C865" s="207" t="str">
        <f t="shared" si="3"/>
        <v/>
      </c>
      <c r="D865" s="208"/>
      <c r="E865" s="194" t="str">
        <f>IFERROR(__xludf.DUMMYFUNCTION("IF(D865&lt;&gt;"""",SPLIT(D865,"" 
""),)"),"")</f>
        <v/>
      </c>
    </row>
    <row r="866">
      <c r="A866" s="26" t="str">
        <f t="shared" si="1"/>
        <v/>
      </c>
      <c r="B866" s="26" t="str">
        <f t="shared" si="2"/>
        <v/>
      </c>
      <c r="C866" s="207" t="str">
        <f t="shared" si="3"/>
        <v/>
      </c>
      <c r="D866" s="208"/>
      <c r="E866" s="194" t="str">
        <f>IFERROR(__xludf.DUMMYFUNCTION("IF(D866&lt;&gt;"""",SPLIT(D866,"" 
""),)"),"")</f>
        <v/>
      </c>
    </row>
    <row r="867">
      <c r="A867" s="26" t="str">
        <f t="shared" si="1"/>
        <v/>
      </c>
      <c r="B867" s="26" t="str">
        <f t="shared" si="2"/>
        <v/>
      </c>
      <c r="C867" s="207" t="str">
        <f t="shared" si="3"/>
        <v/>
      </c>
      <c r="D867" s="208"/>
      <c r="E867" s="194" t="str">
        <f>IFERROR(__xludf.DUMMYFUNCTION("IF(D867&lt;&gt;"""",SPLIT(D867,"" 
""),)"),"")</f>
        <v/>
      </c>
    </row>
    <row r="868">
      <c r="A868" s="26" t="str">
        <f t="shared" si="1"/>
        <v/>
      </c>
      <c r="B868" s="26" t="str">
        <f t="shared" si="2"/>
        <v/>
      </c>
      <c r="C868" s="207" t="str">
        <f t="shared" si="3"/>
        <v/>
      </c>
      <c r="D868" s="208"/>
      <c r="E868" s="194" t="str">
        <f>IFERROR(__xludf.DUMMYFUNCTION("IF(D868&lt;&gt;"""",SPLIT(D868,"" 
""),)"),"")</f>
        <v/>
      </c>
    </row>
    <row r="869">
      <c r="A869" s="26" t="str">
        <f t="shared" si="1"/>
        <v/>
      </c>
      <c r="B869" s="26" t="str">
        <f t="shared" si="2"/>
        <v/>
      </c>
      <c r="C869" s="207" t="str">
        <f t="shared" si="3"/>
        <v/>
      </c>
      <c r="D869" s="208"/>
      <c r="E869" s="194" t="str">
        <f>IFERROR(__xludf.DUMMYFUNCTION("IF(D869&lt;&gt;"""",SPLIT(D869,"" 
""),)"),"")</f>
        <v/>
      </c>
    </row>
    <row r="870">
      <c r="A870" s="26" t="str">
        <f t="shared" si="1"/>
        <v/>
      </c>
      <c r="B870" s="26" t="str">
        <f t="shared" si="2"/>
        <v/>
      </c>
      <c r="C870" s="207" t="str">
        <f t="shared" si="3"/>
        <v/>
      </c>
      <c r="D870" s="208"/>
      <c r="E870" s="194" t="str">
        <f>IFERROR(__xludf.DUMMYFUNCTION("IF(D870&lt;&gt;"""",SPLIT(D870,"" 
""),)"),"")</f>
        <v/>
      </c>
    </row>
    <row r="871">
      <c r="A871" s="26" t="str">
        <f t="shared" si="1"/>
        <v/>
      </c>
      <c r="B871" s="26" t="str">
        <f t="shared" si="2"/>
        <v/>
      </c>
      <c r="C871" s="207" t="str">
        <f t="shared" si="3"/>
        <v/>
      </c>
      <c r="D871" s="208"/>
      <c r="E871" s="194" t="str">
        <f>IFERROR(__xludf.DUMMYFUNCTION("IF(D871&lt;&gt;"""",SPLIT(D871,"" 
""),)"),"")</f>
        <v/>
      </c>
    </row>
    <row r="872">
      <c r="A872" s="26" t="str">
        <f t="shared" si="1"/>
        <v/>
      </c>
      <c r="B872" s="26" t="str">
        <f t="shared" si="2"/>
        <v/>
      </c>
      <c r="C872" s="207" t="str">
        <f t="shared" si="3"/>
        <v/>
      </c>
      <c r="D872" s="208"/>
      <c r="E872" s="194" t="str">
        <f>IFERROR(__xludf.DUMMYFUNCTION("IF(D872&lt;&gt;"""",SPLIT(D872,"" 
""),)"),"")</f>
        <v/>
      </c>
    </row>
    <row r="873">
      <c r="A873" s="26" t="str">
        <f t="shared" si="1"/>
        <v/>
      </c>
      <c r="B873" s="26" t="str">
        <f t="shared" si="2"/>
        <v/>
      </c>
      <c r="C873" s="207" t="str">
        <f t="shared" si="3"/>
        <v/>
      </c>
      <c r="D873" s="208"/>
      <c r="E873" s="194" t="str">
        <f>IFERROR(__xludf.DUMMYFUNCTION("IF(D873&lt;&gt;"""",SPLIT(D873,"" 
""),)"),"")</f>
        <v/>
      </c>
    </row>
    <row r="874">
      <c r="A874" s="26" t="str">
        <f t="shared" si="1"/>
        <v/>
      </c>
      <c r="B874" s="26" t="str">
        <f t="shared" si="2"/>
        <v/>
      </c>
      <c r="C874" s="207" t="str">
        <f t="shared" si="3"/>
        <v/>
      </c>
      <c r="D874" s="208"/>
      <c r="E874" s="194" t="str">
        <f>IFERROR(__xludf.DUMMYFUNCTION("IF(D874&lt;&gt;"""",SPLIT(D874,"" 
""),)"),"")</f>
        <v/>
      </c>
    </row>
    <row r="875">
      <c r="A875" s="26" t="str">
        <f t="shared" si="1"/>
        <v/>
      </c>
      <c r="B875" s="26" t="str">
        <f t="shared" si="2"/>
        <v/>
      </c>
      <c r="C875" s="207" t="str">
        <f t="shared" si="3"/>
        <v/>
      </c>
      <c r="D875" s="208"/>
      <c r="E875" s="194" t="str">
        <f>IFERROR(__xludf.DUMMYFUNCTION("IF(D875&lt;&gt;"""",SPLIT(D875,"" 
""),)"),"")</f>
        <v/>
      </c>
    </row>
    <row r="876">
      <c r="A876" s="26" t="str">
        <f t="shared" si="1"/>
        <v/>
      </c>
      <c r="B876" s="26" t="str">
        <f t="shared" si="2"/>
        <v/>
      </c>
      <c r="C876" s="207" t="str">
        <f t="shared" si="3"/>
        <v/>
      </c>
      <c r="D876" s="208"/>
      <c r="E876" s="194" t="str">
        <f>IFERROR(__xludf.DUMMYFUNCTION("IF(D876&lt;&gt;"""",SPLIT(D876,"" 
""),)"),"")</f>
        <v/>
      </c>
    </row>
    <row r="877">
      <c r="A877" s="26" t="str">
        <f t="shared" si="1"/>
        <v/>
      </c>
      <c r="B877" s="26" t="str">
        <f t="shared" si="2"/>
        <v/>
      </c>
      <c r="C877" s="207" t="str">
        <f t="shared" si="3"/>
        <v/>
      </c>
      <c r="D877" s="208"/>
      <c r="E877" s="194" t="str">
        <f>IFERROR(__xludf.DUMMYFUNCTION("IF(D877&lt;&gt;"""",SPLIT(D877,"" 
""),)"),"")</f>
        <v/>
      </c>
    </row>
    <row r="878">
      <c r="A878" s="26" t="str">
        <f t="shared" si="1"/>
        <v/>
      </c>
      <c r="B878" s="26" t="str">
        <f t="shared" si="2"/>
        <v/>
      </c>
      <c r="C878" s="207" t="str">
        <f t="shared" si="3"/>
        <v/>
      </c>
      <c r="D878" s="208"/>
      <c r="E878" s="194" t="str">
        <f>IFERROR(__xludf.DUMMYFUNCTION("IF(D878&lt;&gt;"""",SPLIT(D878,"" 
""),)"),"")</f>
        <v/>
      </c>
    </row>
    <row r="879">
      <c r="A879" s="26" t="str">
        <f t="shared" si="1"/>
        <v/>
      </c>
      <c r="B879" s="26" t="str">
        <f t="shared" si="2"/>
        <v/>
      </c>
      <c r="C879" s="207" t="str">
        <f t="shared" si="3"/>
        <v/>
      </c>
      <c r="D879" s="208"/>
      <c r="E879" s="194" t="str">
        <f>IFERROR(__xludf.DUMMYFUNCTION("IF(D879&lt;&gt;"""",SPLIT(D879,"" 
""),)"),"")</f>
        <v/>
      </c>
    </row>
    <row r="880">
      <c r="A880" s="26" t="str">
        <f t="shared" si="1"/>
        <v/>
      </c>
      <c r="B880" s="26" t="str">
        <f t="shared" si="2"/>
        <v/>
      </c>
      <c r="C880" s="207" t="str">
        <f t="shared" si="3"/>
        <v/>
      </c>
      <c r="D880" s="208"/>
      <c r="E880" s="194" t="str">
        <f>IFERROR(__xludf.DUMMYFUNCTION("IF(D880&lt;&gt;"""",SPLIT(D880,"" 
""),)"),"")</f>
        <v/>
      </c>
    </row>
    <row r="881">
      <c r="A881" s="26" t="str">
        <f t="shared" si="1"/>
        <v/>
      </c>
      <c r="B881" s="26" t="str">
        <f t="shared" si="2"/>
        <v/>
      </c>
      <c r="C881" s="207" t="str">
        <f t="shared" si="3"/>
        <v/>
      </c>
      <c r="D881" s="208"/>
      <c r="E881" s="194" t="str">
        <f>IFERROR(__xludf.DUMMYFUNCTION("IF(D881&lt;&gt;"""",SPLIT(D881,"" 
""),)"),"")</f>
        <v/>
      </c>
    </row>
    <row r="882">
      <c r="A882" s="26" t="str">
        <f t="shared" si="1"/>
        <v/>
      </c>
      <c r="B882" s="26" t="str">
        <f t="shared" si="2"/>
        <v/>
      </c>
      <c r="C882" s="207" t="str">
        <f t="shared" si="3"/>
        <v/>
      </c>
      <c r="D882" s="208"/>
      <c r="E882" s="194" t="str">
        <f>IFERROR(__xludf.DUMMYFUNCTION("IF(D882&lt;&gt;"""",SPLIT(D882,"" 
""),)"),"")</f>
        <v/>
      </c>
    </row>
    <row r="883">
      <c r="A883" s="26" t="str">
        <f t="shared" si="1"/>
        <v/>
      </c>
      <c r="B883" s="26" t="str">
        <f t="shared" si="2"/>
        <v/>
      </c>
      <c r="C883" s="207" t="str">
        <f t="shared" si="3"/>
        <v/>
      </c>
      <c r="D883" s="208"/>
      <c r="E883" s="194" t="str">
        <f>IFERROR(__xludf.DUMMYFUNCTION("IF(D883&lt;&gt;"""",SPLIT(D883,"" 
""),)"),"")</f>
        <v/>
      </c>
    </row>
    <row r="884">
      <c r="A884" s="26" t="str">
        <f t="shared" si="1"/>
        <v/>
      </c>
      <c r="B884" s="26" t="str">
        <f t="shared" si="2"/>
        <v/>
      </c>
      <c r="C884" s="207" t="str">
        <f t="shared" si="3"/>
        <v/>
      </c>
      <c r="D884" s="208"/>
      <c r="E884" s="194" t="str">
        <f>IFERROR(__xludf.DUMMYFUNCTION("IF(D884&lt;&gt;"""",SPLIT(D884,"" 
""),)"),"")</f>
        <v/>
      </c>
    </row>
    <row r="885">
      <c r="A885" s="26" t="str">
        <f t="shared" si="1"/>
        <v/>
      </c>
      <c r="B885" s="26" t="str">
        <f t="shared" si="2"/>
        <v/>
      </c>
      <c r="C885" s="207" t="str">
        <f t="shared" si="3"/>
        <v/>
      </c>
      <c r="D885" s="208"/>
      <c r="E885" s="194" t="str">
        <f>IFERROR(__xludf.DUMMYFUNCTION("IF(D885&lt;&gt;"""",SPLIT(D885,"" 
""),)"),"")</f>
        <v/>
      </c>
    </row>
    <row r="886">
      <c r="A886" s="26" t="str">
        <f t="shared" si="1"/>
        <v/>
      </c>
      <c r="B886" s="26" t="str">
        <f t="shared" si="2"/>
        <v/>
      </c>
      <c r="C886" s="207" t="str">
        <f t="shared" si="3"/>
        <v/>
      </c>
      <c r="D886" s="208"/>
      <c r="E886" s="194" t="str">
        <f>IFERROR(__xludf.DUMMYFUNCTION("IF(D886&lt;&gt;"""",SPLIT(D886,"" 
""),)"),"")</f>
        <v/>
      </c>
    </row>
    <row r="887">
      <c r="A887" s="26" t="str">
        <f t="shared" si="1"/>
        <v/>
      </c>
      <c r="B887" s="26" t="str">
        <f t="shared" si="2"/>
        <v/>
      </c>
      <c r="C887" s="207" t="str">
        <f t="shared" si="3"/>
        <v/>
      </c>
      <c r="D887" s="208"/>
      <c r="E887" s="194" t="str">
        <f>IFERROR(__xludf.DUMMYFUNCTION("IF(D887&lt;&gt;"""",SPLIT(D887,"" 
""),)"),"")</f>
        <v/>
      </c>
    </row>
    <row r="888">
      <c r="A888" s="26" t="str">
        <f t="shared" si="1"/>
        <v/>
      </c>
      <c r="B888" s="26" t="str">
        <f t="shared" si="2"/>
        <v/>
      </c>
      <c r="C888" s="207" t="str">
        <f t="shared" si="3"/>
        <v/>
      </c>
      <c r="D888" s="208"/>
      <c r="E888" s="194" t="str">
        <f>IFERROR(__xludf.DUMMYFUNCTION("IF(D888&lt;&gt;"""",SPLIT(D888,"" 
""),)"),"")</f>
        <v/>
      </c>
    </row>
    <row r="889">
      <c r="A889" s="26" t="str">
        <f t="shared" si="1"/>
        <v/>
      </c>
      <c r="B889" s="26" t="str">
        <f t="shared" si="2"/>
        <v/>
      </c>
      <c r="C889" s="207" t="str">
        <f t="shared" si="3"/>
        <v/>
      </c>
      <c r="D889" s="208"/>
      <c r="E889" s="194" t="str">
        <f>IFERROR(__xludf.DUMMYFUNCTION("IF(D889&lt;&gt;"""",SPLIT(D889,"" 
""),)"),"")</f>
        <v/>
      </c>
    </row>
    <row r="890">
      <c r="A890" s="26" t="str">
        <f t="shared" si="1"/>
        <v/>
      </c>
      <c r="B890" s="26" t="str">
        <f t="shared" si="2"/>
        <v/>
      </c>
      <c r="C890" s="207" t="str">
        <f t="shared" si="3"/>
        <v/>
      </c>
      <c r="D890" s="208"/>
      <c r="E890" s="194" t="str">
        <f>IFERROR(__xludf.DUMMYFUNCTION("IF(D890&lt;&gt;"""",SPLIT(D890,"" 
""),)"),"")</f>
        <v/>
      </c>
    </row>
    <row r="891">
      <c r="A891" s="26" t="str">
        <f t="shared" si="1"/>
        <v/>
      </c>
      <c r="B891" s="26" t="str">
        <f t="shared" si="2"/>
        <v/>
      </c>
      <c r="C891" s="207" t="str">
        <f t="shared" si="3"/>
        <v/>
      </c>
      <c r="D891" s="208"/>
      <c r="E891" s="194" t="str">
        <f>IFERROR(__xludf.DUMMYFUNCTION("IF(D891&lt;&gt;"""",SPLIT(D891,"" 
""),)"),"")</f>
        <v/>
      </c>
    </row>
    <row r="892">
      <c r="A892" s="26" t="str">
        <f t="shared" si="1"/>
        <v/>
      </c>
      <c r="B892" s="26" t="str">
        <f t="shared" si="2"/>
        <v/>
      </c>
      <c r="C892" s="207" t="str">
        <f t="shared" si="3"/>
        <v/>
      </c>
      <c r="D892" s="208"/>
      <c r="E892" s="194" t="str">
        <f>IFERROR(__xludf.DUMMYFUNCTION("IF(D892&lt;&gt;"""",SPLIT(D892,"" 
""),)"),"")</f>
        <v/>
      </c>
    </row>
    <row r="893">
      <c r="A893" s="26" t="str">
        <f t="shared" si="1"/>
        <v/>
      </c>
      <c r="B893" s="26" t="str">
        <f t="shared" si="2"/>
        <v/>
      </c>
      <c r="C893" s="207" t="str">
        <f t="shared" si="3"/>
        <v/>
      </c>
      <c r="D893" s="208"/>
      <c r="E893" s="194" t="str">
        <f>IFERROR(__xludf.DUMMYFUNCTION("IF(D893&lt;&gt;"""",SPLIT(D893,"" 
""),)"),"")</f>
        <v/>
      </c>
    </row>
    <row r="894">
      <c r="A894" s="26" t="str">
        <f t="shared" si="1"/>
        <v/>
      </c>
      <c r="B894" s="26" t="str">
        <f t="shared" si="2"/>
        <v/>
      </c>
      <c r="C894" s="207" t="str">
        <f t="shared" si="3"/>
        <v/>
      </c>
      <c r="D894" s="208"/>
      <c r="E894" s="194" t="str">
        <f>IFERROR(__xludf.DUMMYFUNCTION("IF(D894&lt;&gt;"""",SPLIT(D894,"" 
""),)"),"")</f>
        <v/>
      </c>
    </row>
    <row r="895">
      <c r="A895" s="26" t="str">
        <f t="shared" si="1"/>
        <v/>
      </c>
      <c r="B895" s="26" t="str">
        <f t="shared" si="2"/>
        <v/>
      </c>
      <c r="C895" s="207" t="str">
        <f t="shared" si="3"/>
        <v/>
      </c>
      <c r="D895" s="208"/>
      <c r="E895" s="194" t="str">
        <f>IFERROR(__xludf.DUMMYFUNCTION("IF(D895&lt;&gt;"""",SPLIT(D895,"" 
""),)"),"")</f>
        <v/>
      </c>
    </row>
    <row r="896">
      <c r="A896" s="26" t="str">
        <f t="shared" si="1"/>
        <v/>
      </c>
      <c r="B896" s="26" t="str">
        <f t="shared" si="2"/>
        <v/>
      </c>
      <c r="C896" s="207" t="str">
        <f t="shared" si="3"/>
        <v/>
      </c>
      <c r="D896" s="208"/>
      <c r="E896" s="194" t="str">
        <f>IFERROR(__xludf.DUMMYFUNCTION("IF(D896&lt;&gt;"""",SPLIT(D896,"" 
""),)"),"")</f>
        <v/>
      </c>
    </row>
    <row r="897">
      <c r="A897" s="26" t="str">
        <f t="shared" si="1"/>
        <v/>
      </c>
      <c r="B897" s="26" t="str">
        <f t="shared" si="2"/>
        <v/>
      </c>
      <c r="C897" s="207" t="str">
        <f t="shared" si="3"/>
        <v/>
      </c>
      <c r="D897" s="208"/>
      <c r="E897" s="194" t="str">
        <f>IFERROR(__xludf.DUMMYFUNCTION("IF(D897&lt;&gt;"""",SPLIT(D897,"" 
""),)"),"")</f>
        <v/>
      </c>
    </row>
    <row r="898">
      <c r="A898" s="26" t="str">
        <f t="shared" si="1"/>
        <v/>
      </c>
      <c r="B898" s="26" t="str">
        <f t="shared" si="2"/>
        <v/>
      </c>
      <c r="C898" s="207" t="str">
        <f t="shared" si="3"/>
        <v/>
      </c>
      <c r="D898" s="208"/>
      <c r="E898" s="194" t="str">
        <f>IFERROR(__xludf.DUMMYFUNCTION("IF(D898&lt;&gt;"""",SPLIT(D898,"" 
""),)"),"")</f>
        <v/>
      </c>
    </row>
    <row r="899">
      <c r="A899" s="26" t="str">
        <f t="shared" si="1"/>
        <v/>
      </c>
      <c r="B899" s="26" t="str">
        <f t="shared" si="2"/>
        <v/>
      </c>
      <c r="C899" s="207" t="str">
        <f t="shared" si="3"/>
        <v/>
      </c>
      <c r="D899" s="208"/>
      <c r="E899" s="194" t="str">
        <f>IFERROR(__xludf.DUMMYFUNCTION("IF(D899&lt;&gt;"""",SPLIT(D899,"" 
""),)"),"")</f>
        <v/>
      </c>
    </row>
    <row r="900">
      <c r="A900" s="26" t="str">
        <f t="shared" si="1"/>
        <v/>
      </c>
      <c r="B900" s="26" t="str">
        <f t="shared" si="2"/>
        <v/>
      </c>
      <c r="C900" s="207" t="str">
        <f t="shared" si="3"/>
        <v/>
      </c>
      <c r="D900" s="208"/>
      <c r="E900" s="194" t="str">
        <f>IFERROR(__xludf.DUMMYFUNCTION("IF(D900&lt;&gt;"""",SPLIT(D900,"" 
""),)"),"")</f>
        <v/>
      </c>
    </row>
    <row r="901">
      <c r="A901" s="26" t="str">
        <f t="shared" si="1"/>
        <v/>
      </c>
      <c r="B901" s="26" t="str">
        <f t="shared" si="2"/>
        <v/>
      </c>
      <c r="C901" s="207" t="str">
        <f t="shared" si="3"/>
        <v/>
      </c>
      <c r="D901" s="208"/>
      <c r="E901" s="194" t="str">
        <f>IFERROR(__xludf.DUMMYFUNCTION("IF(D901&lt;&gt;"""",SPLIT(D901,"" 
""),)"),"")</f>
        <v/>
      </c>
    </row>
    <row r="902">
      <c r="A902" s="26" t="str">
        <f t="shared" si="1"/>
        <v/>
      </c>
      <c r="B902" s="26" t="str">
        <f t="shared" si="2"/>
        <v/>
      </c>
      <c r="C902" s="207" t="str">
        <f t="shared" si="3"/>
        <v/>
      </c>
      <c r="D902" s="208"/>
      <c r="E902" s="194" t="str">
        <f>IFERROR(__xludf.DUMMYFUNCTION("IF(D902&lt;&gt;"""",SPLIT(D902,"" 
""),)"),"")</f>
        <v/>
      </c>
    </row>
    <row r="903">
      <c r="A903" s="26" t="str">
        <f t="shared" si="1"/>
        <v/>
      </c>
      <c r="B903" s="26" t="str">
        <f t="shared" si="2"/>
        <v/>
      </c>
      <c r="C903" s="207" t="str">
        <f t="shared" si="3"/>
        <v/>
      </c>
      <c r="D903" s="208"/>
      <c r="E903" s="194" t="str">
        <f>IFERROR(__xludf.DUMMYFUNCTION("IF(D903&lt;&gt;"""",SPLIT(D903,"" 
""),)"),"")</f>
        <v/>
      </c>
    </row>
    <row r="904">
      <c r="A904" s="26" t="str">
        <f t="shared" si="1"/>
        <v/>
      </c>
      <c r="B904" s="26" t="str">
        <f t="shared" si="2"/>
        <v/>
      </c>
      <c r="C904" s="207" t="str">
        <f t="shared" si="3"/>
        <v/>
      </c>
      <c r="D904" s="208"/>
      <c r="E904" s="194" t="str">
        <f>IFERROR(__xludf.DUMMYFUNCTION("IF(D904&lt;&gt;"""",SPLIT(D904,"" 
""),)"),"")</f>
        <v/>
      </c>
    </row>
    <row r="905">
      <c r="A905" s="26" t="str">
        <f t="shared" si="1"/>
        <v/>
      </c>
      <c r="B905" s="26" t="str">
        <f t="shared" si="2"/>
        <v/>
      </c>
      <c r="C905" s="207" t="str">
        <f t="shared" si="3"/>
        <v/>
      </c>
      <c r="D905" s="208"/>
      <c r="E905" s="194" t="str">
        <f>IFERROR(__xludf.DUMMYFUNCTION("IF(D905&lt;&gt;"""",SPLIT(D905,"" 
""),)"),"")</f>
        <v/>
      </c>
    </row>
    <row r="906">
      <c r="A906" s="26" t="str">
        <f t="shared" si="1"/>
        <v/>
      </c>
      <c r="B906" s="26" t="str">
        <f t="shared" si="2"/>
        <v/>
      </c>
      <c r="C906" s="207" t="str">
        <f t="shared" si="3"/>
        <v/>
      </c>
      <c r="D906" s="208"/>
      <c r="E906" s="194" t="str">
        <f>IFERROR(__xludf.DUMMYFUNCTION("IF(D906&lt;&gt;"""",SPLIT(D906,"" 
""),)"),"")</f>
        <v/>
      </c>
    </row>
    <row r="907">
      <c r="A907" s="26" t="str">
        <f t="shared" si="1"/>
        <v/>
      </c>
      <c r="B907" s="26" t="str">
        <f t="shared" si="2"/>
        <v/>
      </c>
      <c r="C907" s="207" t="str">
        <f t="shared" si="3"/>
        <v/>
      </c>
      <c r="D907" s="208"/>
      <c r="E907" s="194" t="str">
        <f>IFERROR(__xludf.DUMMYFUNCTION("IF(D907&lt;&gt;"""",SPLIT(D907,"" 
""),)"),"")</f>
        <v/>
      </c>
    </row>
    <row r="908">
      <c r="A908" s="26" t="str">
        <f t="shared" si="1"/>
        <v/>
      </c>
      <c r="B908" s="26" t="str">
        <f t="shared" si="2"/>
        <v/>
      </c>
      <c r="C908" s="207" t="str">
        <f t="shared" si="3"/>
        <v/>
      </c>
      <c r="D908" s="208"/>
      <c r="E908" s="194" t="str">
        <f>IFERROR(__xludf.DUMMYFUNCTION("IF(D908&lt;&gt;"""",SPLIT(D908,"" 
""),)"),"")</f>
        <v/>
      </c>
    </row>
    <row r="909">
      <c r="A909" s="26" t="str">
        <f t="shared" si="1"/>
        <v/>
      </c>
      <c r="B909" s="26" t="str">
        <f t="shared" si="2"/>
        <v/>
      </c>
      <c r="C909" s="207" t="str">
        <f t="shared" si="3"/>
        <v/>
      </c>
      <c r="D909" s="208"/>
      <c r="E909" s="194" t="str">
        <f>IFERROR(__xludf.DUMMYFUNCTION("IF(D909&lt;&gt;"""",SPLIT(D909,"" 
""),)"),"")</f>
        <v/>
      </c>
    </row>
    <row r="910">
      <c r="A910" s="26" t="str">
        <f t="shared" si="1"/>
        <v/>
      </c>
      <c r="B910" s="26" t="str">
        <f t="shared" si="2"/>
        <v/>
      </c>
      <c r="C910" s="207" t="str">
        <f t="shared" si="3"/>
        <v/>
      </c>
      <c r="D910" s="208"/>
      <c r="E910" s="194" t="str">
        <f>IFERROR(__xludf.DUMMYFUNCTION("IF(D910&lt;&gt;"""",SPLIT(D910,"" 
""),)"),"")</f>
        <v/>
      </c>
    </row>
    <row r="911">
      <c r="A911" s="26" t="str">
        <f t="shared" si="1"/>
        <v/>
      </c>
      <c r="B911" s="26" t="str">
        <f t="shared" si="2"/>
        <v/>
      </c>
      <c r="C911" s="207" t="str">
        <f t="shared" si="3"/>
        <v/>
      </c>
      <c r="D911" s="208"/>
      <c r="E911" s="194" t="str">
        <f>IFERROR(__xludf.DUMMYFUNCTION("IF(D911&lt;&gt;"""",SPLIT(D911,"" 
""),)"),"")</f>
        <v/>
      </c>
    </row>
    <row r="912">
      <c r="A912" s="26" t="str">
        <f t="shared" si="1"/>
        <v/>
      </c>
      <c r="B912" s="26" t="str">
        <f t="shared" si="2"/>
        <v/>
      </c>
      <c r="C912" s="207" t="str">
        <f t="shared" si="3"/>
        <v/>
      </c>
      <c r="D912" s="208"/>
      <c r="E912" s="194" t="str">
        <f>IFERROR(__xludf.DUMMYFUNCTION("IF(D912&lt;&gt;"""",SPLIT(D912,"" 
""),)"),"")</f>
        <v/>
      </c>
    </row>
    <row r="913">
      <c r="A913" s="26" t="str">
        <f t="shared" si="1"/>
        <v/>
      </c>
      <c r="B913" s="26" t="str">
        <f t="shared" si="2"/>
        <v/>
      </c>
      <c r="C913" s="207" t="str">
        <f t="shared" si="3"/>
        <v/>
      </c>
      <c r="D913" s="208"/>
      <c r="E913" s="194" t="str">
        <f>IFERROR(__xludf.DUMMYFUNCTION("IF(D913&lt;&gt;"""",SPLIT(D913,"" 
""),)"),"")</f>
        <v/>
      </c>
    </row>
    <row r="914">
      <c r="A914" s="26" t="str">
        <f t="shared" si="1"/>
        <v/>
      </c>
      <c r="B914" s="26" t="str">
        <f t="shared" si="2"/>
        <v/>
      </c>
      <c r="C914" s="207" t="str">
        <f t="shared" si="3"/>
        <v/>
      </c>
      <c r="D914" s="208"/>
      <c r="E914" s="194" t="str">
        <f>IFERROR(__xludf.DUMMYFUNCTION("IF(D914&lt;&gt;"""",SPLIT(D914,"" 
""),)"),"")</f>
        <v/>
      </c>
    </row>
    <row r="915">
      <c r="A915" s="26" t="str">
        <f t="shared" si="1"/>
        <v/>
      </c>
      <c r="B915" s="26" t="str">
        <f t="shared" si="2"/>
        <v/>
      </c>
      <c r="C915" s="207" t="str">
        <f t="shared" si="3"/>
        <v/>
      </c>
      <c r="D915" s="208"/>
      <c r="E915" s="194" t="str">
        <f>IFERROR(__xludf.DUMMYFUNCTION("IF(D915&lt;&gt;"""",SPLIT(D915,"" 
""),)"),"")</f>
        <v/>
      </c>
    </row>
    <row r="916">
      <c r="A916" s="26" t="str">
        <f t="shared" si="1"/>
        <v/>
      </c>
      <c r="B916" s="26" t="str">
        <f t="shared" si="2"/>
        <v/>
      </c>
      <c r="C916" s="207" t="str">
        <f t="shared" si="3"/>
        <v/>
      </c>
      <c r="D916" s="208"/>
      <c r="E916" s="194" t="str">
        <f>IFERROR(__xludf.DUMMYFUNCTION("IF(D916&lt;&gt;"""",SPLIT(D916,"" 
""),)"),"")</f>
        <v/>
      </c>
    </row>
    <row r="917">
      <c r="A917" s="26" t="str">
        <f t="shared" si="1"/>
        <v/>
      </c>
      <c r="B917" s="26" t="str">
        <f t="shared" si="2"/>
        <v/>
      </c>
      <c r="C917" s="207" t="str">
        <f t="shared" si="3"/>
        <v/>
      </c>
      <c r="D917" s="208"/>
      <c r="E917" s="194" t="str">
        <f>IFERROR(__xludf.DUMMYFUNCTION("IF(D917&lt;&gt;"""",SPLIT(D917,"" 
""),)"),"")</f>
        <v/>
      </c>
    </row>
    <row r="918">
      <c r="A918" s="26" t="str">
        <f t="shared" si="1"/>
        <v/>
      </c>
      <c r="B918" s="26" t="str">
        <f t="shared" si="2"/>
        <v/>
      </c>
      <c r="C918" s="207" t="str">
        <f t="shared" si="3"/>
        <v/>
      </c>
      <c r="D918" s="208"/>
      <c r="E918" s="194" t="str">
        <f>IFERROR(__xludf.DUMMYFUNCTION("IF(D918&lt;&gt;"""",SPLIT(D918,"" 
""),)"),"")</f>
        <v/>
      </c>
    </row>
    <row r="919">
      <c r="A919" s="26" t="str">
        <f t="shared" si="1"/>
        <v/>
      </c>
      <c r="B919" s="26" t="str">
        <f t="shared" si="2"/>
        <v/>
      </c>
      <c r="C919" s="207" t="str">
        <f t="shared" si="3"/>
        <v/>
      </c>
      <c r="D919" s="208"/>
      <c r="E919" s="194" t="str">
        <f>IFERROR(__xludf.DUMMYFUNCTION("IF(D919&lt;&gt;"""",SPLIT(D919,"" 
""),)"),"")</f>
        <v/>
      </c>
    </row>
    <row r="920">
      <c r="A920" s="26" t="str">
        <f t="shared" si="1"/>
        <v/>
      </c>
      <c r="B920" s="26" t="str">
        <f t="shared" si="2"/>
        <v/>
      </c>
      <c r="C920" s="207" t="str">
        <f t="shared" si="3"/>
        <v/>
      </c>
      <c r="D920" s="208"/>
      <c r="E920" s="194" t="str">
        <f>IFERROR(__xludf.DUMMYFUNCTION("IF(D920&lt;&gt;"""",SPLIT(D920,"" 
""),)"),"")</f>
        <v/>
      </c>
    </row>
    <row r="921">
      <c r="A921" s="26" t="str">
        <f t="shared" si="1"/>
        <v/>
      </c>
      <c r="B921" s="26" t="str">
        <f t="shared" si="2"/>
        <v/>
      </c>
      <c r="C921" s="207" t="str">
        <f t="shared" si="3"/>
        <v/>
      </c>
      <c r="D921" s="208"/>
      <c r="E921" s="194" t="str">
        <f>IFERROR(__xludf.DUMMYFUNCTION("IF(D921&lt;&gt;"""",SPLIT(D921,"" 
""),)"),"")</f>
        <v/>
      </c>
    </row>
    <row r="922">
      <c r="A922" s="26" t="str">
        <f t="shared" si="1"/>
        <v/>
      </c>
      <c r="B922" s="26" t="str">
        <f t="shared" si="2"/>
        <v/>
      </c>
      <c r="C922" s="207" t="str">
        <f t="shared" si="3"/>
        <v/>
      </c>
      <c r="D922" s="208"/>
      <c r="E922" s="194" t="str">
        <f>IFERROR(__xludf.DUMMYFUNCTION("IF(D922&lt;&gt;"""",SPLIT(D922,"" 
""),)"),"")</f>
        <v/>
      </c>
    </row>
    <row r="923">
      <c r="A923" s="26" t="str">
        <f t="shared" si="1"/>
        <v/>
      </c>
      <c r="B923" s="26" t="str">
        <f t="shared" si="2"/>
        <v/>
      </c>
      <c r="C923" s="207" t="str">
        <f t="shared" si="3"/>
        <v/>
      </c>
      <c r="D923" s="208"/>
      <c r="E923" s="194" t="str">
        <f>IFERROR(__xludf.DUMMYFUNCTION("IF(D923&lt;&gt;"""",SPLIT(D923,"" 
""),)"),"")</f>
        <v/>
      </c>
    </row>
    <row r="924">
      <c r="A924" s="26" t="str">
        <f t="shared" si="1"/>
        <v/>
      </c>
      <c r="B924" s="26" t="str">
        <f t="shared" si="2"/>
        <v/>
      </c>
      <c r="C924" s="207" t="str">
        <f t="shared" si="3"/>
        <v/>
      </c>
      <c r="D924" s="208"/>
      <c r="E924" s="194" t="str">
        <f>IFERROR(__xludf.DUMMYFUNCTION("IF(D924&lt;&gt;"""",SPLIT(D924,"" 
""),)"),"")</f>
        <v/>
      </c>
    </row>
    <row r="925">
      <c r="A925" s="26" t="str">
        <f t="shared" si="1"/>
        <v/>
      </c>
      <c r="B925" s="26" t="str">
        <f t="shared" si="2"/>
        <v/>
      </c>
      <c r="C925" s="207" t="str">
        <f t="shared" si="3"/>
        <v/>
      </c>
      <c r="D925" s="208"/>
      <c r="E925" s="194" t="str">
        <f>IFERROR(__xludf.DUMMYFUNCTION("IF(D925&lt;&gt;"""",SPLIT(D925,"" 
""),)"),"")</f>
        <v/>
      </c>
    </row>
    <row r="926">
      <c r="A926" s="26" t="str">
        <f t="shared" si="1"/>
        <v/>
      </c>
      <c r="B926" s="26" t="str">
        <f t="shared" si="2"/>
        <v/>
      </c>
      <c r="C926" s="207" t="str">
        <f t="shared" si="3"/>
        <v/>
      </c>
      <c r="D926" s="208"/>
      <c r="E926" s="194" t="str">
        <f>IFERROR(__xludf.DUMMYFUNCTION("IF(D926&lt;&gt;"""",SPLIT(D926,"" 
""),)"),"")</f>
        <v/>
      </c>
    </row>
    <row r="927">
      <c r="A927" s="26" t="str">
        <f t="shared" si="1"/>
        <v/>
      </c>
      <c r="B927" s="26" t="str">
        <f t="shared" si="2"/>
        <v/>
      </c>
      <c r="C927" s="207" t="str">
        <f t="shared" si="3"/>
        <v/>
      </c>
      <c r="D927" s="208"/>
      <c r="E927" s="194" t="str">
        <f>IFERROR(__xludf.DUMMYFUNCTION("IF(D927&lt;&gt;"""",SPLIT(D927,"" 
""),)"),"")</f>
        <v/>
      </c>
    </row>
    <row r="928">
      <c r="A928" s="26" t="str">
        <f t="shared" si="1"/>
        <v/>
      </c>
      <c r="B928" s="26" t="str">
        <f t="shared" si="2"/>
        <v/>
      </c>
      <c r="C928" s="207" t="str">
        <f t="shared" si="3"/>
        <v/>
      </c>
      <c r="D928" s="208"/>
      <c r="E928" s="194" t="str">
        <f>IFERROR(__xludf.DUMMYFUNCTION("IF(D928&lt;&gt;"""",SPLIT(D928,"" 
""),)"),"")</f>
        <v/>
      </c>
    </row>
    <row r="929">
      <c r="A929" s="26" t="str">
        <f t="shared" si="1"/>
        <v/>
      </c>
      <c r="B929" s="26" t="str">
        <f t="shared" si="2"/>
        <v/>
      </c>
      <c r="C929" s="207" t="str">
        <f t="shared" si="3"/>
        <v/>
      </c>
      <c r="D929" s="208"/>
      <c r="E929" s="194" t="str">
        <f>IFERROR(__xludf.DUMMYFUNCTION("IF(D929&lt;&gt;"""",SPLIT(D929,"" 
""),)"),"")</f>
        <v/>
      </c>
    </row>
    <row r="930">
      <c r="A930" s="26" t="str">
        <f t="shared" si="1"/>
        <v/>
      </c>
      <c r="B930" s="26" t="str">
        <f t="shared" si="2"/>
        <v/>
      </c>
      <c r="C930" s="207" t="str">
        <f t="shared" si="3"/>
        <v/>
      </c>
      <c r="D930" s="208"/>
      <c r="E930" s="194" t="str">
        <f>IFERROR(__xludf.DUMMYFUNCTION("IF(D930&lt;&gt;"""",SPLIT(D930,"" 
""),)"),"")</f>
        <v/>
      </c>
    </row>
    <row r="931">
      <c r="A931" s="26" t="str">
        <f t="shared" si="1"/>
        <v/>
      </c>
      <c r="B931" s="26" t="str">
        <f t="shared" si="2"/>
        <v/>
      </c>
      <c r="C931" s="207" t="str">
        <f t="shared" si="3"/>
        <v/>
      </c>
      <c r="D931" s="208"/>
      <c r="E931" s="194" t="str">
        <f>IFERROR(__xludf.DUMMYFUNCTION("IF(D931&lt;&gt;"""",SPLIT(D931,"" 
""),)"),"")</f>
        <v/>
      </c>
    </row>
    <row r="932">
      <c r="A932" s="26" t="str">
        <f t="shared" si="1"/>
        <v/>
      </c>
      <c r="B932" s="26" t="str">
        <f t="shared" si="2"/>
        <v/>
      </c>
      <c r="C932" s="207" t="str">
        <f t="shared" si="3"/>
        <v/>
      </c>
      <c r="D932" s="208"/>
      <c r="E932" s="194" t="str">
        <f>IFERROR(__xludf.DUMMYFUNCTION("IF(D932&lt;&gt;"""",SPLIT(D932,"" 
""),)"),"")</f>
        <v/>
      </c>
    </row>
    <row r="933">
      <c r="A933" s="26" t="str">
        <f t="shared" si="1"/>
        <v/>
      </c>
      <c r="B933" s="26" t="str">
        <f t="shared" si="2"/>
        <v/>
      </c>
      <c r="C933" s="207" t="str">
        <f t="shared" si="3"/>
        <v/>
      </c>
      <c r="D933" s="208"/>
      <c r="E933" s="194" t="str">
        <f>IFERROR(__xludf.DUMMYFUNCTION("IF(D933&lt;&gt;"""",SPLIT(D933,"" 
""),)"),"")</f>
        <v/>
      </c>
    </row>
    <row r="934">
      <c r="A934" s="26" t="str">
        <f t="shared" si="1"/>
        <v/>
      </c>
      <c r="B934" s="26" t="str">
        <f t="shared" si="2"/>
        <v/>
      </c>
      <c r="C934" s="207" t="str">
        <f t="shared" si="3"/>
        <v/>
      </c>
      <c r="D934" s="208"/>
      <c r="E934" s="194" t="str">
        <f>IFERROR(__xludf.DUMMYFUNCTION("IF(D934&lt;&gt;"""",SPLIT(D934,"" 
""),)"),"")</f>
        <v/>
      </c>
    </row>
    <row r="935">
      <c r="A935" s="26" t="str">
        <f t="shared" si="1"/>
        <v/>
      </c>
      <c r="B935" s="26" t="str">
        <f t="shared" si="2"/>
        <v/>
      </c>
      <c r="C935" s="207" t="str">
        <f t="shared" si="3"/>
        <v/>
      </c>
      <c r="D935" s="208"/>
      <c r="E935" s="194" t="str">
        <f>IFERROR(__xludf.DUMMYFUNCTION("IF(D935&lt;&gt;"""",SPLIT(D935,"" 
""),)"),"")</f>
        <v/>
      </c>
    </row>
    <row r="936">
      <c r="A936" s="26" t="str">
        <f t="shared" si="1"/>
        <v/>
      </c>
      <c r="B936" s="26" t="str">
        <f t="shared" si="2"/>
        <v/>
      </c>
      <c r="C936" s="207" t="str">
        <f t="shared" si="3"/>
        <v/>
      </c>
      <c r="D936" s="208"/>
      <c r="E936" s="194" t="str">
        <f>IFERROR(__xludf.DUMMYFUNCTION("IF(D936&lt;&gt;"""",SPLIT(D936,"" 
""),)"),"")</f>
        <v/>
      </c>
    </row>
    <row r="937">
      <c r="A937" s="26" t="str">
        <f t="shared" si="1"/>
        <v/>
      </c>
      <c r="B937" s="26" t="str">
        <f t="shared" si="2"/>
        <v/>
      </c>
      <c r="C937" s="207" t="str">
        <f t="shared" si="3"/>
        <v/>
      </c>
      <c r="D937" s="208"/>
      <c r="E937" s="194" t="str">
        <f>IFERROR(__xludf.DUMMYFUNCTION("IF(D937&lt;&gt;"""",SPLIT(D937,"" 
""),)"),"")</f>
        <v/>
      </c>
    </row>
    <row r="938">
      <c r="A938" s="26" t="str">
        <f t="shared" si="1"/>
        <v/>
      </c>
      <c r="B938" s="26" t="str">
        <f t="shared" si="2"/>
        <v/>
      </c>
      <c r="C938" s="207" t="str">
        <f t="shared" si="3"/>
        <v/>
      </c>
      <c r="D938" s="208"/>
      <c r="E938" s="194" t="str">
        <f>IFERROR(__xludf.DUMMYFUNCTION("IF(D938&lt;&gt;"""",SPLIT(D938,"" 
""),)"),"")</f>
        <v/>
      </c>
    </row>
    <row r="939">
      <c r="A939" s="26" t="str">
        <f t="shared" si="1"/>
        <v/>
      </c>
      <c r="B939" s="26" t="str">
        <f t="shared" si="2"/>
        <v/>
      </c>
      <c r="C939" s="207" t="str">
        <f t="shared" si="3"/>
        <v/>
      </c>
      <c r="D939" s="208"/>
      <c r="E939" s="194" t="str">
        <f>IFERROR(__xludf.DUMMYFUNCTION("IF(D939&lt;&gt;"""",SPLIT(D939,"" 
""),)"),"")</f>
        <v/>
      </c>
    </row>
    <row r="940">
      <c r="A940" s="26" t="str">
        <f t="shared" si="1"/>
        <v/>
      </c>
      <c r="B940" s="26" t="str">
        <f t="shared" si="2"/>
        <v/>
      </c>
      <c r="C940" s="207" t="str">
        <f t="shared" si="3"/>
        <v/>
      </c>
      <c r="D940" s="208"/>
      <c r="E940" s="194" t="str">
        <f>IFERROR(__xludf.DUMMYFUNCTION("IF(D940&lt;&gt;"""",SPLIT(D940,"" 
""),)"),"")</f>
        <v/>
      </c>
    </row>
    <row r="941">
      <c r="A941" s="26" t="str">
        <f t="shared" si="1"/>
        <v/>
      </c>
      <c r="B941" s="26" t="str">
        <f t="shared" si="2"/>
        <v/>
      </c>
      <c r="C941" s="207" t="str">
        <f t="shared" si="3"/>
        <v/>
      </c>
      <c r="D941" s="208"/>
      <c r="E941" s="194" t="str">
        <f>IFERROR(__xludf.DUMMYFUNCTION("IF(D941&lt;&gt;"""",SPLIT(D941,"" 
""),)"),"")</f>
        <v/>
      </c>
    </row>
    <row r="942">
      <c r="A942" s="26" t="str">
        <f t="shared" si="1"/>
        <v/>
      </c>
      <c r="B942" s="26" t="str">
        <f t="shared" si="2"/>
        <v/>
      </c>
      <c r="C942" s="207" t="str">
        <f t="shared" si="3"/>
        <v/>
      </c>
      <c r="D942" s="208"/>
      <c r="E942" s="194" t="str">
        <f>IFERROR(__xludf.DUMMYFUNCTION("IF(D942&lt;&gt;"""",SPLIT(D942,"" 
""),)"),"")</f>
        <v/>
      </c>
    </row>
    <row r="943">
      <c r="A943" s="26" t="str">
        <f t="shared" si="1"/>
        <v/>
      </c>
      <c r="B943" s="26" t="str">
        <f t="shared" si="2"/>
        <v/>
      </c>
      <c r="C943" s="207" t="str">
        <f t="shared" si="3"/>
        <v/>
      </c>
      <c r="D943" s="208"/>
      <c r="E943" s="194" t="str">
        <f>IFERROR(__xludf.DUMMYFUNCTION("IF(D943&lt;&gt;"""",SPLIT(D943,"" 
""),)"),"")</f>
        <v/>
      </c>
    </row>
    <row r="944">
      <c r="A944" s="26" t="str">
        <f t="shared" si="1"/>
        <v/>
      </c>
      <c r="B944" s="26" t="str">
        <f t="shared" si="2"/>
        <v/>
      </c>
      <c r="C944" s="207" t="str">
        <f t="shared" si="3"/>
        <v/>
      </c>
      <c r="D944" s="208"/>
      <c r="E944" s="194" t="str">
        <f>IFERROR(__xludf.DUMMYFUNCTION("IF(D944&lt;&gt;"""",SPLIT(D944,"" 
""),)"),"")</f>
        <v/>
      </c>
    </row>
    <row r="945">
      <c r="A945" s="26" t="str">
        <f t="shared" si="1"/>
        <v/>
      </c>
      <c r="B945" s="26" t="str">
        <f t="shared" si="2"/>
        <v/>
      </c>
      <c r="C945" s="207" t="str">
        <f t="shared" si="3"/>
        <v/>
      </c>
      <c r="D945" s="208"/>
      <c r="E945" s="194" t="str">
        <f>IFERROR(__xludf.DUMMYFUNCTION("IF(D945&lt;&gt;"""",SPLIT(D945,"" 
""),)"),"")</f>
        <v/>
      </c>
    </row>
    <row r="946">
      <c r="A946" s="26" t="str">
        <f t="shared" si="1"/>
        <v/>
      </c>
      <c r="B946" s="26" t="str">
        <f t="shared" si="2"/>
        <v/>
      </c>
      <c r="C946" s="207" t="str">
        <f t="shared" si="3"/>
        <v/>
      </c>
      <c r="D946" s="208"/>
      <c r="E946" s="194" t="str">
        <f>IFERROR(__xludf.DUMMYFUNCTION("IF(D946&lt;&gt;"""",SPLIT(D946,"" 
""),)"),"")</f>
        <v/>
      </c>
    </row>
    <row r="947">
      <c r="A947" s="26" t="str">
        <f t="shared" si="1"/>
        <v/>
      </c>
      <c r="B947" s="26" t="str">
        <f t="shared" si="2"/>
        <v/>
      </c>
      <c r="C947" s="207" t="str">
        <f t="shared" si="3"/>
        <v/>
      </c>
      <c r="D947" s="208"/>
      <c r="E947" s="194" t="str">
        <f>IFERROR(__xludf.DUMMYFUNCTION("IF(D947&lt;&gt;"""",SPLIT(D947,"" 
""),)"),"")</f>
        <v/>
      </c>
    </row>
    <row r="948">
      <c r="A948" s="26" t="str">
        <f t="shared" si="1"/>
        <v/>
      </c>
      <c r="B948" s="26" t="str">
        <f t="shared" si="2"/>
        <v/>
      </c>
      <c r="C948" s="207" t="str">
        <f t="shared" si="3"/>
        <v/>
      </c>
      <c r="D948" s="208"/>
      <c r="E948" s="194" t="str">
        <f>IFERROR(__xludf.DUMMYFUNCTION("IF(D948&lt;&gt;"""",SPLIT(D948,"" 
""),)"),"")</f>
        <v/>
      </c>
    </row>
    <row r="949">
      <c r="A949" s="26" t="str">
        <f t="shared" si="1"/>
        <v/>
      </c>
      <c r="B949" s="26" t="str">
        <f t="shared" si="2"/>
        <v/>
      </c>
      <c r="C949" s="207" t="str">
        <f t="shared" si="3"/>
        <v/>
      </c>
      <c r="D949" s="208"/>
      <c r="E949" s="194" t="str">
        <f>IFERROR(__xludf.DUMMYFUNCTION("IF(D949&lt;&gt;"""",SPLIT(D949,"" 
""),)"),"")</f>
        <v/>
      </c>
    </row>
    <row r="950">
      <c r="A950" s="26" t="str">
        <f t="shared" si="1"/>
        <v/>
      </c>
      <c r="B950" s="26" t="str">
        <f t="shared" si="2"/>
        <v/>
      </c>
      <c r="C950" s="207" t="str">
        <f t="shared" si="3"/>
        <v/>
      </c>
      <c r="D950" s="208"/>
      <c r="E950" s="194" t="str">
        <f>IFERROR(__xludf.DUMMYFUNCTION("IF(D950&lt;&gt;"""",SPLIT(D950,"" 
""),)"),"")</f>
        <v/>
      </c>
    </row>
    <row r="951">
      <c r="A951" s="26" t="str">
        <f t="shared" si="1"/>
        <v/>
      </c>
      <c r="B951" s="26" t="str">
        <f t="shared" si="2"/>
        <v/>
      </c>
      <c r="C951" s="207" t="str">
        <f t="shared" si="3"/>
        <v/>
      </c>
      <c r="D951" s="208"/>
      <c r="E951" s="194" t="str">
        <f>IFERROR(__xludf.DUMMYFUNCTION("IF(D951&lt;&gt;"""",SPLIT(D951,"" 
""),)"),"")</f>
        <v/>
      </c>
    </row>
    <row r="952">
      <c r="A952" s="26" t="str">
        <f t="shared" si="1"/>
        <v/>
      </c>
      <c r="B952" s="26" t="str">
        <f t="shared" si="2"/>
        <v/>
      </c>
      <c r="C952" s="207" t="str">
        <f t="shared" si="3"/>
        <v/>
      </c>
      <c r="D952" s="208"/>
      <c r="E952" s="194" t="str">
        <f>IFERROR(__xludf.DUMMYFUNCTION("IF(D952&lt;&gt;"""",SPLIT(D952,"" 
""),)"),"")</f>
        <v/>
      </c>
    </row>
    <row r="953">
      <c r="A953" s="26" t="str">
        <f t="shared" si="1"/>
        <v/>
      </c>
      <c r="B953" s="26" t="str">
        <f t="shared" si="2"/>
        <v/>
      </c>
      <c r="C953" s="207" t="str">
        <f t="shared" si="3"/>
        <v/>
      </c>
      <c r="D953" s="208"/>
      <c r="E953" s="194" t="str">
        <f>IFERROR(__xludf.DUMMYFUNCTION("IF(D953&lt;&gt;"""",SPLIT(D953,"" 
""),)"),"")</f>
        <v/>
      </c>
    </row>
    <row r="954">
      <c r="A954" s="26" t="str">
        <f t="shared" si="1"/>
        <v/>
      </c>
      <c r="B954" s="26" t="str">
        <f t="shared" si="2"/>
        <v/>
      </c>
      <c r="C954" s="207" t="str">
        <f t="shared" si="3"/>
        <v/>
      </c>
      <c r="D954" s="208"/>
      <c r="E954" s="194" t="str">
        <f>IFERROR(__xludf.DUMMYFUNCTION("IF(D954&lt;&gt;"""",SPLIT(D954,"" 
""),)"),"")</f>
        <v/>
      </c>
    </row>
    <row r="955">
      <c r="A955" s="26" t="str">
        <f t="shared" si="1"/>
        <v/>
      </c>
      <c r="B955" s="26" t="str">
        <f t="shared" si="2"/>
        <v/>
      </c>
      <c r="C955" s="207" t="str">
        <f t="shared" si="3"/>
        <v/>
      </c>
      <c r="D955" s="208"/>
      <c r="E955" s="194" t="str">
        <f>IFERROR(__xludf.DUMMYFUNCTION("IF(D955&lt;&gt;"""",SPLIT(D955,"" 
""),)"),"")</f>
        <v/>
      </c>
    </row>
    <row r="956">
      <c r="A956" s="26" t="str">
        <f t="shared" si="1"/>
        <v/>
      </c>
      <c r="B956" s="26" t="str">
        <f t="shared" si="2"/>
        <v/>
      </c>
      <c r="C956" s="207" t="str">
        <f t="shared" si="3"/>
        <v/>
      </c>
      <c r="D956" s="208"/>
      <c r="E956" s="194" t="str">
        <f>IFERROR(__xludf.DUMMYFUNCTION("IF(D956&lt;&gt;"""",SPLIT(D956,"" 
""),)"),"")</f>
        <v/>
      </c>
    </row>
    <row r="957">
      <c r="A957" s="26" t="str">
        <f t="shared" si="1"/>
        <v/>
      </c>
      <c r="B957" s="26" t="str">
        <f t="shared" si="2"/>
        <v/>
      </c>
      <c r="C957" s="207" t="str">
        <f t="shared" si="3"/>
        <v/>
      </c>
      <c r="D957" s="208"/>
      <c r="E957" s="194" t="str">
        <f>IFERROR(__xludf.DUMMYFUNCTION("IF(D957&lt;&gt;"""",SPLIT(D957,"" 
""),)"),"")</f>
        <v/>
      </c>
    </row>
    <row r="958">
      <c r="A958" s="26" t="str">
        <f t="shared" si="1"/>
        <v/>
      </c>
      <c r="B958" s="26" t="str">
        <f t="shared" si="2"/>
        <v/>
      </c>
      <c r="C958" s="207" t="str">
        <f t="shared" si="3"/>
        <v/>
      </c>
      <c r="D958" s="208"/>
      <c r="E958" s="194" t="str">
        <f>IFERROR(__xludf.DUMMYFUNCTION("IF(D958&lt;&gt;"""",SPLIT(D958,"" 
""),)"),"")</f>
        <v/>
      </c>
    </row>
    <row r="959">
      <c r="A959" s="26" t="str">
        <f t="shared" si="1"/>
        <v/>
      </c>
      <c r="B959" s="26" t="str">
        <f t="shared" si="2"/>
        <v/>
      </c>
      <c r="C959" s="207" t="str">
        <f t="shared" si="3"/>
        <v/>
      </c>
      <c r="D959" s="208"/>
      <c r="E959" s="194" t="str">
        <f>IFERROR(__xludf.DUMMYFUNCTION("IF(D959&lt;&gt;"""",SPLIT(D959,"" 
""),)"),"")</f>
        <v/>
      </c>
    </row>
    <row r="960">
      <c r="A960" s="26" t="str">
        <f t="shared" si="1"/>
        <v/>
      </c>
      <c r="B960" s="26" t="str">
        <f t="shared" si="2"/>
        <v/>
      </c>
      <c r="C960" s="207" t="str">
        <f t="shared" si="3"/>
        <v/>
      </c>
      <c r="D960" s="208"/>
      <c r="E960" s="194" t="str">
        <f>IFERROR(__xludf.DUMMYFUNCTION("IF(D960&lt;&gt;"""",SPLIT(D960,"" 
""),)"),"")</f>
        <v/>
      </c>
    </row>
    <row r="961">
      <c r="A961" s="26" t="str">
        <f t="shared" si="1"/>
        <v/>
      </c>
      <c r="B961" s="26" t="str">
        <f t="shared" si="2"/>
        <v/>
      </c>
      <c r="C961" s="207" t="str">
        <f t="shared" si="3"/>
        <v/>
      </c>
      <c r="D961" s="208"/>
      <c r="E961" s="194" t="str">
        <f>IFERROR(__xludf.DUMMYFUNCTION("IF(D961&lt;&gt;"""",SPLIT(D961,"" 
""),)"),"")</f>
        <v/>
      </c>
    </row>
    <row r="962">
      <c r="A962" s="26" t="str">
        <f t="shared" si="1"/>
        <v/>
      </c>
      <c r="B962" s="26" t="str">
        <f t="shared" si="2"/>
        <v/>
      </c>
      <c r="C962" s="207" t="str">
        <f t="shared" si="3"/>
        <v/>
      </c>
      <c r="D962" s="208"/>
      <c r="E962" s="194" t="str">
        <f>IFERROR(__xludf.DUMMYFUNCTION("IF(D962&lt;&gt;"""",SPLIT(D962,"" 
""),)"),"")</f>
        <v/>
      </c>
    </row>
    <row r="963">
      <c r="A963" s="26" t="str">
        <f t="shared" si="1"/>
        <v/>
      </c>
      <c r="B963" s="26" t="str">
        <f t="shared" si="2"/>
        <v/>
      </c>
      <c r="C963" s="207" t="str">
        <f t="shared" si="3"/>
        <v/>
      </c>
      <c r="D963" s="208"/>
      <c r="E963" s="194" t="str">
        <f>IFERROR(__xludf.DUMMYFUNCTION("IF(D963&lt;&gt;"""",SPLIT(D963,"" 
""),)"),"")</f>
        <v/>
      </c>
    </row>
    <row r="964">
      <c r="A964" s="26" t="str">
        <f t="shared" si="1"/>
        <v/>
      </c>
      <c r="B964" s="26" t="str">
        <f t="shared" si="2"/>
        <v/>
      </c>
      <c r="C964" s="207" t="str">
        <f t="shared" si="3"/>
        <v/>
      </c>
      <c r="D964" s="208"/>
      <c r="E964" s="194" t="str">
        <f>IFERROR(__xludf.DUMMYFUNCTION("IF(D964&lt;&gt;"""",SPLIT(D964,"" 
""),)"),"")</f>
        <v/>
      </c>
    </row>
    <row r="965">
      <c r="A965" s="26" t="str">
        <f t="shared" si="1"/>
        <v/>
      </c>
      <c r="B965" s="26" t="str">
        <f t="shared" si="2"/>
        <v/>
      </c>
      <c r="C965" s="207" t="str">
        <f t="shared" si="3"/>
        <v/>
      </c>
      <c r="D965" s="208"/>
      <c r="E965" s="194" t="str">
        <f>IFERROR(__xludf.DUMMYFUNCTION("IF(D965&lt;&gt;"""",SPLIT(D965,"" 
""),)"),"")</f>
        <v/>
      </c>
    </row>
    <row r="966">
      <c r="A966" s="26" t="str">
        <f t="shared" si="1"/>
        <v/>
      </c>
      <c r="B966" s="26" t="str">
        <f t="shared" si="2"/>
        <v/>
      </c>
      <c r="C966" s="207" t="str">
        <f t="shared" si="3"/>
        <v/>
      </c>
      <c r="D966" s="208"/>
      <c r="E966" s="194" t="str">
        <f>IFERROR(__xludf.DUMMYFUNCTION("IF(D966&lt;&gt;"""",SPLIT(D966,"" 
""),)"),"")</f>
        <v/>
      </c>
    </row>
    <row r="967">
      <c r="A967" s="26" t="str">
        <f t="shared" si="1"/>
        <v/>
      </c>
      <c r="B967" s="26" t="str">
        <f t="shared" si="2"/>
        <v/>
      </c>
      <c r="C967" s="207" t="str">
        <f t="shared" si="3"/>
        <v/>
      </c>
      <c r="D967" s="208"/>
      <c r="E967" s="194" t="str">
        <f>IFERROR(__xludf.DUMMYFUNCTION("IF(D967&lt;&gt;"""",SPLIT(D967,"" 
""),)"),"")</f>
        <v/>
      </c>
    </row>
    <row r="968">
      <c r="A968" s="26" t="str">
        <f t="shared" si="1"/>
        <v/>
      </c>
      <c r="B968" s="26" t="str">
        <f t="shared" si="2"/>
        <v/>
      </c>
      <c r="C968" s="207" t="str">
        <f t="shared" si="3"/>
        <v/>
      </c>
      <c r="D968" s="208"/>
      <c r="E968" s="194" t="str">
        <f>IFERROR(__xludf.DUMMYFUNCTION("IF(D968&lt;&gt;"""",SPLIT(D968,"" 
""),)"),"")</f>
        <v/>
      </c>
    </row>
    <row r="969">
      <c r="A969" s="26" t="str">
        <f t="shared" si="1"/>
        <v/>
      </c>
      <c r="B969" s="26" t="str">
        <f t="shared" si="2"/>
        <v/>
      </c>
      <c r="C969" s="207" t="str">
        <f t="shared" si="3"/>
        <v/>
      </c>
      <c r="D969" s="208"/>
      <c r="E969" s="194" t="str">
        <f>IFERROR(__xludf.DUMMYFUNCTION("IF(D969&lt;&gt;"""",SPLIT(D969,"" 
""),)"),"")</f>
        <v/>
      </c>
    </row>
    <row r="970">
      <c r="A970" s="26" t="str">
        <f t="shared" si="1"/>
        <v/>
      </c>
      <c r="B970" s="26" t="str">
        <f t="shared" si="2"/>
        <v/>
      </c>
      <c r="C970" s="207" t="str">
        <f t="shared" si="3"/>
        <v/>
      </c>
      <c r="D970" s="208"/>
      <c r="E970" s="194" t="str">
        <f>IFERROR(__xludf.DUMMYFUNCTION("IF(D970&lt;&gt;"""",SPLIT(D970,"" 
""),)"),"")</f>
        <v/>
      </c>
    </row>
    <row r="971">
      <c r="A971" s="26" t="str">
        <f t="shared" si="1"/>
        <v/>
      </c>
      <c r="B971" s="26" t="str">
        <f t="shared" si="2"/>
        <v/>
      </c>
      <c r="C971" s="207" t="str">
        <f t="shared" si="3"/>
        <v/>
      </c>
      <c r="D971" s="208"/>
      <c r="E971" s="194" t="str">
        <f>IFERROR(__xludf.DUMMYFUNCTION("IF(D971&lt;&gt;"""",SPLIT(D971,"" 
""),)"),"")</f>
        <v/>
      </c>
    </row>
    <row r="972">
      <c r="A972" s="26" t="str">
        <f t="shared" si="1"/>
        <v/>
      </c>
      <c r="B972" s="26" t="str">
        <f t="shared" si="2"/>
        <v/>
      </c>
      <c r="C972" s="207" t="str">
        <f t="shared" si="3"/>
        <v/>
      </c>
      <c r="D972" s="208"/>
      <c r="E972" s="194" t="str">
        <f>IFERROR(__xludf.DUMMYFUNCTION("IF(D972&lt;&gt;"""",SPLIT(D972,"" 
""),)"),"")</f>
        <v/>
      </c>
    </row>
    <row r="973">
      <c r="A973" s="26" t="str">
        <f t="shared" si="1"/>
        <v/>
      </c>
      <c r="B973" s="26" t="str">
        <f t="shared" si="2"/>
        <v/>
      </c>
      <c r="C973" s="207" t="str">
        <f t="shared" si="3"/>
        <v/>
      </c>
      <c r="D973" s="208"/>
      <c r="E973" s="194" t="str">
        <f>IFERROR(__xludf.DUMMYFUNCTION("IF(D973&lt;&gt;"""",SPLIT(D973,"" 
""),)"),"")</f>
        <v/>
      </c>
    </row>
    <row r="974">
      <c r="A974" s="26" t="str">
        <f t="shared" si="1"/>
        <v/>
      </c>
      <c r="B974" s="26" t="str">
        <f t="shared" si="2"/>
        <v/>
      </c>
      <c r="C974" s="207" t="str">
        <f t="shared" si="3"/>
        <v/>
      </c>
      <c r="D974" s="208"/>
      <c r="E974" s="194" t="str">
        <f>IFERROR(__xludf.DUMMYFUNCTION("IF(D974&lt;&gt;"""",SPLIT(D974,"" 
""),)"),"")</f>
        <v/>
      </c>
    </row>
    <row r="975">
      <c r="A975" s="26" t="str">
        <f t="shared" si="1"/>
        <v/>
      </c>
      <c r="B975" s="26" t="str">
        <f t="shared" si="2"/>
        <v/>
      </c>
      <c r="C975" s="207" t="str">
        <f t="shared" si="3"/>
        <v/>
      </c>
      <c r="D975" s="208"/>
      <c r="E975" s="194" t="str">
        <f>IFERROR(__xludf.DUMMYFUNCTION("IF(D975&lt;&gt;"""",SPLIT(D975,"" 
""),)"),"")</f>
        <v/>
      </c>
    </row>
    <row r="976">
      <c r="A976" s="26" t="str">
        <f t="shared" si="1"/>
        <v/>
      </c>
      <c r="B976" s="26" t="str">
        <f t="shared" si="2"/>
        <v/>
      </c>
      <c r="C976" s="207" t="str">
        <f t="shared" si="3"/>
        <v/>
      </c>
      <c r="D976" s="208"/>
      <c r="E976" s="194" t="str">
        <f>IFERROR(__xludf.DUMMYFUNCTION("IF(D976&lt;&gt;"""",SPLIT(D976,"" 
""),)"),"")</f>
        <v/>
      </c>
    </row>
    <row r="977">
      <c r="A977" s="26" t="str">
        <f t="shared" si="1"/>
        <v/>
      </c>
      <c r="B977" s="26" t="str">
        <f t="shared" si="2"/>
        <v/>
      </c>
      <c r="C977" s="207" t="str">
        <f t="shared" si="3"/>
        <v/>
      </c>
      <c r="D977" s="208"/>
      <c r="E977" s="194" t="str">
        <f>IFERROR(__xludf.DUMMYFUNCTION("IF(D977&lt;&gt;"""",SPLIT(D977,"" 
""),)"),"")</f>
        <v/>
      </c>
    </row>
    <row r="978">
      <c r="A978" s="26" t="str">
        <f t="shared" si="1"/>
        <v/>
      </c>
      <c r="B978" s="26" t="str">
        <f t="shared" si="2"/>
        <v/>
      </c>
      <c r="C978" s="207" t="str">
        <f t="shared" si="3"/>
        <v/>
      </c>
      <c r="D978" s="208"/>
      <c r="E978" s="194" t="str">
        <f>IFERROR(__xludf.DUMMYFUNCTION("IF(D978&lt;&gt;"""",SPLIT(D978,"" 
""),)"),"")</f>
        <v/>
      </c>
    </row>
    <row r="979">
      <c r="A979" s="26" t="str">
        <f t="shared" si="1"/>
        <v/>
      </c>
      <c r="B979" s="26" t="str">
        <f t="shared" si="2"/>
        <v/>
      </c>
      <c r="C979" s="207" t="str">
        <f t="shared" si="3"/>
        <v/>
      </c>
      <c r="D979" s="208"/>
      <c r="E979" s="194" t="str">
        <f>IFERROR(__xludf.DUMMYFUNCTION("IF(D979&lt;&gt;"""",SPLIT(D979,"" 
""),)"),"")</f>
        <v/>
      </c>
    </row>
    <row r="980">
      <c r="A980" s="26" t="str">
        <f t="shared" si="1"/>
        <v/>
      </c>
      <c r="B980" s="26" t="str">
        <f t="shared" si="2"/>
        <v/>
      </c>
      <c r="C980" s="207" t="str">
        <f t="shared" si="3"/>
        <v/>
      </c>
      <c r="D980" s="208"/>
      <c r="E980" s="194" t="str">
        <f>IFERROR(__xludf.DUMMYFUNCTION("IF(D980&lt;&gt;"""",SPLIT(D980,"" 
""),)"),"")</f>
        <v/>
      </c>
    </row>
    <row r="981">
      <c r="A981" s="26" t="str">
        <f t="shared" si="1"/>
        <v/>
      </c>
      <c r="B981" s="26" t="str">
        <f t="shared" si="2"/>
        <v/>
      </c>
      <c r="C981" s="207" t="str">
        <f t="shared" si="3"/>
        <v/>
      </c>
      <c r="D981" s="208"/>
      <c r="E981" s="194" t="str">
        <f>IFERROR(__xludf.DUMMYFUNCTION("IF(D981&lt;&gt;"""",SPLIT(D981,"" 
""),)"),"")</f>
        <v/>
      </c>
    </row>
    <row r="982">
      <c r="A982" s="26" t="str">
        <f t="shared" si="1"/>
        <v/>
      </c>
      <c r="B982" s="26" t="str">
        <f t="shared" si="2"/>
        <v/>
      </c>
      <c r="C982" s="207" t="str">
        <f t="shared" si="3"/>
        <v/>
      </c>
      <c r="D982" s="208"/>
      <c r="E982" s="194" t="str">
        <f>IFERROR(__xludf.DUMMYFUNCTION("IF(D982&lt;&gt;"""",SPLIT(D982,"" 
""),)"),"")</f>
        <v/>
      </c>
    </row>
    <row r="983">
      <c r="A983" s="26" t="str">
        <f t="shared" si="1"/>
        <v/>
      </c>
      <c r="B983" s="26" t="str">
        <f t="shared" si="2"/>
        <v/>
      </c>
      <c r="C983" s="207" t="str">
        <f t="shared" si="3"/>
        <v/>
      </c>
      <c r="D983" s="208"/>
      <c r="E983" s="194" t="str">
        <f>IFERROR(__xludf.DUMMYFUNCTION("IF(D983&lt;&gt;"""",SPLIT(D983,"" 
""),)"),"")</f>
        <v/>
      </c>
    </row>
    <row r="984">
      <c r="A984" s="26" t="str">
        <f t="shared" si="1"/>
        <v/>
      </c>
      <c r="B984" s="26" t="str">
        <f t="shared" si="2"/>
        <v/>
      </c>
      <c r="C984" s="207" t="str">
        <f t="shared" si="3"/>
        <v/>
      </c>
      <c r="D984" s="208"/>
      <c r="E984" s="194" t="str">
        <f>IFERROR(__xludf.DUMMYFUNCTION("IF(D984&lt;&gt;"""",SPLIT(D984,"" 
""),)"),"")</f>
        <v/>
      </c>
    </row>
    <row r="985">
      <c r="A985" s="26" t="str">
        <f t="shared" si="1"/>
        <v/>
      </c>
      <c r="B985" s="26" t="str">
        <f t="shared" si="2"/>
        <v/>
      </c>
      <c r="C985" s="207" t="str">
        <f t="shared" si="3"/>
        <v/>
      </c>
      <c r="D985" s="208"/>
      <c r="E985" s="194" t="str">
        <f>IFERROR(__xludf.DUMMYFUNCTION("IF(D985&lt;&gt;"""",SPLIT(D985,"" 
""),)"),"")</f>
        <v/>
      </c>
    </row>
    <row r="986">
      <c r="A986" s="26" t="str">
        <f t="shared" si="1"/>
        <v/>
      </c>
      <c r="B986" s="26" t="str">
        <f t="shared" si="2"/>
        <v/>
      </c>
      <c r="C986" s="207" t="str">
        <f t="shared" si="3"/>
        <v/>
      </c>
      <c r="D986" s="208"/>
      <c r="E986" s="194" t="str">
        <f>IFERROR(__xludf.DUMMYFUNCTION("IF(D986&lt;&gt;"""",SPLIT(D986,"" 
""),)"),"")</f>
        <v/>
      </c>
    </row>
    <row r="987">
      <c r="A987" s="26" t="str">
        <f t="shared" si="1"/>
        <v/>
      </c>
      <c r="B987" s="26" t="str">
        <f t="shared" si="2"/>
        <v/>
      </c>
      <c r="C987" s="207" t="str">
        <f t="shared" si="3"/>
        <v/>
      </c>
      <c r="D987" s="208"/>
      <c r="E987" s="194" t="str">
        <f>IFERROR(__xludf.DUMMYFUNCTION("IF(D987&lt;&gt;"""",SPLIT(D987,"" 
""),)"),"")</f>
        <v/>
      </c>
    </row>
    <row r="988">
      <c r="A988" s="26" t="str">
        <f t="shared" si="1"/>
        <v/>
      </c>
      <c r="B988" s="26" t="str">
        <f t="shared" si="2"/>
        <v/>
      </c>
      <c r="C988" s="207" t="str">
        <f t="shared" si="3"/>
        <v/>
      </c>
      <c r="D988" s="208"/>
      <c r="E988" s="194" t="str">
        <f>IFERROR(__xludf.DUMMYFUNCTION("IF(D988&lt;&gt;"""",SPLIT(D988,"" 
""),)"),"")</f>
        <v/>
      </c>
    </row>
    <row r="989">
      <c r="A989" s="26" t="str">
        <f t="shared" si="1"/>
        <v/>
      </c>
      <c r="B989" s="26" t="str">
        <f t="shared" si="2"/>
        <v/>
      </c>
      <c r="C989" s="207" t="str">
        <f t="shared" si="3"/>
        <v/>
      </c>
      <c r="D989" s="208"/>
      <c r="E989" s="194" t="str">
        <f>IFERROR(__xludf.DUMMYFUNCTION("IF(D989&lt;&gt;"""",SPLIT(D989,"" 
""),)"),"")</f>
        <v/>
      </c>
    </row>
    <row r="990">
      <c r="A990" s="26" t="str">
        <f t="shared" si="1"/>
        <v/>
      </c>
      <c r="B990" s="26" t="str">
        <f t="shared" si="2"/>
        <v/>
      </c>
      <c r="C990" s="207" t="str">
        <f t="shared" si="3"/>
        <v/>
      </c>
      <c r="D990" s="208"/>
      <c r="E990" s="194" t="str">
        <f>IFERROR(__xludf.DUMMYFUNCTION("IF(D990&lt;&gt;"""",SPLIT(D990,"" 
""),)"),"")</f>
        <v/>
      </c>
    </row>
    <row r="991">
      <c r="A991" s="26" t="str">
        <f t="shared" si="1"/>
        <v/>
      </c>
      <c r="B991" s="26" t="str">
        <f t="shared" si="2"/>
        <v/>
      </c>
      <c r="C991" s="207" t="str">
        <f t="shared" si="3"/>
        <v/>
      </c>
      <c r="D991" s="208"/>
      <c r="E991" s="194" t="str">
        <f>IFERROR(__xludf.DUMMYFUNCTION("IF(D991&lt;&gt;"""",SPLIT(D991,"" 
""),)"),"")</f>
        <v/>
      </c>
    </row>
    <row r="992">
      <c r="A992" s="26" t="str">
        <f t="shared" si="1"/>
        <v/>
      </c>
      <c r="B992" s="26" t="str">
        <f t="shared" si="2"/>
        <v/>
      </c>
      <c r="C992" s="207" t="str">
        <f t="shared" si="3"/>
        <v/>
      </c>
      <c r="D992" s="208"/>
      <c r="E992" s="194" t="str">
        <f>IFERROR(__xludf.DUMMYFUNCTION("IF(D992&lt;&gt;"""",SPLIT(D992,"" 
""),)"),"")</f>
        <v/>
      </c>
    </row>
    <row r="993">
      <c r="A993" s="26" t="str">
        <f t="shared" si="1"/>
        <v/>
      </c>
      <c r="B993" s="26" t="str">
        <f t="shared" si="2"/>
        <v/>
      </c>
      <c r="C993" s="207" t="str">
        <f t="shared" si="3"/>
        <v/>
      </c>
      <c r="D993" s="208"/>
      <c r="E993" s="194" t="str">
        <f>IFERROR(__xludf.DUMMYFUNCTION("IF(D993&lt;&gt;"""",SPLIT(D993,"" 
""),)"),"")</f>
        <v/>
      </c>
    </row>
    <row r="994">
      <c r="A994" s="26" t="str">
        <f t="shared" si="1"/>
        <v/>
      </c>
      <c r="B994" s="26" t="str">
        <f t="shared" si="2"/>
        <v/>
      </c>
      <c r="C994" s="207" t="str">
        <f t="shared" si="3"/>
        <v/>
      </c>
      <c r="D994" s="208"/>
      <c r="E994" s="194" t="str">
        <f>IFERROR(__xludf.DUMMYFUNCTION("IF(D994&lt;&gt;"""",SPLIT(D994,"" 
""),)"),"")</f>
        <v/>
      </c>
    </row>
    <row r="995">
      <c r="A995" s="26" t="str">
        <f t="shared" si="1"/>
        <v/>
      </c>
      <c r="B995" s="26" t="str">
        <f t="shared" si="2"/>
        <v/>
      </c>
      <c r="C995" s="207" t="str">
        <f t="shared" si="3"/>
        <v/>
      </c>
      <c r="D995" s="208"/>
      <c r="E995" s="194" t="str">
        <f>IFERROR(__xludf.DUMMYFUNCTION("IF(D995&lt;&gt;"""",SPLIT(D995,"" 
""),)"),"")</f>
        <v/>
      </c>
    </row>
    <row r="996">
      <c r="A996" s="26" t="str">
        <f t="shared" si="1"/>
        <v/>
      </c>
      <c r="B996" s="26" t="str">
        <f t="shared" si="2"/>
        <v/>
      </c>
      <c r="C996" s="207" t="str">
        <f t="shared" si="3"/>
        <v/>
      </c>
      <c r="D996" s="208"/>
      <c r="E996" s="194" t="str">
        <f>IFERROR(__xludf.DUMMYFUNCTION("IF(D996&lt;&gt;"""",SPLIT(D996,"" 
""),)"),"")</f>
        <v/>
      </c>
    </row>
    <row r="997">
      <c r="A997" s="26" t="str">
        <f t="shared" si="1"/>
        <v/>
      </c>
      <c r="B997" s="26" t="str">
        <f t="shared" si="2"/>
        <v/>
      </c>
      <c r="C997" s="207" t="str">
        <f t="shared" si="3"/>
        <v/>
      </c>
      <c r="D997" s="208"/>
      <c r="E997" s="194" t="str">
        <f>IFERROR(__xludf.DUMMYFUNCTION("IF(D997&lt;&gt;"""",SPLIT(D997,"" 
""),)"),"")</f>
        <v/>
      </c>
    </row>
    <row r="998">
      <c r="A998" s="26" t="str">
        <f t="shared" si="1"/>
        <v/>
      </c>
      <c r="B998" s="26" t="str">
        <f t="shared" si="2"/>
        <v/>
      </c>
      <c r="C998" s="207" t="str">
        <f t="shared" si="3"/>
        <v/>
      </c>
      <c r="D998" s="208"/>
      <c r="E998" s="194" t="str">
        <f>IFERROR(__xludf.DUMMYFUNCTION("IF(D998&lt;&gt;"""",SPLIT(D998,"" 
""),)"),"")</f>
        <v/>
      </c>
    </row>
    <row r="999">
      <c r="A999" s="26" t="str">
        <f t="shared" si="1"/>
        <v/>
      </c>
      <c r="B999" s="26" t="str">
        <f t="shared" si="2"/>
        <v/>
      </c>
      <c r="C999" s="207" t="str">
        <f t="shared" si="3"/>
        <v/>
      </c>
      <c r="D999" s="208"/>
      <c r="E999" s="194" t="str">
        <f>IFERROR(__xludf.DUMMYFUNCTION("IF(D999&lt;&gt;"""",SPLIT(D999,"" 
""),)"),"")</f>
        <v/>
      </c>
    </row>
    <row r="1000">
      <c r="A1000" s="26" t="str">
        <f t="shared" si="1"/>
        <v/>
      </c>
      <c r="B1000" s="26" t="str">
        <f t="shared" si="2"/>
        <v/>
      </c>
      <c r="C1000" s="207" t="str">
        <f t="shared" si="3"/>
        <v/>
      </c>
      <c r="D1000" s="208"/>
      <c r="E1000" s="194" t="str">
        <f>IFERROR(__xludf.DUMMYFUNCTION("IF(D1000&lt;&gt;"""",SPLIT(D1000,"" 
""),)"),"")</f>
        <v/>
      </c>
    </row>
    <row r="1001">
      <c r="A1001" s="26" t="str">
        <f t="shared" si="1"/>
        <v/>
      </c>
      <c r="B1001" s="26" t="str">
        <f t="shared" si="2"/>
        <v/>
      </c>
      <c r="C1001" s="207" t="str">
        <f t="shared" si="3"/>
        <v/>
      </c>
      <c r="D1001" s="208"/>
      <c r="E1001" s="194" t="str">
        <f>IFERROR(__xludf.DUMMYFUNCTION("IF(D1001&lt;&gt;"""",SPLIT(D1001,"" 
""),)"),"")</f>
        <v/>
      </c>
    </row>
    <row r="1002">
      <c r="A1002" s="26" t="str">
        <f t="shared" si="1"/>
        <v/>
      </c>
      <c r="B1002" s="26" t="str">
        <f t="shared" si="2"/>
        <v/>
      </c>
      <c r="C1002" s="207" t="str">
        <f t="shared" si="3"/>
        <v/>
      </c>
      <c r="D1002" s="208"/>
      <c r="E1002" s="194" t="str">
        <f>IFERROR(__xludf.DUMMYFUNCTION("IF(D1002&lt;&gt;"""",SPLIT(D1002,"" 
""),)"),"")</f>
        <v/>
      </c>
    </row>
    <row r="1003">
      <c r="A1003" s="26" t="str">
        <f t="shared" si="1"/>
        <v/>
      </c>
      <c r="B1003" s="26" t="str">
        <f t="shared" si="2"/>
        <v/>
      </c>
      <c r="C1003" s="207" t="str">
        <f t="shared" si="3"/>
        <v/>
      </c>
      <c r="D1003" s="208"/>
      <c r="E1003" s="194" t="str">
        <f>IFERROR(__xludf.DUMMYFUNCTION("IF(D1003&lt;&gt;"""",SPLIT(D1003,"" 
""),)"),"")</f>
        <v/>
      </c>
    </row>
    <row r="1004">
      <c r="A1004" s="26" t="str">
        <f t="shared" si="1"/>
        <v/>
      </c>
      <c r="B1004" s="26" t="str">
        <f t="shared" si="2"/>
        <v/>
      </c>
      <c r="C1004" s="207" t="str">
        <f t="shared" si="3"/>
        <v/>
      </c>
      <c r="D1004" s="208"/>
      <c r="E1004" s="194" t="str">
        <f>IFERROR(__xludf.DUMMYFUNCTION("IF(D1004&lt;&gt;"""",SPLIT(D1004,"" 
""),)"),"")</f>
        <v/>
      </c>
    </row>
    <row r="1005">
      <c r="A1005" s="26" t="str">
        <f t="shared" si="1"/>
        <v/>
      </c>
      <c r="B1005" s="26" t="str">
        <f t="shared" si="2"/>
        <v/>
      </c>
      <c r="C1005" s="207" t="str">
        <f t="shared" si="3"/>
        <v/>
      </c>
      <c r="D1005" s="208"/>
      <c r="E1005" s="194" t="str">
        <f>IFERROR(__xludf.DUMMYFUNCTION("IF(D1005&lt;&gt;"""",SPLIT(D1005,"" 
""),)"),"")</f>
        <v/>
      </c>
    </row>
    <row r="1006">
      <c r="A1006" s="26" t="str">
        <f t="shared" si="1"/>
        <v/>
      </c>
      <c r="B1006" s="26" t="str">
        <f t="shared" si="2"/>
        <v/>
      </c>
      <c r="C1006" s="207" t="str">
        <f t="shared" si="3"/>
        <v/>
      </c>
      <c r="D1006" s="208"/>
      <c r="E1006" s="194" t="str">
        <f>IFERROR(__xludf.DUMMYFUNCTION("IF(D1006&lt;&gt;"""",SPLIT(D1006,"" 
""),)"),"")</f>
        <v/>
      </c>
    </row>
    <row r="1007">
      <c r="A1007" s="26" t="str">
        <f t="shared" si="1"/>
        <v/>
      </c>
      <c r="B1007" s="26" t="str">
        <f t="shared" si="2"/>
        <v/>
      </c>
      <c r="C1007" s="207" t="str">
        <f t="shared" si="3"/>
        <v/>
      </c>
      <c r="D1007" s="208"/>
      <c r="E1007" s="194" t="str">
        <f>IFERROR(__xludf.DUMMYFUNCTION("IF(D1007&lt;&gt;"""",SPLIT(D1007,"" 
""),)"),"")</f>
        <v/>
      </c>
    </row>
    <row r="1008">
      <c r="A1008" s="26" t="str">
        <f t="shared" si="1"/>
        <v/>
      </c>
      <c r="B1008" s="26" t="str">
        <f t="shared" si="2"/>
        <v/>
      </c>
      <c r="C1008" s="207" t="str">
        <f t="shared" si="3"/>
        <v/>
      </c>
      <c r="D1008" s="208"/>
      <c r="E1008" s="194" t="str">
        <f>IFERROR(__xludf.DUMMYFUNCTION("IF(D1008&lt;&gt;"""",SPLIT(D1008,"" 
""),)"),"")</f>
        <v/>
      </c>
    </row>
    <row r="1009">
      <c r="A1009" s="26" t="str">
        <f t="shared" si="1"/>
        <v/>
      </c>
      <c r="B1009" s="26" t="str">
        <f t="shared" si="2"/>
        <v/>
      </c>
      <c r="C1009" s="207" t="str">
        <f t="shared" si="3"/>
        <v/>
      </c>
      <c r="D1009" s="208"/>
      <c r="E1009" s="194" t="str">
        <f>IFERROR(__xludf.DUMMYFUNCTION("IF(D1009&lt;&gt;"""",SPLIT(D1009,"" 
""),)"),"")</f>
        <v/>
      </c>
    </row>
    <row r="1010">
      <c r="A1010" s="26" t="str">
        <f t="shared" si="1"/>
        <v/>
      </c>
      <c r="B1010" s="26" t="str">
        <f t="shared" si="2"/>
        <v/>
      </c>
      <c r="C1010" s="207" t="str">
        <f t="shared" si="3"/>
        <v/>
      </c>
      <c r="D1010" s="208"/>
      <c r="E1010" s="194" t="str">
        <f>IFERROR(__xludf.DUMMYFUNCTION("IF(D1010&lt;&gt;"""",SPLIT(D1010,"" 
""),)"),"")</f>
        <v/>
      </c>
    </row>
    <row r="1011">
      <c r="A1011" s="26" t="str">
        <f t="shared" si="1"/>
        <v/>
      </c>
      <c r="B1011" s="26" t="str">
        <f t="shared" si="2"/>
        <v/>
      </c>
      <c r="C1011" s="207" t="str">
        <f t="shared" si="3"/>
        <v/>
      </c>
      <c r="D1011" s="208"/>
      <c r="E1011" s="194" t="str">
        <f>IFERROR(__xludf.DUMMYFUNCTION("IF(D1011&lt;&gt;"""",SPLIT(D1011,"" 
""),)"),"")</f>
        <v/>
      </c>
    </row>
    <row r="1012">
      <c r="A1012" s="26" t="str">
        <f t="shared" si="1"/>
        <v/>
      </c>
      <c r="B1012" s="26" t="str">
        <f t="shared" si="2"/>
        <v/>
      </c>
      <c r="C1012" s="207" t="str">
        <f t="shared" si="3"/>
        <v/>
      </c>
      <c r="D1012" s="208"/>
      <c r="E1012" s="194" t="str">
        <f>IFERROR(__xludf.DUMMYFUNCTION("IF(D1012&lt;&gt;"""",SPLIT(D1012,"" 
""),)"),"")</f>
        <v/>
      </c>
    </row>
    <row r="1013">
      <c r="A1013" s="26" t="str">
        <f t="shared" si="1"/>
        <v/>
      </c>
      <c r="B1013" s="26" t="str">
        <f t="shared" si="2"/>
        <v/>
      </c>
      <c r="C1013" s="207" t="str">
        <f t="shared" si="3"/>
        <v/>
      </c>
      <c r="D1013" s="208"/>
      <c r="E1013" s="194" t="str">
        <f>IFERROR(__xludf.DUMMYFUNCTION("IF(D1013&lt;&gt;"""",SPLIT(D1013,"" 
""),)"),"")</f>
        <v/>
      </c>
    </row>
    <row r="1014">
      <c r="A1014" s="26" t="str">
        <f t="shared" si="1"/>
        <v/>
      </c>
      <c r="B1014" s="26" t="str">
        <f t="shared" si="2"/>
        <v/>
      </c>
      <c r="C1014" s="207" t="str">
        <f t="shared" si="3"/>
        <v/>
      </c>
      <c r="D1014" s="208"/>
      <c r="E1014" s="194" t="str">
        <f>IFERROR(__xludf.DUMMYFUNCTION("IF(D1014&lt;&gt;"""",SPLIT(D1014,"" 
""),)"),"")</f>
        <v/>
      </c>
    </row>
    <row r="1015">
      <c r="A1015" s="26" t="str">
        <f t="shared" si="1"/>
        <v/>
      </c>
      <c r="B1015" s="26" t="str">
        <f t="shared" si="2"/>
        <v/>
      </c>
      <c r="C1015" s="207" t="str">
        <f t="shared" si="3"/>
        <v/>
      </c>
      <c r="D1015" s="208"/>
      <c r="E1015" s="194" t="str">
        <f>IFERROR(__xludf.DUMMYFUNCTION("IF(D1015&lt;&gt;"""",SPLIT(D1015,"" 
""),)"),"")</f>
        <v/>
      </c>
    </row>
    <row r="1016">
      <c r="A1016" s="26" t="str">
        <f t="shared" si="1"/>
        <v/>
      </c>
      <c r="B1016" s="26" t="str">
        <f t="shared" si="2"/>
        <v/>
      </c>
      <c r="C1016" s="207" t="str">
        <f t="shared" si="3"/>
        <v/>
      </c>
      <c r="D1016" s="208"/>
      <c r="E1016" s="194" t="str">
        <f>IFERROR(__xludf.DUMMYFUNCTION("IF(D1016&lt;&gt;"""",SPLIT(D1016,"" 
""),)"),"")</f>
        <v/>
      </c>
    </row>
    <row r="1017">
      <c r="A1017" s="26" t="str">
        <f t="shared" si="1"/>
        <v/>
      </c>
      <c r="B1017" s="26" t="str">
        <f t="shared" si="2"/>
        <v/>
      </c>
      <c r="C1017" s="207" t="str">
        <f t="shared" si="3"/>
        <v/>
      </c>
      <c r="D1017" s="208"/>
      <c r="E1017" s="194" t="str">
        <f>IFERROR(__xludf.DUMMYFUNCTION("IF(D1017&lt;&gt;"""",SPLIT(D1017,"" 
""),)"),"")</f>
        <v/>
      </c>
    </row>
    <row r="1018">
      <c r="A1018" s="26" t="str">
        <f t="shared" si="1"/>
        <v/>
      </c>
      <c r="B1018" s="26" t="str">
        <f t="shared" si="2"/>
        <v/>
      </c>
      <c r="C1018" s="207" t="str">
        <f t="shared" si="3"/>
        <v/>
      </c>
      <c r="D1018" s="208"/>
      <c r="E1018" s="194" t="str">
        <f>IFERROR(__xludf.DUMMYFUNCTION("IF(D1018&lt;&gt;"""",SPLIT(D1018,"" 
""),)"),"")</f>
        <v/>
      </c>
    </row>
    <row r="1019">
      <c r="A1019" s="26" t="str">
        <f t="shared" si="1"/>
        <v/>
      </c>
      <c r="B1019" s="26" t="str">
        <f t="shared" si="2"/>
        <v/>
      </c>
      <c r="C1019" s="207" t="str">
        <f t="shared" si="3"/>
        <v/>
      </c>
      <c r="D1019" s="208"/>
      <c r="E1019" s="194" t="str">
        <f>IFERROR(__xludf.DUMMYFUNCTION("IF(D1019&lt;&gt;"""",SPLIT(D1019,"" 
""),)"),"")</f>
        <v/>
      </c>
    </row>
    <row r="1020">
      <c r="A1020" s="26" t="str">
        <f t="shared" si="1"/>
        <v/>
      </c>
      <c r="B1020" s="26" t="str">
        <f t="shared" si="2"/>
        <v/>
      </c>
      <c r="C1020" s="207" t="str">
        <f t="shared" si="3"/>
        <v/>
      </c>
      <c r="D1020" s="208"/>
      <c r="E1020" s="194" t="str">
        <f>IFERROR(__xludf.DUMMYFUNCTION("IF(D1020&lt;&gt;"""",SPLIT(D1020,"" 
""),)"),"")</f>
        <v/>
      </c>
    </row>
    <row r="1021">
      <c r="A1021" s="26" t="str">
        <f t="shared" si="1"/>
        <v/>
      </c>
      <c r="B1021" s="26" t="str">
        <f t="shared" si="2"/>
        <v/>
      </c>
      <c r="C1021" s="207" t="str">
        <f t="shared" si="3"/>
        <v/>
      </c>
      <c r="D1021" s="208"/>
      <c r="E1021" s="194" t="str">
        <f>IFERROR(__xludf.DUMMYFUNCTION("IF(D1021&lt;&gt;"""",SPLIT(D1021,"" 
""),)"),"")</f>
        <v/>
      </c>
    </row>
    <row r="1022">
      <c r="A1022" s="26" t="str">
        <f t="shared" si="1"/>
        <v/>
      </c>
      <c r="B1022" s="26" t="str">
        <f t="shared" si="2"/>
        <v/>
      </c>
      <c r="C1022" s="207" t="str">
        <f t="shared" si="3"/>
        <v/>
      </c>
      <c r="D1022" s="208"/>
      <c r="E1022" s="194" t="str">
        <f>IFERROR(__xludf.DUMMYFUNCTION("IF(D1022&lt;&gt;"""",SPLIT(D1022,"" 
""),)"),"")</f>
        <v/>
      </c>
    </row>
    <row r="1023">
      <c r="A1023" s="26" t="str">
        <f t="shared" si="1"/>
        <v/>
      </c>
      <c r="B1023" s="26" t="str">
        <f t="shared" si="2"/>
        <v/>
      </c>
      <c r="C1023" s="207" t="str">
        <f t="shared" si="3"/>
        <v/>
      </c>
      <c r="D1023" s="208"/>
      <c r="E1023" s="194" t="str">
        <f>IFERROR(__xludf.DUMMYFUNCTION("IF(D1023&lt;&gt;"""",SPLIT(D1023,"" 
""),)"),"")</f>
        <v/>
      </c>
    </row>
    <row r="1024">
      <c r="A1024" s="26" t="str">
        <f t="shared" si="1"/>
        <v/>
      </c>
      <c r="B1024" s="26" t="str">
        <f t="shared" si="2"/>
        <v/>
      </c>
      <c r="C1024" s="207" t="str">
        <f t="shared" si="3"/>
        <v/>
      </c>
      <c r="D1024" s="208"/>
      <c r="E1024" s="194" t="str">
        <f>IFERROR(__xludf.DUMMYFUNCTION("IF(D1024&lt;&gt;"""",SPLIT(D1024,"" 
""),)"),"")</f>
        <v/>
      </c>
    </row>
    <row r="1025">
      <c r="A1025" s="26" t="str">
        <f t="shared" si="1"/>
        <v/>
      </c>
      <c r="B1025" s="26" t="str">
        <f t="shared" si="2"/>
        <v/>
      </c>
      <c r="C1025" s="207" t="str">
        <f t="shared" si="3"/>
        <v/>
      </c>
      <c r="D1025" s="208"/>
      <c r="E1025" s="194" t="str">
        <f>IFERROR(__xludf.DUMMYFUNCTION("IF(D1025&lt;&gt;"""",SPLIT(D1025,"" 
""),)"),"")</f>
        <v/>
      </c>
    </row>
    <row r="1026">
      <c r="A1026" s="26" t="str">
        <f t="shared" si="1"/>
        <v/>
      </c>
      <c r="B1026" s="26" t="str">
        <f t="shared" si="2"/>
        <v/>
      </c>
      <c r="C1026" s="207" t="str">
        <f t="shared" si="3"/>
        <v/>
      </c>
      <c r="D1026" s="208"/>
      <c r="E1026" s="194" t="str">
        <f>IFERROR(__xludf.DUMMYFUNCTION("IF(D1026&lt;&gt;"""",SPLIT(D1026,"" 
""),)"),"")</f>
        <v/>
      </c>
    </row>
    <row r="1027">
      <c r="A1027" s="26" t="str">
        <f t="shared" si="1"/>
        <v/>
      </c>
      <c r="B1027" s="26" t="str">
        <f t="shared" si="2"/>
        <v/>
      </c>
      <c r="C1027" s="207" t="str">
        <f t="shared" si="3"/>
        <v/>
      </c>
      <c r="D1027" s="208"/>
      <c r="E1027" s="194" t="str">
        <f>IFERROR(__xludf.DUMMYFUNCTION("IF(D1027&lt;&gt;"""",SPLIT(D1027,"" 
""),)"),"")</f>
        <v/>
      </c>
    </row>
    <row r="1028">
      <c r="A1028" s="26" t="str">
        <f t="shared" si="1"/>
        <v/>
      </c>
      <c r="B1028" s="26" t="str">
        <f t="shared" si="2"/>
        <v/>
      </c>
      <c r="C1028" s="207" t="str">
        <f t="shared" si="3"/>
        <v/>
      </c>
      <c r="D1028" s="208"/>
      <c r="E1028" s="194" t="str">
        <f>IFERROR(__xludf.DUMMYFUNCTION("IF(D1028&lt;&gt;"""",SPLIT(D1028,"" 
""),)"),"")</f>
        <v/>
      </c>
    </row>
    <row r="1029">
      <c r="A1029" s="26" t="str">
        <f t="shared" si="1"/>
        <v/>
      </c>
      <c r="B1029" s="26" t="str">
        <f t="shared" si="2"/>
        <v/>
      </c>
      <c r="C1029" s="207" t="str">
        <f t="shared" si="3"/>
        <v/>
      </c>
      <c r="D1029" s="208"/>
      <c r="E1029" s="194" t="str">
        <f>IFERROR(__xludf.DUMMYFUNCTION("IF(D1029&lt;&gt;"""",SPLIT(D1029,"" 
""),)"),"")</f>
        <v/>
      </c>
    </row>
    <row r="1030">
      <c r="A1030" s="26" t="str">
        <f t="shared" si="1"/>
        <v/>
      </c>
      <c r="B1030" s="26" t="str">
        <f t="shared" si="2"/>
        <v/>
      </c>
      <c r="C1030" s="207" t="str">
        <f t="shared" si="3"/>
        <v/>
      </c>
      <c r="D1030" s="208"/>
      <c r="E1030" s="194" t="str">
        <f>IFERROR(__xludf.DUMMYFUNCTION("IF(D1030&lt;&gt;"""",SPLIT(D1030,"" 
""),)"),"")</f>
        <v/>
      </c>
    </row>
    <row r="1031">
      <c r="A1031" s="26" t="str">
        <f t="shared" si="1"/>
        <v/>
      </c>
      <c r="B1031" s="26" t="str">
        <f t="shared" si="2"/>
        <v/>
      </c>
      <c r="C1031" s="207" t="str">
        <f t="shared" si="3"/>
        <v/>
      </c>
      <c r="D1031" s="208"/>
      <c r="E1031" s="194" t="str">
        <f>IFERROR(__xludf.DUMMYFUNCTION("IF(D1031&lt;&gt;"""",SPLIT(D1031,"" 
""),)"),"")</f>
        <v/>
      </c>
    </row>
    <row r="1032">
      <c r="A1032" s="26" t="str">
        <f t="shared" si="1"/>
        <v/>
      </c>
      <c r="B1032" s="26" t="str">
        <f t="shared" si="2"/>
        <v/>
      </c>
      <c r="C1032" s="207" t="str">
        <f t="shared" si="3"/>
        <v/>
      </c>
      <c r="D1032" s="208"/>
      <c r="E1032" s="194" t="str">
        <f>IFERROR(__xludf.DUMMYFUNCTION("IF(D1032&lt;&gt;"""",SPLIT(D1032,"" 
""),)"),"")</f>
        <v/>
      </c>
    </row>
    <row r="1033">
      <c r="A1033" s="26" t="str">
        <f t="shared" si="1"/>
        <v/>
      </c>
      <c r="B1033" s="26" t="str">
        <f t="shared" si="2"/>
        <v/>
      </c>
      <c r="C1033" s="207" t="str">
        <f t="shared" si="3"/>
        <v/>
      </c>
      <c r="D1033" s="208"/>
      <c r="E1033" s="194" t="str">
        <f>IFERROR(__xludf.DUMMYFUNCTION("IF(D1033&lt;&gt;"""",SPLIT(D1033,"" 
""),)"),"")</f>
        <v/>
      </c>
    </row>
    <row r="1034">
      <c r="A1034" s="26" t="str">
        <f t="shared" si="1"/>
        <v/>
      </c>
      <c r="B1034" s="26" t="str">
        <f t="shared" si="2"/>
        <v/>
      </c>
      <c r="C1034" s="207" t="str">
        <f t="shared" si="3"/>
        <v/>
      </c>
      <c r="D1034" s="208"/>
      <c r="E1034" s="194" t="str">
        <f>IFERROR(__xludf.DUMMYFUNCTION("IF(D1034&lt;&gt;"""",SPLIT(D1034,"" 
""),)"),"")</f>
        <v/>
      </c>
    </row>
    <row r="1035">
      <c r="A1035" s="26" t="str">
        <f t="shared" si="1"/>
        <v/>
      </c>
      <c r="B1035" s="26" t="str">
        <f t="shared" si="2"/>
        <v/>
      </c>
      <c r="C1035" s="207" t="str">
        <f t="shared" si="3"/>
        <v/>
      </c>
      <c r="D1035" s="208"/>
      <c r="E1035" s="194" t="str">
        <f>IFERROR(__xludf.DUMMYFUNCTION("IF(D1035&lt;&gt;"""",SPLIT(D1035,"" 
""),)"),"")</f>
        <v/>
      </c>
    </row>
    <row r="1036">
      <c r="A1036" s="26" t="str">
        <f t="shared" si="1"/>
        <v/>
      </c>
      <c r="B1036" s="26" t="str">
        <f t="shared" si="2"/>
        <v/>
      </c>
      <c r="C1036" s="207" t="str">
        <f t="shared" si="3"/>
        <v/>
      </c>
      <c r="D1036" s="208"/>
      <c r="E1036" s="194" t="str">
        <f>IFERROR(__xludf.DUMMYFUNCTION("IF(D1036&lt;&gt;"""",SPLIT(D1036,"" 
""),)"),"")</f>
        <v/>
      </c>
    </row>
    <row r="1037">
      <c r="A1037" s="26" t="str">
        <f t="shared" si="1"/>
        <v/>
      </c>
      <c r="B1037" s="26" t="str">
        <f t="shared" si="2"/>
        <v/>
      </c>
      <c r="C1037" s="207" t="str">
        <f t="shared" si="3"/>
        <v/>
      </c>
      <c r="D1037" s="208"/>
      <c r="E1037" s="194" t="str">
        <f>IFERROR(__xludf.DUMMYFUNCTION("IF(D1037&lt;&gt;"""",SPLIT(D1037,"" 
""),)"),"")</f>
        <v/>
      </c>
    </row>
    <row r="1038">
      <c r="A1038" s="26" t="str">
        <f t="shared" si="1"/>
        <v/>
      </c>
      <c r="B1038" s="26" t="str">
        <f t="shared" si="2"/>
        <v/>
      </c>
      <c r="C1038" s="207" t="str">
        <f t="shared" si="3"/>
        <v/>
      </c>
      <c r="D1038" s="208"/>
      <c r="E1038" s="194" t="str">
        <f>IFERROR(__xludf.DUMMYFUNCTION("IF(D1038&lt;&gt;"""",SPLIT(D1038,"" 
""),)"),"")</f>
        <v/>
      </c>
    </row>
    <row r="1039">
      <c r="A1039" s="26" t="str">
        <f t="shared" si="1"/>
        <v/>
      </c>
      <c r="B1039" s="26" t="str">
        <f t="shared" si="2"/>
        <v/>
      </c>
      <c r="C1039" s="207" t="str">
        <f t="shared" si="3"/>
        <v/>
      </c>
      <c r="D1039" s="208"/>
      <c r="E1039" s="194" t="str">
        <f>IFERROR(__xludf.DUMMYFUNCTION("IF(D1039&lt;&gt;"""",SPLIT(D1039,"" 
""),)"),"")</f>
        <v/>
      </c>
    </row>
    <row r="1040">
      <c r="A1040" s="26" t="str">
        <f t="shared" si="1"/>
        <v/>
      </c>
      <c r="B1040" s="26" t="str">
        <f t="shared" si="2"/>
        <v/>
      </c>
      <c r="C1040" s="207" t="str">
        <f t="shared" si="3"/>
        <v/>
      </c>
      <c r="D1040" s="208"/>
      <c r="E1040" s="194" t="str">
        <f>IFERROR(__xludf.DUMMYFUNCTION("IF(D1040&lt;&gt;"""",SPLIT(D1040,"" 
""),)"),"")</f>
        <v/>
      </c>
    </row>
    <row r="1041">
      <c r="A1041" s="26" t="str">
        <f t="shared" si="1"/>
        <v/>
      </c>
      <c r="B1041" s="26" t="str">
        <f t="shared" si="2"/>
        <v/>
      </c>
      <c r="C1041" s="207" t="str">
        <f t="shared" si="3"/>
        <v/>
      </c>
      <c r="D1041" s="208"/>
      <c r="E1041" s="194" t="str">
        <f>IFERROR(__xludf.DUMMYFUNCTION("IF(D1041&lt;&gt;"""",SPLIT(D1041,"" 
""),)"),"")</f>
        <v/>
      </c>
    </row>
    <row r="1042">
      <c r="A1042" s="26" t="str">
        <f t="shared" si="1"/>
        <v/>
      </c>
      <c r="B1042" s="26" t="str">
        <f t="shared" si="2"/>
        <v/>
      </c>
      <c r="C1042" s="207" t="str">
        <f t="shared" si="3"/>
        <v/>
      </c>
      <c r="D1042" s="208"/>
      <c r="E1042" s="194" t="str">
        <f>IFERROR(__xludf.DUMMYFUNCTION("IF(D1042&lt;&gt;"""",SPLIT(D1042,"" 
""),)"),"")</f>
        <v/>
      </c>
    </row>
    <row r="1043">
      <c r="A1043" s="26" t="str">
        <f t="shared" si="1"/>
        <v/>
      </c>
      <c r="B1043" s="26" t="str">
        <f t="shared" si="2"/>
        <v/>
      </c>
      <c r="C1043" s="207" t="str">
        <f t="shared" si="3"/>
        <v/>
      </c>
      <c r="D1043" s="208"/>
      <c r="E1043" s="194" t="str">
        <f>IFERROR(__xludf.DUMMYFUNCTION("IF(D1043&lt;&gt;"""",SPLIT(D1043,"" 
""),)"),"")</f>
        <v/>
      </c>
    </row>
    <row r="1044">
      <c r="A1044" s="26" t="str">
        <f t="shared" si="1"/>
        <v/>
      </c>
      <c r="B1044" s="26" t="str">
        <f t="shared" si="2"/>
        <v/>
      </c>
      <c r="C1044" s="207" t="str">
        <f t="shared" si="3"/>
        <v/>
      </c>
      <c r="D1044" s="208"/>
      <c r="E1044" s="194" t="str">
        <f>IFERROR(__xludf.DUMMYFUNCTION("IF(D1044&lt;&gt;"""",SPLIT(D1044,"" 
""),)"),"")</f>
        <v/>
      </c>
    </row>
    <row r="1045">
      <c r="A1045" s="26" t="str">
        <f t="shared" si="1"/>
        <v/>
      </c>
      <c r="B1045" s="26" t="str">
        <f t="shared" si="2"/>
        <v/>
      </c>
      <c r="C1045" s="207" t="str">
        <f t="shared" si="3"/>
        <v/>
      </c>
      <c r="D1045" s="208"/>
      <c r="E1045" s="194" t="str">
        <f>IFERROR(__xludf.DUMMYFUNCTION("IF(D1045&lt;&gt;"""",SPLIT(D1045,"" 
""),)"),"")</f>
        <v/>
      </c>
    </row>
    <row r="1046">
      <c r="A1046" s="26" t="str">
        <f t="shared" si="1"/>
        <v/>
      </c>
      <c r="B1046" s="26" t="str">
        <f t="shared" si="2"/>
        <v/>
      </c>
      <c r="C1046" s="207" t="str">
        <f t="shared" si="3"/>
        <v/>
      </c>
      <c r="D1046" s="208"/>
      <c r="E1046" s="194" t="str">
        <f>IFERROR(__xludf.DUMMYFUNCTION("IF(D1046&lt;&gt;"""",SPLIT(D1046,"" 
""),)"),"")</f>
        <v/>
      </c>
    </row>
    <row r="1047">
      <c r="A1047" s="26" t="str">
        <f t="shared" si="1"/>
        <v/>
      </c>
      <c r="B1047" s="26" t="str">
        <f t="shared" si="2"/>
        <v/>
      </c>
      <c r="C1047" s="207" t="str">
        <f t="shared" si="3"/>
        <v/>
      </c>
      <c r="D1047" s="208"/>
      <c r="E1047" s="194" t="str">
        <f>IFERROR(__xludf.DUMMYFUNCTION("IF(D1047&lt;&gt;"""",SPLIT(D1047,"" 
""),)"),"")</f>
        <v/>
      </c>
    </row>
    <row r="1048">
      <c r="A1048" s="26" t="str">
        <f t="shared" si="1"/>
        <v/>
      </c>
      <c r="B1048" s="26" t="str">
        <f t="shared" si="2"/>
        <v/>
      </c>
      <c r="C1048" s="207" t="str">
        <f t="shared" si="3"/>
        <v/>
      </c>
      <c r="D1048" s="208"/>
      <c r="E1048" s="194" t="str">
        <f>IFERROR(__xludf.DUMMYFUNCTION("IF(D1048&lt;&gt;"""",SPLIT(D1048,"" 
""),)"),"")</f>
        <v/>
      </c>
    </row>
    <row r="1049">
      <c r="A1049" s="26" t="str">
        <f t="shared" si="1"/>
        <v/>
      </c>
      <c r="B1049" s="26" t="str">
        <f t="shared" si="2"/>
        <v/>
      </c>
      <c r="C1049" s="207" t="str">
        <f t="shared" si="3"/>
        <v/>
      </c>
      <c r="D1049" s="208"/>
      <c r="E1049" s="194" t="str">
        <f>IFERROR(__xludf.DUMMYFUNCTION("IF(D1049&lt;&gt;"""",SPLIT(D1049,"" 
""),)"),"")</f>
        <v/>
      </c>
    </row>
    <row r="1050">
      <c r="A1050" s="26" t="str">
        <f t="shared" si="1"/>
        <v/>
      </c>
      <c r="B1050" s="26" t="str">
        <f t="shared" si="2"/>
        <v/>
      </c>
      <c r="C1050" s="207" t="str">
        <f t="shared" si="3"/>
        <v/>
      </c>
      <c r="D1050" s="208"/>
      <c r="E1050" s="194" t="str">
        <f>IFERROR(__xludf.DUMMYFUNCTION("IF(D1050&lt;&gt;"""",SPLIT(D1050,"" 
""),)"),"")</f>
        <v/>
      </c>
    </row>
    <row r="1051">
      <c r="A1051" s="26" t="str">
        <f t="shared" si="1"/>
        <v/>
      </c>
      <c r="B1051" s="26" t="str">
        <f t="shared" si="2"/>
        <v/>
      </c>
      <c r="C1051" s="207" t="str">
        <f t="shared" si="3"/>
        <v/>
      </c>
      <c r="D1051" s="208"/>
      <c r="E1051" s="194" t="str">
        <f>IFERROR(__xludf.DUMMYFUNCTION("IF(D1051&lt;&gt;"""",SPLIT(D1051,"" 
""),)"),"")</f>
        <v/>
      </c>
    </row>
    <row r="1052">
      <c r="A1052" s="26" t="str">
        <f t="shared" si="1"/>
        <v/>
      </c>
      <c r="B1052" s="26" t="str">
        <f t="shared" si="2"/>
        <v/>
      </c>
      <c r="C1052" s="207" t="str">
        <f t="shared" si="3"/>
        <v/>
      </c>
      <c r="D1052" s="208"/>
      <c r="E1052" s="194" t="str">
        <f>IFERROR(__xludf.DUMMYFUNCTION("IF(D1052&lt;&gt;"""",SPLIT(D1052,"" 
""),)"),"")</f>
        <v/>
      </c>
    </row>
    <row r="1053">
      <c r="A1053" s="26" t="str">
        <f t="shared" si="1"/>
        <v/>
      </c>
      <c r="B1053" s="26" t="str">
        <f t="shared" si="2"/>
        <v/>
      </c>
      <c r="C1053" s="207" t="str">
        <f t="shared" si="3"/>
        <v/>
      </c>
      <c r="D1053" s="208"/>
      <c r="E1053" s="194" t="str">
        <f>IFERROR(__xludf.DUMMYFUNCTION("IF(D1053&lt;&gt;"""",SPLIT(D1053,"" 
""),)"),"")</f>
        <v/>
      </c>
    </row>
    <row r="1054">
      <c r="A1054" s="26" t="str">
        <f t="shared" si="1"/>
        <v/>
      </c>
      <c r="B1054" s="26" t="str">
        <f t="shared" si="2"/>
        <v/>
      </c>
      <c r="C1054" s="207" t="str">
        <f t="shared" si="3"/>
        <v/>
      </c>
      <c r="D1054" s="208"/>
      <c r="E1054" s="194" t="str">
        <f>IFERROR(__xludf.DUMMYFUNCTION("IF(D1054&lt;&gt;"""",SPLIT(D1054,"" 
""),)"),"")</f>
        <v/>
      </c>
    </row>
    <row r="1055">
      <c r="A1055" s="26" t="str">
        <f t="shared" si="1"/>
        <v/>
      </c>
      <c r="B1055" s="26" t="str">
        <f t="shared" si="2"/>
        <v/>
      </c>
      <c r="C1055" s="207" t="str">
        <f t="shared" si="3"/>
        <v/>
      </c>
      <c r="D1055" s="208"/>
      <c r="E1055" s="194" t="str">
        <f>IFERROR(__xludf.DUMMYFUNCTION("IF(D1055&lt;&gt;"""",SPLIT(D1055,"" 
""),)"),"")</f>
        <v/>
      </c>
    </row>
    <row r="1056">
      <c r="A1056" s="26" t="str">
        <f t="shared" si="1"/>
        <v/>
      </c>
      <c r="B1056" s="26" t="str">
        <f t="shared" si="2"/>
        <v/>
      </c>
      <c r="C1056" s="207" t="str">
        <f t="shared" si="3"/>
        <v/>
      </c>
      <c r="D1056" s="208"/>
      <c r="E1056" s="194" t="str">
        <f>IFERROR(__xludf.DUMMYFUNCTION("IF(D1056&lt;&gt;"""",SPLIT(D1056,"" 
""),)"),"")</f>
        <v/>
      </c>
    </row>
    <row r="1057">
      <c r="A1057" s="26" t="str">
        <f t="shared" si="1"/>
        <v/>
      </c>
      <c r="B1057" s="26" t="str">
        <f t="shared" si="2"/>
        <v/>
      </c>
      <c r="C1057" s="207" t="str">
        <f t="shared" si="3"/>
        <v/>
      </c>
      <c r="D1057" s="208"/>
      <c r="E1057" s="194" t="str">
        <f>IFERROR(__xludf.DUMMYFUNCTION("IF(D1057&lt;&gt;"""",SPLIT(D1057,"" 
""),)"),"")</f>
        <v/>
      </c>
    </row>
    <row r="1058">
      <c r="A1058" s="26" t="str">
        <f t="shared" si="1"/>
        <v/>
      </c>
      <c r="B1058" s="26" t="str">
        <f t="shared" si="2"/>
        <v/>
      </c>
      <c r="C1058" s="207" t="str">
        <f t="shared" si="3"/>
        <v/>
      </c>
      <c r="D1058" s="208"/>
      <c r="E1058" s="194" t="str">
        <f>IFERROR(__xludf.DUMMYFUNCTION("IF(D1058&lt;&gt;"""",SPLIT(D1058,"" 
""),)"),"")</f>
        <v/>
      </c>
    </row>
    <row r="1059">
      <c r="A1059" s="26" t="str">
        <f t="shared" si="1"/>
        <v/>
      </c>
      <c r="B1059" s="26" t="str">
        <f t="shared" si="2"/>
        <v/>
      </c>
      <c r="C1059" s="207" t="str">
        <f t="shared" si="3"/>
        <v/>
      </c>
      <c r="D1059" s="208"/>
      <c r="E1059" s="194" t="str">
        <f>IFERROR(__xludf.DUMMYFUNCTION("IF(D1059&lt;&gt;"""",SPLIT(D1059,"" 
""),)"),"")</f>
        <v/>
      </c>
    </row>
    <row r="1060">
      <c r="A1060" s="26" t="str">
        <f t="shared" si="1"/>
        <v/>
      </c>
      <c r="B1060" s="26" t="str">
        <f t="shared" si="2"/>
        <v/>
      </c>
      <c r="C1060" s="207" t="str">
        <f t="shared" si="3"/>
        <v/>
      </c>
      <c r="D1060" s="208"/>
      <c r="E1060" s="194" t="str">
        <f>IFERROR(__xludf.DUMMYFUNCTION("IF(D1060&lt;&gt;"""",SPLIT(D1060,"" 
""),)"),"")</f>
        <v/>
      </c>
    </row>
    <row r="1061">
      <c r="A1061" s="26" t="str">
        <f t="shared" si="1"/>
        <v/>
      </c>
      <c r="B1061" s="26" t="str">
        <f t="shared" si="2"/>
        <v/>
      </c>
      <c r="C1061" s="207" t="str">
        <f t="shared" si="3"/>
        <v/>
      </c>
      <c r="D1061" s="208"/>
      <c r="E1061" s="194" t="str">
        <f>IFERROR(__xludf.DUMMYFUNCTION("IF(D1061&lt;&gt;"""",SPLIT(D1061,"" 
""),)"),"")</f>
        <v/>
      </c>
    </row>
    <row r="1062">
      <c r="A1062" s="26" t="str">
        <f t="shared" si="1"/>
        <v/>
      </c>
      <c r="B1062" s="26" t="str">
        <f t="shared" si="2"/>
        <v/>
      </c>
      <c r="C1062" s="207" t="str">
        <f t="shared" si="3"/>
        <v/>
      </c>
      <c r="D1062" s="208"/>
      <c r="E1062" s="194" t="str">
        <f>IFERROR(__xludf.DUMMYFUNCTION("IF(D1062&lt;&gt;"""",SPLIT(D1062,"" 
""),)"),"")</f>
        <v/>
      </c>
    </row>
    <row r="1063">
      <c r="A1063" s="26" t="str">
        <f t="shared" si="1"/>
        <v/>
      </c>
      <c r="B1063" s="26" t="str">
        <f t="shared" si="2"/>
        <v/>
      </c>
      <c r="C1063" s="207" t="str">
        <f t="shared" si="3"/>
        <v/>
      </c>
      <c r="D1063" s="208"/>
      <c r="E1063" s="194" t="str">
        <f>IFERROR(__xludf.DUMMYFUNCTION("IF(D1063&lt;&gt;"""",SPLIT(D1063,"" 
""),)"),"")</f>
        <v/>
      </c>
    </row>
    <row r="1064">
      <c r="A1064" s="26" t="str">
        <f t="shared" si="1"/>
        <v/>
      </c>
      <c r="B1064" s="26" t="str">
        <f t="shared" si="2"/>
        <v/>
      </c>
      <c r="C1064" s="207" t="str">
        <f t="shared" si="3"/>
        <v/>
      </c>
      <c r="D1064" s="208"/>
      <c r="E1064" s="194" t="str">
        <f>IFERROR(__xludf.DUMMYFUNCTION("IF(D1064&lt;&gt;"""",SPLIT(D1064,"" 
""),)"),"")</f>
        <v/>
      </c>
    </row>
    <row r="1065">
      <c r="A1065" s="26" t="str">
        <f t="shared" si="1"/>
        <v/>
      </c>
      <c r="B1065" s="26" t="str">
        <f t="shared" si="2"/>
        <v/>
      </c>
      <c r="C1065" s="207" t="str">
        <f t="shared" si="3"/>
        <v/>
      </c>
      <c r="D1065" s="208"/>
      <c r="E1065" s="194" t="str">
        <f>IFERROR(__xludf.DUMMYFUNCTION("IF(D1065&lt;&gt;"""",SPLIT(D1065,"" 
""),)"),"")</f>
        <v/>
      </c>
    </row>
    <row r="1066">
      <c r="A1066" s="26" t="str">
        <f t="shared" si="1"/>
        <v/>
      </c>
      <c r="B1066" s="26" t="str">
        <f t="shared" si="2"/>
        <v/>
      </c>
      <c r="C1066" s="207" t="str">
        <f t="shared" si="3"/>
        <v/>
      </c>
      <c r="D1066" s="208"/>
      <c r="E1066" s="194" t="str">
        <f>IFERROR(__xludf.DUMMYFUNCTION("IF(D1066&lt;&gt;"""",SPLIT(D1066,"" 
""),)"),"")</f>
        <v/>
      </c>
    </row>
    <row r="1067">
      <c r="A1067" s="26" t="str">
        <f t="shared" si="1"/>
        <v/>
      </c>
      <c r="B1067" s="26" t="str">
        <f t="shared" si="2"/>
        <v/>
      </c>
      <c r="C1067" s="207" t="str">
        <f t="shared" si="3"/>
        <v/>
      </c>
      <c r="D1067" s="208"/>
      <c r="E1067" s="194" t="str">
        <f>IFERROR(__xludf.DUMMYFUNCTION("IF(D1067&lt;&gt;"""",SPLIT(D1067,"" 
""),)"),"")</f>
        <v/>
      </c>
    </row>
    <row r="1068">
      <c r="A1068" s="26" t="str">
        <f t="shared" si="1"/>
        <v/>
      </c>
      <c r="B1068" s="26" t="str">
        <f t="shared" si="2"/>
        <v/>
      </c>
      <c r="C1068" s="207" t="str">
        <f t="shared" si="3"/>
        <v/>
      </c>
      <c r="D1068" s="208"/>
      <c r="E1068" s="194" t="str">
        <f>IFERROR(__xludf.DUMMYFUNCTION("IF(D1068&lt;&gt;"""",SPLIT(D1068,"" 
""),)"),"")</f>
        <v/>
      </c>
    </row>
    <row r="1069">
      <c r="A1069" s="26" t="str">
        <f t="shared" si="1"/>
        <v/>
      </c>
      <c r="B1069" s="26" t="str">
        <f t="shared" si="2"/>
        <v/>
      </c>
      <c r="C1069" s="207" t="str">
        <f t="shared" si="3"/>
        <v/>
      </c>
      <c r="D1069" s="208"/>
      <c r="E1069" s="194" t="str">
        <f>IFERROR(__xludf.DUMMYFUNCTION("IF(D1069&lt;&gt;"""",SPLIT(D1069,"" 
""),)"),"")</f>
        <v/>
      </c>
    </row>
    <row r="1070">
      <c r="A1070" s="26" t="str">
        <f t="shared" si="1"/>
        <v/>
      </c>
      <c r="B1070" s="26" t="str">
        <f t="shared" si="2"/>
        <v/>
      </c>
      <c r="C1070" s="207" t="str">
        <f t="shared" si="3"/>
        <v/>
      </c>
      <c r="D1070" s="208"/>
      <c r="E1070" s="194" t="str">
        <f>IFERROR(__xludf.DUMMYFUNCTION("IF(D1070&lt;&gt;"""",SPLIT(D1070,"" 
""),)"),"")</f>
        <v/>
      </c>
    </row>
    <row r="1071">
      <c r="A1071" s="26" t="str">
        <f t="shared" si="1"/>
        <v/>
      </c>
      <c r="B1071" s="26" t="str">
        <f t="shared" si="2"/>
        <v/>
      </c>
      <c r="C1071" s="207" t="str">
        <f t="shared" si="3"/>
        <v/>
      </c>
      <c r="D1071" s="208"/>
      <c r="E1071" s="194" t="str">
        <f>IFERROR(__xludf.DUMMYFUNCTION("IF(D1071&lt;&gt;"""",SPLIT(D1071,"" 
""),)"),"")</f>
        <v/>
      </c>
    </row>
    <row r="1072">
      <c r="A1072" s="26" t="str">
        <f t="shared" si="1"/>
        <v/>
      </c>
      <c r="B1072" s="26" t="str">
        <f t="shared" si="2"/>
        <v/>
      </c>
      <c r="C1072" s="207" t="str">
        <f t="shared" si="3"/>
        <v/>
      </c>
      <c r="D1072" s="208"/>
      <c r="E1072" s="194" t="str">
        <f>IFERROR(__xludf.DUMMYFUNCTION("IF(D1072&lt;&gt;"""",SPLIT(D1072,"" 
""),)"),"")</f>
        <v/>
      </c>
    </row>
    <row r="1073">
      <c r="A1073" s="26" t="str">
        <f t="shared" si="1"/>
        <v/>
      </c>
      <c r="B1073" s="26" t="str">
        <f t="shared" si="2"/>
        <v/>
      </c>
      <c r="C1073" s="207" t="str">
        <f t="shared" si="3"/>
        <v/>
      </c>
      <c r="D1073" s="208"/>
      <c r="E1073" s="194" t="str">
        <f>IFERROR(__xludf.DUMMYFUNCTION("IF(D1073&lt;&gt;"""",SPLIT(D1073,"" 
""),)"),"")</f>
        <v/>
      </c>
    </row>
    <row r="1074">
      <c r="A1074" s="26" t="str">
        <f t="shared" si="1"/>
        <v/>
      </c>
      <c r="B1074" s="26" t="str">
        <f t="shared" si="2"/>
        <v/>
      </c>
      <c r="C1074" s="207" t="str">
        <f t="shared" si="3"/>
        <v/>
      </c>
      <c r="D1074" s="208"/>
      <c r="E1074" s="194" t="str">
        <f>IFERROR(__xludf.DUMMYFUNCTION("IF(D1074&lt;&gt;"""",SPLIT(D1074,"" 
""),)"),"")</f>
        <v/>
      </c>
    </row>
    <row r="1075">
      <c r="A1075" s="26" t="str">
        <f t="shared" si="1"/>
        <v/>
      </c>
      <c r="B1075" s="26" t="str">
        <f t="shared" si="2"/>
        <v/>
      </c>
      <c r="C1075" s="207" t="str">
        <f t="shared" si="3"/>
        <v/>
      </c>
      <c r="D1075" s="208"/>
      <c r="E1075" s="194" t="str">
        <f>IFERROR(__xludf.DUMMYFUNCTION("IF(D1075&lt;&gt;"""",SPLIT(D1075,"" 
""),)"),"")</f>
        <v/>
      </c>
    </row>
    <row r="1076">
      <c r="A1076" s="26" t="str">
        <f t="shared" si="1"/>
        <v/>
      </c>
      <c r="B1076" s="26" t="str">
        <f t="shared" si="2"/>
        <v/>
      </c>
      <c r="C1076" s="207" t="str">
        <f t="shared" si="3"/>
        <v/>
      </c>
      <c r="D1076" s="208"/>
      <c r="E1076" s="194" t="str">
        <f>IFERROR(__xludf.DUMMYFUNCTION("IF(D1076&lt;&gt;"""",SPLIT(D1076,"" 
""),)"),"")</f>
        <v/>
      </c>
    </row>
    <row r="1077">
      <c r="A1077" s="26" t="str">
        <f t="shared" si="1"/>
        <v/>
      </c>
      <c r="B1077" s="26" t="str">
        <f t="shared" si="2"/>
        <v/>
      </c>
      <c r="C1077" s="207" t="str">
        <f t="shared" si="3"/>
        <v/>
      </c>
      <c r="D1077" s="208"/>
      <c r="E1077" s="194" t="str">
        <f>IFERROR(__xludf.DUMMYFUNCTION("IF(D1077&lt;&gt;"""",SPLIT(D1077,"" 
""),)"),"")</f>
        <v/>
      </c>
    </row>
    <row r="1078">
      <c r="A1078" s="26" t="str">
        <f t="shared" si="1"/>
        <v/>
      </c>
      <c r="B1078" s="26" t="str">
        <f t="shared" si="2"/>
        <v/>
      </c>
      <c r="C1078" s="207" t="str">
        <f t="shared" si="3"/>
        <v/>
      </c>
      <c r="D1078" s="208"/>
      <c r="E1078" s="194" t="str">
        <f>IFERROR(__xludf.DUMMYFUNCTION("IF(D1078&lt;&gt;"""",SPLIT(D1078,"" 
""),)"),"")</f>
        <v/>
      </c>
    </row>
    <row r="1079">
      <c r="A1079" s="26" t="str">
        <f t="shared" si="1"/>
        <v/>
      </c>
      <c r="B1079" s="26" t="str">
        <f t="shared" si="2"/>
        <v/>
      </c>
      <c r="C1079" s="207" t="str">
        <f t="shared" si="3"/>
        <v/>
      </c>
      <c r="D1079" s="208"/>
      <c r="E1079" s="194" t="str">
        <f>IFERROR(__xludf.DUMMYFUNCTION("IF(D1079&lt;&gt;"""",SPLIT(D1079,"" 
""),)"),"")</f>
        <v/>
      </c>
    </row>
    <row r="1080">
      <c r="A1080" s="26" t="str">
        <f t="shared" si="1"/>
        <v/>
      </c>
      <c r="B1080" s="26" t="str">
        <f t="shared" si="2"/>
        <v/>
      </c>
      <c r="C1080" s="207" t="str">
        <f t="shared" si="3"/>
        <v/>
      </c>
      <c r="D1080" s="208"/>
      <c r="E1080" s="194" t="str">
        <f>IFERROR(__xludf.DUMMYFUNCTION("IF(D1080&lt;&gt;"""",SPLIT(D1080,"" 
""),)"),"")</f>
        <v/>
      </c>
    </row>
    <row r="1081">
      <c r="A1081" s="26" t="str">
        <f t="shared" si="1"/>
        <v/>
      </c>
      <c r="B1081" s="26" t="str">
        <f t="shared" si="2"/>
        <v/>
      </c>
      <c r="C1081" s="207" t="str">
        <f t="shared" si="3"/>
        <v/>
      </c>
      <c r="D1081" s="208"/>
      <c r="E1081" s="194" t="str">
        <f>IFERROR(__xludf.DUMMYFUNCTION("IF(D1081&lt;&gt;"""",SPLIT(D1081,"" 
""),)"),"")</f>
        <v/>
      </c>
    </row>
    <row r="1082">
      <c r="A1082" s="26" t="str">
        <f t="shared" si="1"/>
        <v/>
      </c>
      <c r="B1082" s="26" t="str">
        <f t="shared" si="2"/>
        <v/>
      </c>
      <c r="C1082" s="207" t="str">
        <f t="shared" si="3"/>
        <v/>
      </c>
      <c r="D1082" s="208"/>
      <c r="E1082" s="194" t="str">
        <f>IFERROR(__xludf.DUMMYFUNCTION("IF(D1082&lt;&gt;"""",SPLIT(D1082,"" 
""),)"),"")</f>
        <v/>
      </c>
    </row>
    <row r="1083">
      <c r="A1083" s="26" t="str">
        <f t="shared" si="1"/>
        <v/>
      </c>
      <c r="B1083" s="26" t="str">
        <f t="shared" si="2"/>
        <v/>
      </c>
      <c r="C1083" s="207" t="str">
        <f t="shared" si="3"/>
        <v/>
      </c>
      <c r="D1083" s="208"/>
      <c r="E1083" s="194" t="str">
        <f>IFERROR(__xludf.DUMMYFUNCTION("IF(D1083&lt;&gt;"""",SPLIT(D1083,"" 
""),)"),"")</f>
        <v/>
      </c>
    </row>
    <row r="1084">
      <c r="A1084" s="26" t="str">
        <f t="shared" si="1"/>
        <v/>
      </c>
      <c r="B1084" s="26" t="str">
        <f t="shared" si="2"/>
        <v/>
      </c>
      <c r="C1084" s="207" t="str">
        <f t="shared" si="3"/>
        <v/>
      </c>
      <c r="D1084" s="208"/>
      <c r="E1084" s="194" t="str">
        <f>IFERROR(__xludf.DUMMYFUNCTION("IF(D1084&lt;&gt;"""",SPLIT(D1084,"" 
""),)"),"")</f>
        <v/>
      </c>
    </row>
    <row r="1085">
      <c r="A1085" s="26" t="str">
        <f t="shared" si="1"/>
        <v/>
      </c>
      <c r="B1085" s="26" t="str">
        <f t="shared" si="2"/>
        <v/>
      </c>
      <c r="C1085" s="207" t="str">
        <f t="shared" si="3"/>
        <v/>
      </c>
      <c r="D1085" s="208"/>
      <c r="E1085" s="194" t="str">
        <f>IFERROR(__xludf.DUMMYFUNCTION("IF(D1085&lt;&gt;"""",SPLIT(D1085,"" 
""),)"),"")</f>
        <v/>
      </c>
    </row>
    <row r="1086">
      <c r="A1086" s="26" t="str">
        <f t="shared" si="1"/>
        <v/>
      </c>
      <c r="B1086" s="26" t="str">
        <f t="shared" si="2"/>
        <v/>
      </c>
      <c r="C1086" s="207" t="str">
        <f t="shared" si="3"/>
        <v/>
      </c>
      <c r="D1086" s="208"/>
      <c r="E1086" s="194" t="str">
        <f>IFERROR(__xludf.DUMMYFUNCTION("IF(D1086&lt;&gt;"""",SPLIT(D1086,"" 
""),)"),"")</f>
        <v/>
      </c>
    </row>
    <row r="1087">
      <c r="A1087" s="26" t="str">
        <f t="shared" si="1"/>
        <v/>
      </c>
      <c r="B1087" s="26" t="str">
        <f t="shared" si="2"/>
        <v/>
      </c>
      <c r="C1087" s="207" t="str">
        <f t="shared" si="3"/>
        <v/>
      </c>
      <c r="D1087" s="208"/>
      <c r="E1087" s="194" t="str">
        <f>IFERROR(__xludf.DUMMYFUNCTION("IF(D1087&lt;&gt;"""",SPLIT(D1087,"" 
""),)"),"")</f>
        <v/>
      </c>
    </row>
    <row r="1088">
      <c r="A1088" s="26" t="str">
        <f t="shared" si="1"/>
        <v/>
      </c>
      <c r="B1088" s="26" t="str">
        <f t="shared" si="2"/>
        <v/>
      </c>
      <c r="C1088" s="207" t="str">
        <f t="shared" si="3"/>
        <v/>
      </c>
      <c r="D1088" s="208"/>
      <c r="E1088" s="194" t="str">
        <f>IFERROR(__xludf.DUMMYFUNCTION("IF(D1088&lt;&gt;"""",SPLIT(D1088,"" 
""),)"),"")</f>
        <v/>
      </c>
    </row>
    <row r="1089">
      <c r="A1089" s="26" t="str">
        <f t="shared" si="1"/>
        <v/>
      </c>
      <c r="B1089" s="26" t="str">
        <f t="shared" si="2"/>
        <v/>
      </c>
      <c r="C1089" s="207" t="str">
        <f t="shared" si="3"/>
        <v/>
      </c>
      <c r="D1089" s="208"/>
      <c r="E1089" s="194" t="str">
        <f>IFERROR(__xludf.DUMMYFUNCTION("IF(D1089&lt;&gt;"""",SPLIT(D1089,"" 
""),)"),"")</f>
        <v/>
      </c>
    </row>
    <row r="1090">
      <c r="A1090" s="26" t="str">
        <f t="shared" si="1"/>
        <v/>
      </c>
      <c r="B1090" s="26" t="str">
        <f t="shared" si="2"/>
        <v/>
      </c>
      <c r="C1090" s="207" t="str">
        <f t="shared" si="3"/>
        <v/>
      </c>
      <c r="D1090" s="208"/>
      <c r="E1090" s="194" t="str">
        <f>IFERROR(__xludf.DUMMYFUNCTION("IF(D1090&lt;&gt;"""",SPLIT(D1090,"" 
""),)"),"")</f>
        <v/>
      </c>
    </row>
    <row r="1091">
      <c r="A1091" s="26" t="str">
        <f t="shared" si="1"/>
        <v/>
      </c>
      <c r="B1091" s="26" t="str">
        <f t="shared" si="2"/>
        <v/>
      </c>
      <c r="C1091" s="207" t="str">
        <f t="shared" si="3"/>
        <v/>
      </c>
      <c r="D1091" s="208"/>
      <c r="E1091" s="194" t="str">
        <f>IFERROR(__xludf.DUMMYFUNCTION("IF(D1091&lt;&gt;"""",SPLIT(D1091,"" 
""),)"),"")</f>
        <v/>
      </c>
    </row>
    <row r="1092">
      <c r="A1092" s="26" t="str">
        <f t="shared" si="1"/>
        <v/>
      </c>
      <c r="B1092" s="26" t="str">
        <f t="shared" si="2"/>
        <v/>
      </c>
      <c r="C1092" s="207" t="str">
        <f t="shared" si="3"/>
        <v/>
      </c>
      <c r="D1092" s="208"/>
      <c r="E1092" s="194" t="str">
        <f>IFERROR(__xludf.DUMMYFUNCTION("IF(D1092&lt;&gt;"""",SPLIT(D1092,"" 
""),)"),"")</f>
        <v/>
      </c>
    </row>
    <row r="1093">
      <c r="A1093" s="26" t="str">
        <f t="shared" si="1"/>
        <v/>
      </c>
      <c r="B1093" s="26" t="str">
        <f t="shared" si="2"/>
        <v/>
      </c>
      <c r="C1093" s="207" t="str">
        <f t="shared" si="3"/>
        <v/>
      </c>
      <c r="D1093" s="208"/>
      <c r="E1093" s="194" t="str">
        <f>IFERROR(__xludf.DUMMYFUNCTION("IF(D1093&lt;&gt;"""",SPLIT(D1093,"" 
""),)"),"")</f>
        <v/>
      </c>
    </row>
    <row r="1094">
      <c r="A1094" s="26" t="str">
        <f t="shared" si="1"/>
        <v/>
      </c>
      <c r="B1094" s="26" t="str">
        <f t="shared" si="2"/>
        <v/>
      </c>
      <c r="C1094" s="207" t="str">
        <f t="shared" si="3"/>
        <v/>
      </c>
      <c r="D1094" s="208"/>
      <c r="E1094" s="194" t="str">
        <f>IFERROR(__xludf.DUMMYFUNCTION("IF(D1094&lt;&gt;"""",SPLIT(D1094,"" 
""),)"),"")</f>
        <v/>
      </c>
    </row>
    <row r="1095">
      <c r="A1095" s="26" t="str">
        <f t="shared" si="1"/>
        <v/>
      </c>
      <c r="B1095" s="26" t="str">
        <f t="shared" si="2"/>
        <v/>
      </c>
      <c r="C1095" s="207" t="str">
        <f t="shared" si="3"/>
        <v/>
      </c>
      <c r="D1095" s="208"/>
      <c r="E1095" s="194" t="str">
        <f>IFERROR(__xludf.DUMMYFUNCTION("IF(D1095&lt;&gt;"""",SPLIT(D1095,"" 
""),)"),"")</f>
        <v/>
      </c>
    </row>
    <row r="1096">
      <c r="A1096" s="26" t="str">
        <f t="shared" si="1"/>
        <v/>
      </c>
      <c r="B1096" s="26" t="str">
        <f t="shared" si="2"/>
        <v/>
      </c>
      <c r="C1096" s="207" t="str">
        <f t="shared" si="3"/>
        <v/>
      </c>
      <c r="D1096" s="208"/>
      <c r="E1096" s="194" t="str">
        <f>IFERROR(__xludf.DUMMYFUNCTION("IF(D1096&lt;&gt;"""",SPLIT(D1096,"" 
""),)"),"")</f>
        <v/>
      </c>
    </row>
    <row r="1097">
      <c r="A1097" s="26" t="str">
        <f t="shared" si="1"/>
        <v/>
      </c>
      <c r="B1097" s="26" t="str">
        <f t="shared" si="2"/>
        <v/>
      </c>
      <c r="C1097" s="207" t="str">
        <f t="shared" si="3"/>
        <v/>
      </c>
      <c r="D1097" s="208"/>
      <c r="E1097" s="194" t="str">
        <f>IFERROR(__xludf.DUMMYFUNCTION("IF(D1097&lt;&gt;"""",SPLIT(D1097,"" 
""),)"),"")</f>
        <v/>
      </c>
    </row>
    <row r="1098">
      <c r="A1098" s="26" t="str">
        <f t="shared" si="1"/>
        <v/>
      </c>
      <c r="B1098" s="26" t="str">
        <f t="shared" si="2"/>
        <v/>
      </c>
      <c r="C1098" s="207" t="str">
        <f t="shared" si="3"/>
        <v/>
      </c>
      <c r="D1098" s="208"/>
      <c r="E1098" s="194" t="str">
        <f>IFERROR(__xludf.DUMMYFUNCTION("IF(D1098&lt;&gt;"""",SPLIT(D1098,"" 
""),)"),"")</f>
        <v/>
      </c>
    </row>
    <row r="1099">
      <c r="A1099" s="26" t="str">
        <f t="shared" si="1"/>
        <v/>
      </c>
      <c r="B1099" s="26" t="str">
        <f t="shared" si="2"/>
        <v/>
      </c>
      <c r="C1099" s="207" t="str">
        <f t="shared" si="3"/>
        <v/>
      </c>
      <c r="D1099" s="208"/>
      <c r="E1099" s="194" t="str">
        <f>IFERROR(__xludf.DUMMYFUNCTION("IF(D1099&lt;&gt;"""",SPLIT(D1099,"" 
""),)"),"")</f>
        <v/>
      </c>
    </row>
    <row r="1100">
      <c r="A1100" s="26" t="str">
        <f t="shared" si="1"/>
        <v/>
      </c>
      <c r="B1100" s="26" t="str">
        <f t="shared" si="2"/>
        <v/>
      </c>
      <c r="C1100" s="207" t="str">
        <f t="shared" si="3"/>
        <v/>
      </c>
      <c r="D1100" s="208"/>
      <c r="E1100" s="194" t="str">
        <f>IFERROR(__xludf.DUMMYFUNCTION("IF(D1100&lt;&gt;"""",SPLIT(D1100,"" 
""),)"),"")</f>
        <v/>
      </c>
    </row>
    <row r="1101">
      <c r="A1101" s="26" t="str">
        <f t="shared" si="1"/>
        <v/>
      </c>
      <c r="B1101" s="26" t="str">
        <f t="shared" si="2"/>
        <v/>
      </c>
      <c r="C1101" s="207" t="str">
        <f t="shared" si="3"/>
        <v/>
      </c>
      <c r="D1101" s="208"/>
      <c r="E1101" s="194" t="str">
        <f>IFERROR(__xludf.DUMMYFUNCTION("IF(D1101&lt;&gt;"""",SPLIT(D1101,"" 
""),)"),"")</f>
        <v/>
      </c>
    </row>
    <row r="1102">
      <c r="A1102" s="26" t="str">
        <f t="shared" si="1"/>
        <v/>
      </c>
      <c r="B1102" s="26" t="str">
        <f t="shared" si="2"/>
        <v/>
      </c>
      <c r="C1102" s="207" t="str">
        <f t="shared" si="3"/>
        <v/>
      </c>
      <c r="D1102" s="208"/>
      <c r="E1102" s="194" t="str">
        <f>IFERROR(__xludf.DUMMYFUNCTION("IF(D1102&lt;&gt;"""",SPLIT(D1102,"" 
""),)"),"")</f>
        <v/>
      </c>
    </row>
    <row r="1103">
      <c r="A1103" s="26" t="str">
        <f t="shared" si="1"/>
        <v/>
      </c>
      <c r="B1103" s="26" t="str">
        <f t="shared" si="2"/>
        <v/>
      </c>
      <c r="C1103" s="207" t="str">
        <f t="shared" si="3"/>
        <v/>
      </c>
      <c r="D1103" s="208"/>
      <c r="E1103" s="194" t="str">
        <f>IFERROR(__xludf.DUMMYFUNCTION("IF(D1103&lt;&gt;"""",SPLIT(D1103,"" 
""),)"),"")</f>
        <v/>
      </c>
    </row>
    <row r="1104">
      <c r="A1104" s="26" t="str">
        <f t="shared" si="1"/>
        <v/>
      </c>
      <c r="B1104" s="26" t="str">
        <f t="shared" si="2"/>
        <v/>
      </c>
      <c r="C1104" s="207" t="str">
        <f t="shared" si="3"/>
        <v/>
      </c>
      <c r="D1104" s="208"/>
      <c r="E1104" s="194" t="str">
        <f>IFERROR(__xludf.DUMMYFUNCTION("IF(D1104&lt;&gt;"""",SPLIT(D1104,"" 
""),)"),"")</f>
        <v/>
      </c>
    </row>
    <row r="1105">
      <c r="A1105" s="26" t="str">
        <f t="shared" si="1"/>
        <v/>
      </c>
      <c r="B1105" s="26" t="str">
        <f t="shared" si="2"/>
        <v/>
      </c>
      <c r="C1105" s="207" t="str">
        <f t="shared" si="3"/>
        <v/>
      </c>
      <c r="D1105" s="208"/>
      <c r="E1105" s="194" t="str">
        <f>IFERROR(__xludf.DUMMYFUNCTION("IF(D1105&lt;&gt;"""",SPLIT(D1105,"" 
""),)"),"")</f>
        <v/>
      </c>
    </row>
    <row r="1106">
      <c r="A1106" s="26" t="str">
        <f t="shared" si="1"/>
        <v/>
      </c>
      <c r="B1106" s="26" t="str">
        <f t="shared" si="2"/>
        <v/>
      </c>
      <c r="C1106" s="207" t="str">
        <f t="shared" si="3"/>
        <v/>
      </c>
      <c r="D1106" s="208"/>
      <c r="E1106" s="194" t="str">
        <f>IFERROR(__xludf.DUMMYFUNCTION("IF(D1106&lt;&gt;"""",SPLIT(D1106,"" 
""),)"),"")</f>
        <v/>
      </c>
    </row>
    <row r="1107">
      <c r="A1107" s="26" t="str">
        <f t="shared" si="1"/>
        <v/>
      </c>
      <c r="B1107" s="26" t="str">
        <f t="shared" si="2"/>
        <v/>
      </c>
      <c r="C1107" s="207" t="str">
        <f t="shared" si="3"/>
        <v/>
      </c>
      <c r="D1107" s="208"/>
      <c r="E1107" s="194" t="str">
        <f>IFERROR(__xludf.DUMMYFUNCTION("IF(D1107&lt;&gt;"""",SPLIT(D1107,"" 
""),)"),"")</f>
        <v/>
      </c>
    </row>
    <row r="1108">
      <c r="A1108" s="26" t="str">
        <f t="shared" si="1"/>
        <v/>
      </c>
      <c r="B1108" s="26" t="str">
        <f t="shared" si="2"/>
        <v/>
      </c>
      <c r="C1108" s="207" t="str">
        <f t="shared" si="3"/>
        <v/>
      </c>
      <c r="D1108" s="208"/>
      <c r="E1108" s="194" t="str">
        <f>IFERROR(__xludf.DUMMYFUNCTION("IF(D1108&lt;&gt;"""",SPLIT(D1108,"" 
""),)"),"")</f>
        <v/>
      </c>
    </row>
    <row r="1109">
      <c r="A1109" s="26" t="str">
        <f t="shared" si="1"/>
        <v/>
      </c>
      <c r="B1109" s="26" t="str">
        <f t="shared" si="2"/>
        <v/>
      </c>
      <c r="C1109" s="207" t="str">
        <f t="shared" si="3"/>
        <v/>
      </c>
      <c r="D1109" s="208"/>
      <c r="E1109" s="194" t="str">
        <f>IFERROR(__xludf.DUMMYFUNCTION("IF(D1109&lt;&gt;"""",SPLIT(D1109,"" 
""),)"),"")</f>
        <v/>
      </c>
    </row>
    <row r="1110">
      <c r="A1110" s="26" t="str">
        <f t="shared" si="1"/>
        <v/>
      </c>
      <c r="B1110" s="26" t="str">
        <f t="shared" si="2"/>
        <v/>
      </c>
      <c r="C1110" s="207" t="str">
        <f t="shared" si="3"/>
        <v/>
      </c>
      <c r="D1110" s="208"/>
      <c r="E1110" s="194" t="str">
        <f>IFERROR(__xludf.DUMMYFUNCTION("IF(D1110&lt;&gt;"""",SPLIT(D1110,"" 
""),)"),"")</f>
        <v/>
      </c>
    </row>
    <row r="1111">
      <c r="A1111" s="26" t="str">
        <f t="shared" si="1"/>
        <v/>
      </c>
      <c r="B1111" s="26" t="str">
        <f t="shared" si="2"/>
        <v/>
      </c>
      <c r="C1111" s="207" t="str">
        <f t="shared" si="3"/>
        <v/>
      </c>
      <c r="D1111" s="208"/>
      <c r="E1111" s="194" t="str">
        <f>IFERROR(__xludf.DUMMYFUNCTION("IF(D1111&lt;&gt;"""",SPLIT(D1111,"" 
""),)"),"")</f>
        <v/>
      </c>
    </row>
    <row r="1112">
      <c r="A1112" s="26" t="str">
        <f t="shared" si="1"/>
        <v/>
      </c>
      <c r="B1112" s="26" t="str">
        <f t="shared" si="2"/>
        <v/>
      </c>
      <c r="C1112" s="207" t="str">
        <f t="shared" si="3"/>
        <v/>
      </c>
      <c r="D1112" s="208"/>
      <c r="E1112" s="194" t="str">
        <f>IFERROR(__xludf.DUMMYFUNCTION("IF(D1112&lt;&gt;"""",SPLIT(D1112,"" 
""),)"),"")</f>
        <v/>
      </c>
    </row>
    <row r="1113">
      <c r="A1113" s="26" t="str">
        <f t="shared" si="1"/>
        <v/>
      </c>
      <c r="B1113" s="26" t="str">
        <f t="shared" si="2"/>
        <v/>
      </c>
      <c r="C1113" s="207" t="str">
        <f t="shared" si="3"/>
        <v/>
      </c>
      <c r="D1113" s="208"/>
      <c r="E1113" s="194" t="str">
        <f>IFERROR(__xludf.DUMMYFUNCTION("IF(D1113&lt;&gt;"""",SPLIT(D1113,"" 
""),)"),"")</f>
        <v/>
      </c>
    </row>
    <row r="1114">
      <c r="A1114" s="26" t="str">
        <f t="shared" si="1"/>
        <v/>
      </c>
      <c r="B1114" s="26" t="str">
        <f t="shared" si="2"/>
        <v/>
      </c>
      <c r="C1114" s="207" t="str">
        <f t="shared" si="3"/>
        <v/>
      </c>
      <c r="D1114" s="208"/>
      <c r="E1114" s="194" t="str">
        <f>IFERROR(__xludf.DUMMYFUNCTION("IF(D1114&lt;&gt;"""",SPLIT(D1114,"" 
""),)"),"")</f>
        <v/>
      </c>
    </row>
    <row r="1115">
      <c r="A1115" s="26" t="str">
        <f t="shared" si="1"/>
        <v/>
      </c>
      <c r="B1115" s="26" t="str">
        <f t="shared" si="2"/>
        <v/>
      </c>
      <c r="C1115" s="207" t="str">
        <f t="shared" si="3"/>
        <v/>
      </c>
      <c r="D1115" s="208"/>
      <c r="E1115" s="194" t="str">
        <f>IFERROR(__xludf.DUMMYFUNCTION("IF(D1115&lt;&gt;"""",SPLIT(D1115,"" 
""),)"),"")</f>
        <v/>
      </c>
    </row>
    <row r="1116">
      <c r="A1116" s="26" t="str">
        <f t="shared" si="1"/>
        <v/>
      </c>
      <c r="B1116" s="26" t="str">
        <f t="shared" si="2"/>
        <v/>
      </c>
      <c r="C1116" s="207" t="str">
        <f t="shared" si="3"/>
        <v/>
      </c>
      <c r="D1116" s="208"/>
      <c r="E1116" s="194" t="str">
        <f>IFERROR(__xludf.DUMMYFUNCTION("IF(D1116&lt;&gt;"""",SPLIT(D1116,"" 
""),)"),"")</f>
        <v/>
      </c>
    </row>
    <row r="1117">
      <c r="A1117" s="26" t="str">
        <f t="shared" si="1"/>
        <v/>
      </c>
      <c r="B1117" s="26" t="str">
        <f t="shared" si="2"/>
        <v/>
      </c>
      <c r="C1117" s="207" t="str">
        <f t="shared" si="3"/>
        <v/>
      </c>
      <c r="D1117" s="208"/>
      <c r="E1117" s="194" t="str">
        <f>IFERROR(__xludf.DUMMYFUNCTION("IF(D1117&lt;&gt;"""",SPLIT(D1117,"" 
""),)"),"")</f>
        <v/>
      </c>
    </row>
    <row r="1118">
      <c r="A1118" s="26" t="str">
        <f t="shared" si="1"/>
        <v/>
      </c>
      <c r="B1118" s="26" t="str">
        <f t="shared" si="2"/>
        <v/>
      </c>
      <c r="C1118" s="207" t="str">
        <f t="shared" si="3"/>
        <v/>
      </c>
      <c r="D1118" s="208"/>
      <c r="E1118" s="194" t="str">
        <f>IFERROR(__xludf.DUMMYFUNCTION("IF(D1118&lt;&gt;"""",SPLIT(D1118,"" 
""),)"),"")</f>
        <v/>
      </c>
    </row>
    <row r="1119">
      <c r="A1119" s="26" t="str">
        <f t="shared" si="1"/>
        <v/>
      </c>
      <c r="B1119" s="26" t="str">
        <f t="shared" si="2"/>
        <v/>
      </c>
      <c r="C1119" s="207" t="str">
        <f t="shared" si="3"/>
        <v/>
      </c>
      <c r="D1119" s="208"/>
      <c r="E1119" s="194" t="str">
        <f>IFERROR(__xludf.DUMMYFUNCTION("IF(D1119&lt;&gt;"""",SPLIT(D1119,"" 
""),)"),"")</f>
        <v/>
      </c>
    </row>
    <row r="1120">
      <c r="A1120" s="26" t="str">
        <f t="shared" si="1"/>
        <v/>
      </c>
      <c r="B1120" s="26" t="str">
        <f t="shared" si="2"/>
        <v/>
      </c>
      <c r="C1120" s="207" t="str">
        <f t="shared" si="3"/>
        <v/>
      </c>
      <c r="D1120" s="208"/>
      <c r="E1120" s="194" t="str">
        <f>IFERROR(__xludf.DUMMYFUNCTION("IF(D1120&lt;&gt;"""",SPLIT(D1120,"" 
""),)"),"")</f>
        <v/>
      </c>
    </row>
    <row r="1121">
      <c r="A1121" s="26" t="str">
        <f t="shared" si="1"/>
        <v/>
      </c>
      <c r="B1121" s="26" t="str">
        <f t="shared" si="2"/>
        <v/>
      </c>
      <c r="C1121" s="207" t="str">
        <f t="shared" si="3"/>
        <v/>
      </c>
      <c r="D1121" s="208"/>
      <c r="E1121" s="194" t="str">
        <f>IFERROR(__xludf.DUMMYFUNCTION("IF(D1121&lt;&gt;"""",SPLIT(D1121,"" 
""),)"),"")</f>
        <v/>
      </c>
    </row>
    <row r="1122">
      <c r="A1122" s="26" t="str">
        <f t="shared" si="1"/>
        <v/>
      </c>
      <c r="B1122" s="26" t="str">
        <f t="shared" si="2"/>
        <v/>
      </c>
      <c r="C1122" s="207" t="str">
        <f t="shared" si="3"/>
        <v/>
      </c>
      <c r="D1122" s="208"/>
      <c r="E1122" s="194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