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Wallet" sheetId="2" r:id="rId5"/>
    <sheet state="visible" name="Evolution" sheetId="3" r:id="rId6"/>
    <sheet state="visible" name="Interest" sheetId="4" r:id="rId7"/>
    <sheet state="visible" name="Transfer" sheetId="5" r:id="rId8"/>
    <sheet state="visible" name="Token" sheetId="6" r:id="rId9"/>
    <sheet state="visible" name="Price" sheetId="7" r:id="rId10"/>
    <sheet state="visible" name="Historic" sheetId="8" r:id="rId11"/>
    <sheet state="visible" name="PriceCache" sheetId="9" r:id="rId12"/>
    <sheet state="hidden" name="_Larix" sheetId="10" r:id="rId13"/>
    <sheet state="visible" name="FiMs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From bank account to crypto</t>
      </text>
    </comment>
    <comment authorId="0" ref="A6">
      <text>
        <t xml:space="preserve">Trying some strategies...</t>
      </text>
    </comment>
    <comment authorId="0" ref="A7">
      <text>
        <t xml:space="preserve">Price change from buy to sell</t>
      </text>
    </comment>
    <comment authorId="0" ref="C9">
      <text>
        <t xml:space="preserve">Sum of FSOL and SOL</t>
      </text>
    </comment>
    <comment authorId="0" ref="B14">
      <text>
        <t xml:space="preserve">BSOL / SOL ratio</t>
      </text>
    </comment>
    <comment authorId="0" ref="D14">
      <text>
        <t xml:space="preserve">Bough price vs Current price</t>
      </text>
    </comment>
    <comment authorId="0" ref="B15">
      <text>
        <t xml:space="preserve">BSOL / SOL ratio</t>
      </text>
    </comment>
    <comment authorId="0" ref="D15">
      <text>
        <t xml:space="preserve">Daily Progress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Use BSOL address instead of FSOL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Supplied fiat</t>
      </text>
    </comment>
    <comment authorId="0" ref="B6">
      <text>
        <t xml:space="preserve">Special formula to calculate FiMs Token interest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=HLOOKUP("*(SOL)*",Price!$A:$BZ,2,0)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FiMs SOL Debt</t>
      </text>
    </comment>
    <comment authorId="0" ref="K3">
      <text>
        <t xml:space="preserve">FiMs Token Debt</t>
      </text>
    </comment>
    <comment authorId="0" ref="D4">
      <text>
        <t xml:space="preserve">TO REMOVE somehow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/!\ SHOULD STAY EMPTY /!\</t>
      </text>
    </comment>
    <comment authorId="0" ref="E4">
      <text>
        <t xml:space="preserve">Special Formula for FiMs Token</t>
      </text>
    </comment>
    <comment authorId="0" ref="E5">
      <text>
        <t xml:space="preserve">Special Formula for Euro</t>
      </text>
    </comment>
    <comment authorId="0" ref="E6">
      <text>
        <t xml:space="preserve">Special Formula for Nexo Token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Number of FiMs Sol minted</t>
      </text>
    </comment>
    <comment authorId="0" ref="B2">
      <text>
        <t xml:space="preserve">Number of FiMs Sol minted</t>
      </text>
    </comment>
    <comment authorId="0" ref="B3">
      <text>
        <t xml:space="preserve">Number of FiMs token minted</t>
      </text>
    </comment>
    <comment authorId="0" ref="B8">
      <text>
        <t xml:space="preserve">INSERT HERE: Nexo Flex rate in Interest Breakdown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<sst xmlns="http://schemas.openxmlformats.org/spreadsheetml/2006/main" count="837" uniqueCount="667">
  <si>
    <t>Currency</t>
  </si>
  <si>
    <t>SOL</t>
  </si>
  <si>
    <t>EUR</t>
  </si>
  <si>
    <t>%</t>
  </si>
  <si>
    <t>Assets</t>
  </si>
  <si>
    <t>Gains</t>
  </si>
  <si>
    <t>Transfered</t>
  </si>
  <si>
    <t>Transfer cost</t>
  </si>
  <si>
    <t>Strategy cost</t>
  </si>
  <si>
    <t>Price change</t>
  </si>
  <si>
    <t>Charity</t>
  </si>
  <si>
    <t>TOTAL</t>
  </si>
  <si>
    <t>Bought Price</t>
  </si>
  <si>
    <t>Profit</t>
  </si>
  <si>
    <t>Underlying</t>
  </si>
  <si>
    <t>TokenName</t>
  </si>
  <si>
    <t>Address</t>
  </si>
  <si>
    <t>Amount</t>
  </si>
  <si>
    <t>Price</t>
  </si>
  <si>
    <t>Value</t>
  </si>
  <si>
    <t>Total</t>
  </si>
  <si>
    <t>Cache</t>
  </si>
  <si>
    <t>58kZBjjtHShTtXFmygr3ZT8VSU4dH28PanRAdouHbToh</t>
  </si>
  <si>
    <t>5uXKZWCYbaKwFMwu9BxMGEYowbhuG34qqYkg36hL5YvG</t>
  </si>
  <si>
    <t>_Data</t>
  </si>
  <si>
    <t>FSOL</t>
  </si>
  <si>
    <t>bSo13r4TkiE4KumL71LsHTPpL2euBYLFx6h9HP3piy1</t>
  </si>
  <si>
    <t>BLZE</t>
  </si>
  <si>
    <t>JUP</t>
  </si>
  <si>
    <t>HUBSOL</t>
  </si>
  <si>
    <t>BTC</t>
  </si>
  <si>
    <t>NEXO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</si>
  <si>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</si>
  <si>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</si>
  <si>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</si>
  <si>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</si>
  <si>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</si>
  <si>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</si>
  <si>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</si>
  <si>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</si>
  <si>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</si>
  <si>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</si>
  <si>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</si>
  <si>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</si>
  <si>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</si>
  <si>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</si>
  <si>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</si>
  <si>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14/12/2023</t>
  </si>
  <si>
    <t>13/12/2023</t>
  </si>
  <si>
    <t>APR</t>
  </si>
  <si>
    <t>Account</t>
  </si>
  <si>
    <t>Daily</t>
  </si>
  <si>
    <t>Weekly</t>
  </si>
  <si>
    <t>Monthly</t>
  </si>
  <si>
    <t>Yearly</t>
  </si>
  <si>
    <t>Bitcoin (BTC)</t>
  </si>
  <si>
    <t>Nexo (NEXO)</t>
  </si>
  <si>
    <t>FiMs Token (FiMs)</t>
  </si>
  <si>
    <t>Sent</t>
  </si>
  <si>
    <t>SOL Price</t>
  </si>
  <si>
    <t>Received</t>
  </si>
  <si>
    <t>Transfer Cost</t>
  </si>
  <si>
    <t>Transfer Rate</t>
  </si>
  <si>
    <t>Token</t>
  </si>
  <si>
    <t>Name</t>
  </si>
  <si>
    <t>MintAddress</t>
  </si>
  <si>
    <t>Available</t>
  </si>
  <si>
    <t>Yearly Yield</t>
  </si>
  <si>
    <t>Inception Yield</t>
  </si>
  <si>
    <t>Inception Price</t>
  </si>
  <si>
    <t>Duration</t>
  </si>
  <si>
    <t>Function</t>
  </si>
  <si>
    <t>Formula</t>
  </si>
  <si>
    <t>FiMs SOL</t>
  </si>
  <si>
    <t>3ZHSygcxRck5XzBRqVnkm2s4NECKXzGyfCLXRqF4Dtmw</t>
  </si>
  <si>
    <t>FiMs</t>
  </si>
  <si>
    <t>FiMs Token</t>
  </si>
  <si>
    <t>D84wZMJRoievKkRaquXXrYSMuU5mA46RznCSrJ9HSK1u</t>
  </si>
  <si>
    <t>€</t>
  </si>
  <si>
    <t>Euro</t>
  </si>
  <si>
    <t>Pnsjp9dbenPeFZWqqPHDygzkCZ4Gr37G8mgdRK2KjQp</t>
  </si>
  <si>
    <t>Nexo</t>
  </si>
  <si>
    <t>0xb62132e35a6c13ee1ee0f84dc5d40bad8d815206</t>
  </si>
  <si>
    <t>Bitcoin</t>
  </si>
  <si>
    <t>3NZ9JMVBmGAqocybic2c7LQCJScmgsAZ6vQqTDzcqmJh</t>
  </si>
  <si>
    <t>Solana</t>
  </si>
  <si>
    <t>So11111111111111111111111111111111111111112</t>
  </si>
  <si>
    <t>Jupiter</t>
  </si>
  <si>
    <t>JUPyiwrYJFskUPiHa7hkeR8VUtAeFoSYbKedZNsDvCN</t>
  </si>
  <si>
    <t>Blaze</t>
  </si>
  <si>
    <t>BLZEEuZUBVqFhj8adcCFPJvPVCiCyVmh3hkJMrU8KuJA</t>
  </si>
  <si>
    <t>Solana Hub</t>
  </si>
  <si>
    <t>HUBsveNpjo5pWqNkH57QzxjQASdTVXcSK7bVKTSZtcSX</t>
  </si>
  <si>
    <t>EUR to USD</t>
  </si>
  <si>
    <t>Euro (€)</t>
  </si>
  <si>
    <t>Solana (SOL)</t>
  </si>
  <si>
    <t>Jupiter (JUP)</t>
  </si>
  <si>
    <t>Blaze (BLZE)</t>
  </si>
  <si>
    <t>Solana Hub (HUBSOL)</t>
  </si>
  <si>
    <t>Profit rate</t>
  </si>
  <si>
    <t>Last updated</t>
  </si>
  <si>
    <t>FiMs SOL (FSOL)</t>
  </si>
  <si>
    <t>bSOL</t>
  </si>
  <si>
    <t>WBTC</t>
  </si>
  <si>
    <t>hubSOL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</si>
  <si>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</si>
  <si>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</si>
  <si>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</si>
  <si>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</si>
  <si>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</si>
  <si>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</si>
  <si>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</si>
  <si>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</si>
  <si>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</si>
  <si>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</si>
  <si>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</si>
  <si>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</si>
  <si>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</si>
  <si>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</si>
  <si>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</si>
  <si>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</si>
  <si>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</si>
  <si>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</si>
  <si>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</si>
  <si>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</si>
  <si>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</si>
  <si>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</si>
  <si>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</si>
  <si>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</si>
  <si>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</si>
  <si>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</si>
  <si>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</si>
  <si>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</si>
  <si>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</si>
  <si>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</si>
  <si>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</si>
  <si>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</si>
  <si>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</si>
  <si>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</si>
  <si>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</si>
  <si>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</si>
  <si>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</si>
  <si>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</si>
  <si>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</si>
  <si>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</si>
  <si>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</si>
  <si>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</si>
  <si>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</si>
  <si>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</si>
  <si>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</si>
  <si>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</si>
  <si>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</si>
  <si>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</si>
  <si>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</si>
  <si>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</si>
  <si>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</si>
  <si>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</si>
  <si>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</si>
  <si>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</si>
  <si>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</si>
  <si>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</si>
  <si>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</si>
  <si>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</si>
  <si>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</si>
  <si>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</si>
  <si>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</si>
  <si>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</si>
  <si>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</si>
  <si>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</si>
  <si>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</si>
  <si>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</si>
  <si>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</si>
  <si>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</si>
  <si>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</si>
  <si>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</si>
  <si>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</si>
  <si>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</si>
  <si>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</si>
  <si>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</si>
  <si>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FiMs SOL count</t>
  </si>
  <si>
    <t>FiMs Token count</t>
  </si>
  <si>
    <t>Euro count</t>
  </si>
  <si>
    <t>FiMs Charity</t>
  </si>
  <si>
    <t>FiMs Transfer</t>
  </si>
  <si>
    <t>NEXO Holdings</t>
  </si>
  <si>
    <t>NEXO Gain</t>
  </si>
  <si>
    <t>NEXO Interest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</si>
  <si>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</si>
  <si>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</si>
  <si>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</si>
  <si>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</si>
  <si>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</si>
  <si>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</si>
  <si>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</si>
  <si>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</si>
  <si>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</si>
  <si>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</si>
  <si>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</si>
  <si>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</si>
  <si>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</si>
  <si>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</si>
  <si>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</si>
  <si>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</si>
  <si>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</si>
  <si>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</si>
  <si>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</si>
  <si>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</si>
  <si>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</si>
  <si>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</si>
  <si>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</si>
  <si>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</si>
  <si>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</si>
  <si>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</si>
  <si>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</si>
  <si>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</si>
  <si>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</si>
  <si>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</si>
  <si>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</si>
  <si>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</si>
  <si>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</si>
  <si>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</si>
  <si>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USDT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</si>
  <si>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</si>
  <si>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</si>
  <si>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</si>
  <si>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</si>
  <si>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</si>
  <si>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</si>
  <si>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</si>
  <si>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</si>
  <si>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</si>
  <si>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</si>
  <si>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</si>
  <si>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</si>
  <si>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</si>
  <si>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</si>
  <si>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</si>
  <si>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</si>
  <si>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</si>
  <si>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</si>
  <si>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</si>
  <si>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</si>
  <si>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</si>
  <si>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</si>
  <si>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</si>
  <si>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</si>
  <si>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</si>
  <si>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</si>
  <si>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</si>
  <si>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</si>
  <si>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</si>
  <si>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</si>
  <si>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</si>
  <si>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</si>
  <si>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</si>
  <si>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</si>
  <si>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</si>
  <si>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</si>
  <si>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</si>
  <si>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</si>
  <si>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</si>
  <si>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</si>
  <si>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</si>
  <si>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</si>
  <si>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</si>
  <si>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</si>
  <si>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</si>
  <si>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</si>
  <si>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</si>
  <si>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</si>
  <si>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</si>
  <si>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</si>
  <si>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</si>
  <si>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</si>
  <si>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</si>
  <si>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</si>
  <si>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</si>
  <si>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</si>
  <si>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</si>
  <si>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</si>
  <si>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</si>
  <si>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</si>
  <si>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</si>
  <si>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</si>
  <si>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</si>
  <si>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</si>
  <si>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</si>
  <si>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</si>
  <si>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</si>
  <si>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</si>
  <si>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</si>
  <si>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</si>
  <si>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</si>
  <si>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</si>
  <si>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</si>
  <si>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</si>
  <si>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</si>
  <si>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</si>
  <si>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</si>
  <si>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</si>
  <si>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</si>
  <si>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</si>
  <si>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</si>
  <si>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</si>
  <si>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</si>
  <si>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</si>
  <si>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</si>
  <si>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</si>
  <si>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</si>
  <si>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</si>
  <si>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</si>
  <si>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</si>
  <si>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</si>
  <si>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</si>
  <si>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</si>
  <si>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</si>
  <si>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</si>
  <si>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</si>
  <si>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</si>
  <si>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</si>
  <si>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</si>
  <si>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</si>
  <si>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</si>
  <si>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</si>
  <si>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</si>
  <si>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</si>
  <si>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</si>
  <si>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</si>
  <si>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</si>
  <si>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</si>
  <si>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</si>
  <si>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</si>
  <si>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</si>
  <si>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</si>
  <si>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</si>
  <si>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</si>
  <si>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</si>
  <si>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</si>
  <si>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</si>
  <si>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</si>
  <si>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</si>
  <si>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</si>
  <si>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</si>
  <si>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</si>
  <si>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</si>
  <si>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</si>
  <si>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</si>
  <si>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</si>
  <si>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</si>
  <si>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</si>
  <si>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</si>
  <si>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</si>
  <si>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</si>
  <si>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</si>
  <si>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</si>
  <si>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</si>
  <si>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</si>
  <si>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</si>
  <si>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</si>
  <si>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</si>
  <si>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</si>
  <si>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</si>
  <si>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</si>
  <si>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</si>
  <si>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</si>
  <si>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</si>
  <si>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</si>
  <si>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</si>
  <si>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</si>
  <si>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</si>
  <si>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</si>
  <si>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</si>
  <si>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</si>
  <si>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</si>
  <si>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</si>
  <si>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</si>
  <si>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</si>
  <si>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</si>
  <si>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</si>
  <si>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</si>
  <si>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</si>
  <si>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</si>
  <si>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</si>
  <si>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</si>
  <si>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</si>
  <si>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</si>
  <si>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</si>
  <si>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</si>
  <si>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</si>
  <si>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</si>
  <si>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</si>
  <si>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</si>
  <si>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</si>
  <si>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</si>
  <si>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</si>
  <si>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</si>
  <si>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</si>
  <si>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</si>
  <si>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</si>
  <si>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</si>
  <si>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</si>
  <si>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</si>
  <si>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</si>
  <si>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</si>
  <si>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</si>
  <si>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</si>
  <si>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</si>
  <si>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</si>
  <si>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</si>
  <si>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</si>
  <si>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</si>
  <si>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</si>
  <si>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</si>
  <si>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</si>
  <si>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</si>
  <si>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</si>
  <si>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</si>
  <si>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</si>
  <si>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</si>
  <si>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</si>
  <si>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</si>
  <si>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</si>
  <si>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</si>
  <si>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</si>
  <si>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</si>
  <si>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</si>
  <si>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</si>
  <si>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</si>
  <si>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</si>
  <si>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</si>
  <si>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</si>
  <si>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</si>
  <si>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</si>
  <si>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</si>
  <si>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</si>
  <si>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</si>
  <si>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</si>
  <si>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</si>
  <si>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</si>
  <si>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</si>
  <si>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</si>
  <si>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</si>
  <si>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</si>
  <si>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</si>
  <si>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</si>
  <si>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</si>
  <si>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</si>
  <si>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</si>
  <si>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</si>
  <si>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</si>
  <si>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</si>
  <si>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</si>
  <si>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</si>
  <si>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</si>
  <si>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</si>
  <si>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</si>
  <si>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</si>
  <si>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</si>
  <si>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</si>
  <si>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</si>
  <si>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</si>
  <si>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</si>
  <si>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</si>
  <si>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</si>
  <si>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</si>
  <si>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</si>
  <si>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</si>
  <si>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</si>
  <si>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</si>
  <si>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</si>
  <si>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</si>
  <si>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</si>
  <si>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</si>
  <si>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</si>
  <si>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</si>
  <si>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</si>
  <si>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</si>
  <si>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</si>
  <si>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</si>
  <si>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</si>
  <si>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</si>
  <si>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</si>
  <si>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</si>
  <si>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</si>
  <si>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</si>
  <si>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</si>
  <si>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</si>
  <si>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</si>
  <si>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</si>
  <si>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</si>
  <si>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</si>
  <si>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</si>
  <si>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USDC</t>
  </si>
  <si>
    <t>UST</t>
  </si>
  <si>
    <t>UXD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</si>
  <si>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</si>
  <si>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</si>
  <si>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</si>
  <si>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</si>
  <si>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</si>
  <si>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</si>
  <si>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</si>
  <si>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</si>
  <si>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</si>
  <si>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APT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</si>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</sst>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M/d/yyyy"/>
    <numFmt numFmtId="165" formatCode="#,##0.00\ [$€-1]"/>
    <numFmt numFmtId="166" formatCode="#,##0.0000"/>
    <numFmt numFmtId="167" formatCode="#,##0.000\ [$€-1]"/>
    <numFmt numFmtId="168" formatCode="#,##0.0000\ [$€-1]"/>
    <numFmt numFmtId="169" formatCode="#,##0.000"/>
    <numFmt numFmtId="170" formatCode="[$ €]#,##0.00"/>
    <numFmt numFmtId="171" formatCode="dd/MM/yyyy"/>
    <numFmt numFmtId="172" formatCode="#,##0.00##\ [$€-1]"/>
    <numFmt numFmtId="173" formatCode="#,##0.00[$ €]"/>
    <numFmt numFmtId="174" formatCode="#,##0\ [$€-1]"/>
    <numFmt numFmtId="175" formatCode="&quot;$&quot;#,##0.00"/>
    <numFmt numFmtId="176" formatCode="&quot;$&quot;#,##0.00000"/>
    <numFmt numFmtId="177" formatCode="#,##0.00 €"/>
    <numFmt numFmtId="178" formatCode="0.000"/>
    <numFmt numFmtId="179" formatCode="&quot;$&quot;#,##0.000"/>
    <numFmt numFmtId="180" formatCode="M/d/yyyy H:mm:ss"/>
    <numFmt numFmtId="181" formatCode="[$ €]#,##0.000"/>
    <numFmt numFmtId="182" formatCode="[$ €]#,##0"/>
    <numFmt numFmtId="183" formatCode="[$ €]#,##0.0000"/>
    <numFmt numFmtId="184" formatCode="#,##0.00000"/>
    <numFmt numFmtId="185" formatCode="&quot;$&quot;#,##0.000000"/>
    <numFmt numFmtId="186" formatCode="&quot;$&quot;#,##0"/>
    <numFmt numFmtId="187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ourier New"/>
    </font>
    <font>
      <b/>
      <color theme="1"/>
      <name val="Courier New"/>
    </font>
    <font>
      <b/>
      <i/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2" xfId="0" applyAlignment="1" applyBorder="1" applyFont="1" applyNumberFormat="1">
      <alignment horizontal="right" vertical="bottom"/>
    </xf>
    <xf borderId="0" fillId="0" fontId="3" numFmtId="165" xfId="0" applyFont="1" applyNumberFormat="1"/>
    <xf borderId="0" fillId="0" fontId="3" numFmtId="10" xfId="0" applyFont="1" applyNumberFormat="1"/>
    <xf borderId="3" fillId="0" fontId="1" numFmtId="0" xfId="0" applyAlignment="1" applyBorder="1" applyFont="1">
      <alignment horizontal="center" readingOrder="0"/>
    </xf>
    <xf borderId="4" fillId="0" fontId="3" numFmtId="4" xfId="0" applyBorder="1" applyFont="1" applyNumberFormat="1"/>
    <xf borderId="4" fillId="0" fontId="3" numFmtId="165" xfId="0" applyBorder="1" applyFont="1" applyNumberFormat="1"/>
    <xf borderId="4" fillId="0" fontId="3" numFmtId="10" xfId="0" applyBorder="1" applyFont="1" applyNumberFormat="1"/>
    <xf borderId="0" fillId="0" fontId="3" numFmtId="2" xfId="0" applyFont="1" applyNumberFormat="1"/>
    <xf borderId="0" fillId="0" fontId="3" numFmtId="4" xfId="0" applyFont="1" applyNumberFormat="1"/>
    <xf borderId="0" fillId="0" fontId="3" numFmtId="2" xfId="0" applyAlignment="1" applyFont="1" applyNumberFormat="1">
      <alignment readingOrder="0"/>
    </xf>
    <xf borderId="4" fillId="0" fontId="3" numFmtId="2" xfId="0" applyBorder="1" applyFont="1" applyNumberFormat="1"/>
    <xf borderId="5" fillId="0" fontId="3" numFmtId="10" xfId="0" applyBorder="1" applyFont="1" applyNumberFormat="1"/>
    <xf borderId="0" fillId="0" fontId="2" numFmtId="10" xfId="0" applyAlignment="1" applyFont="1" applyNumberFormat="1">
      <alignment horizontal="right" vertical="bottom"/>
    </xf>
    <xf borderId="6" fillId="0" fontId="1" numFmtId="0" xfId="0" applyAlignment="1" applyBorder="1" applyFont="1">
      <alignment horizontal="center" readingOrder="0"/>
    </xf>
    <xf borderId="5" fillId="0" fontId="1" numFmtId="4" xfId="0" applyBorder="1" applyFont="1" applyNumberFormat="1"/>
    <xf borderId="5" fillId="0" fontId="1" numFmtId="165" xfId="0" applyBorder="1" applyFont="1" applyNumberFormat="1"/>
    <xf borderId="5" fillId="0" fontId="1" numFmtId="10" xfId="0" applyBorder="1" applyFont="1" applyNumberFormat="1"/>
    <xf borderId="0" fillId="0" fontId="3" numFmtId="166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4" fontId="1" numFmtId="2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1" fillId="0" fontId="3" numFmtId="167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2" fillId="0" fontId="3" numFmtId="168" xfId="0" applyAlignment="1" applyBorder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5" fontId="6" numFmtId="0" xfId="0" applyAlignment="1" applyFill="1" applyFont="1">
      <alignment horizontal="center" vertical="bottom"/>
    </xf>
    <xf borderId="2" fillId="6" fontId="6" numFmtId="0" xfId="0" applyAlignment="1" applyBorder="1" applyFill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2" fillId="7" fontId="6" numFmtId="170" xfId="0" applyAlignment="1" applyBorder="1" applyFill="1" applyFont="1" applyNumberFormat="1">
      <alignment horizontal="center" vertical="bottom"/>
    </xf>
    <xf borderId="0" fillId="7" fontId="6" numFmtId="0" xfId="0" applyAlignment="1" applyFont="1">
      <alignment horizontal="center" readingOrder="0" vertical="bottom"/>
    </xf>
    <xf borderId="1" fillId="7" fontId="6" numFmtId="0" xfId="0" applyAlignment="1" applyBorder="1" applyFont="1">
      <alignment horizontal="center" readingOrder="0" vertical="bottom"/>
    </xf>
    <xf borderId="0" fillId="8" fontId="6" numFmtId="170" xfId="0" applyAlignment="1" applyFill="1" applyFont="1" applyNumberFormat="1">
      <alignment horizontal="center" readingOrder="0" vertical="bottom"/>
    </xf>
    <xf borderId="0" fillId="8" fontId="6" numFmtId="0" xfId="0" applyAlignment="1" applyFont="1">
      <alignment horizontal="center" readingOrder="0" vertical="bottom"/>
    </xf>
    <xf borderId="2" fillId="9" fontId="6" numFmtId="0" xfId="0" applyAlignment="1" applyBorder="1" applyFill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9" fontId="6" numFmtId="170" xfId="0" applyAlignment="1" applyFont="1" applyNumberFormat="1">
      <alignment horizontal="center" readingOrder="0" vertical="bottom"/>
    </xf>
    <xf borderId="0" fillId="0" fontId="2" numFmtId="171" xfId="0" applyAlignment="1" applyFont="1" applyNumberFormat="1">
      <alignment horizontal="right" vertical="bottom"/>
    </xf>
    <xf borderId="2" fillId="0" fontId="3" numFmtId="172" xfId="0" applyBorder="1" applyFont="1" applyNumberFormat="1"/>
    <xf borderId="1" fillId="0" fontId="3" numFmtId="10" xfId="0" applyBorder="1" applyFont="1" applyNumberFormat="1"/>
    <xf borderId="2" fillId="0" fontId="1" numFmtId="170" xfId="0" applyAlignment="1" applyBorder="1" applyFont="1" applyNumberFormat="1">
      <alignment horizontal="right" readingOrder="0"/>
    </xf>
    <xf borderId="0" fillId="0" fontId="3" numFmtId="170" xfId="0" applyAlignment="1" applyFont="1" applyNumberFormat="1">
      <alignment readingOrder="0"/>
    </xf>
    <xf borderId="2" fillId="0" fontId="3" numFmtId="10" xfId="0" applyBorder="1" applyFont="1" applyNumberFormat="1"/>
    <xf borderId="0" fillId="0" fontId="3" numFmtId="170" xfId="0" applyFont="1" applyNumberFormat="1"/>
    <xf borderId="0" fillId="0" fontId="1" numFmtId="4" xfId="0" applyFont="1" applyNumberFormat="1"/>
    <xf borderId="0" fillId="0" fontId="2" numFmtId="171" xfId="0" applyAlignment="1" applyFont="1" applyNumberFormat="1">
      <alignment horizontal="right" readingOrder="0" vertical="bottom"/>
    </xf>
    <xf borderId="2" fillId="0" fontId="3" numFmtId="172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2" fillId="0" fontId="3" numFmtId="10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2" fillId="0" fontId="3" numFmtId="170" xfId="0" applyAlignment="1" applyBorder="1" applyFont="1" applyNumberFormat="1">
      <alignment horizontal="right" readingOrder="0"/>
    </xf>
    <xf borderId="1" fillId="0" fontId="2" numFmtId="171" xfId="0" applyAlignment="1" applyBorder="1" applyFont="1" applyNumberFormat="1">
      <alignment horizontal="right" vertical="bottom"/>
    </xf>
    <xf borderId="0" fillId="0" fontId="2" numFmtId="170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8" fontId="3" numFmtId="170" xfId="0" applyFont="1" applyNumberFormat="1"/>
    <xf borderId="0" fillId="8" fontId="3" numFmtId="10" xfId="0" applyFont="1" applyNumberFormat="1"/>
    <xf borderId="2" fillId="0" fontId="3" numFmtId="170" xfId="0" applyAlignment="1" applyBorder="1" applyFont="1" applyNumberFormat="1">
      <alignment horizontal="right"/>
    </xf>
    <xf borderId="2" fillId="0" fontId="2" numFmtId="170" xfId="0" applyAlignment="1" applyBorder="1" applyFont="1" applyNumberFormat="1">
      <alignment horizontal="right" readingOrder="0" vertical="bottom"/>
    </xf>
    <xf borderId="2" fillId="0" fontId="2" numFmtId="170" xfId="0" applyAlignment="1" applyBorder="1" applyFont="1" applyNumberFormat="1">
      <alignment horizontal="right" vertical="bottom"/>
    </xf>
    <xf borderId="2" fillId="0" fontId="3" numFmtId="170" xfId="0" applyAlignment="1" applyBorder="1" applyFont="1" applyNumberFormat="1">
      <alignment readingOrder="0"/>
    </xf>
    <xf borderId="2" fillId="0" fontId="3" numFmtId="170" xfId="0" applyBorder="1" applyFont="1" applyNumberFormat="1"/>
    <xf borderId="0" fillId="7" fontId="2" numFmtId="171" xfId="0" applyAlignment="1" applyFont="1" applyNumberFormat="1">
      <alignment horizontal="right" readingOrder="0" vertical="bottom"/>
    </xf>
    <xf borderId="2" fillId="7" fontId="3" numFmtId="172" xfId="0" applyBorder="1" applyFont="1" applyNumberFormat="1"/>
    <xf borderId="0" fillId="7" fontId="3" numFmtId="10" xfId="0" applyAlignment="1" applyFont="1" applyNumberFormat="1">
      <alignment readingOrder="0"/>
    </xf>
    <xf borderId="2" fillId="7" fontId="3" numFmtId="170" xfId="0" applyAlignment="1" applyBorder="1" applyFont="1" applyNumberFormat="1">
      <alignment readingOrder="0"/>
    </xf>
    <xf borderId="1" fillId="7" fontId="2" numFmtId="10" xfId="0" applyAlignment="1" applyBorder="1" applyFont="1" applyNumberFormat="1">
      <alignment horizontal="right" vertical="bottom"/>
    </xf>
    <xf borderId="0" fillId="7" fontId="3" numFmtId="170" xfId="0" applyFont="1" applyNumberFormat="1"/>
    <xf borderId="0" fillId="7" fontId="3" numFmtId="10" xfId="0" applyFont="1" applyNumberFormat="1"/>
    <xf borderId="2" fillId="7" fontId="2" numFmtId="10" xfId="0" applyAlignment="1" applyBorder="1" applyFont="1" applyNumberFormat="1">
      <alignment horizontal="right" vertical="bottom"/>
    </xf>
    <xf borderId="0" fillId="7" fontId="2" numFmtId="10" xfId="0" applyAlignment="1" applyFont="1" applyNumberFormat="1">
      <alignment horizontal="right" vertical="bottom"/>
    </xf>
    <xf borderId="0" fillId="7" fontId="2" numFmtId="170" xfId="0" applyAlignment="1" applyFont="1" applyNumberFormat="1">
      <alignment horizontal="right" vertical="bottom"/>
    </xf>
    <xf borderId="0" fillId="7" fontId="2" numFmtId="4" xfId="0" applyAlignment="1" applyFont="1" applyNumberFormat="1">
      <alignment horizontal="right" vertical="bottom"/>
    </xf>
    <xf borderId="1" fillId="5" fontId="1" numFmtId="173" xfId="0" applyAlignment="1" applyBorder="1" applyFont="1" applyNumberFormat="1">
      <alignment horizontal="center" readingOrder="0"/>
    </xf>
    <xf borderId="0" fillId="5" fontId="1" numFmtId="173" xfId="0" applyAlignment="1" applyFont="1" applyNumberFormat="1">
      <alignment horizontal="center" readingOrder="0"/>
    </xf>
    <xf borderId="2" fillId="10" fontId="1" numFmtId="173" xfId="0" applyAlignment="1" applyBorder="1" applyFill="1" applyFont="1" applyNumberFormat="1">
      <alignment horizontal="center" readingOrder="0"/>
    </xf>
    <xf borderId="0" fillId="10" fontId="1" numFmtId="173" xfId="0" applyAlignment="1" applyFont="1" applyNumberFormat="1">
      <alignment horizontal="center" readingOrder="0"/>
    </xf>
    <xf borderId="7" fillId="5" fontId="1" numFmtId="10" xfId="0" applyAlignment="1" applyBorder="1" applyFont="1" applyNumberFormat="1">
      <alignment horizontal="center" readingOrder="0"/>
    </xf>
    <xf borderId="0" fillId="5" fontId="1" numFmtId="10" xfId="0" applyAlignment="1" applyFont="1" applyNumberFormat="1">
      <alignment horizontal="center" readingOrder="0"/>
    </xf>
    <xf borderId="2" fillId="10" fontId="1" numFmtId="170" xfId="0" applyAlignment="1" applyBorder="1" applyFont="1" applyNumberFormat="1">
      <alignment horizontal="center" readingOrder="0"/>
    </xf>
    <xf borderId="0" fillId="10" fontId="1" numFmtId="170" xfId="0" applyAlignment="1" applyFont="1" applyNumberForma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0" fillId="0" fontId="3" numFmtId="9" xfId="0" applyAlignment="1" applyFont="1" applyNumberFormat="1">
      <alignment readingOrder="0"/>
    </xf>
    <xf borderId="2" fillId="10" fontId="3" numFmtId="170" xfId="0" applyAlignment="1" applyBorder="1" applyFont="1" applyNumberFormat="1">
      <alignment readingOrder="0"/>
    </xf>
    <xf borderId="0" fillId="10" fontId="3" numFmtId="170" xfId="0" applyAlignment="1" applyFont="1" applyNumberFormat="1">
      <alignment readingOrder="0"/>
    </xf>
    <xf borderId="0" fillId="11" fontId="1" numFmtId="0" xfId="0" applyAlignment="1" applyFont="1">
      <alignment horizontal="center" readingOrder="0"/>
    </xf>
    <xf borderId="0" fillId="0" fontId="1" numFmtId="10" xfId="0" applyAlignment="1" applyFont="1" applyNumberFormat="1">
      <alignment readingOrder="0"/>
    </xf>
    <xf borderId="2" fillId="2" fontId="1" numFmtId="0" xfId="0" applyAlignment="1" applyBorder="1" applyFont="1">
      <alignment horizontal="center" readingOrder="0"/>
    </xf>
    <xf borderId="0" fillId="2" fontId="1" numFmtId="170" xfId="0" applyAlignment="1" applyFont="1" applyNumberFormat="1">
      <alignment horizontal="center" readingOrder="0"/>
    </xf>
    <xf borderId="2" fillId="7" fontId="7" numFmtId="165" xfId="0" applyAlignment="1" applyBorder="1" applyFont="1" applyNumberFormat="1">
      <alignment horizontal="center" readingOrder="0"/>
    </xf>
    <xf borderId="0" fillId="7" fontId="7" numFmtId="170" xfId="0" applyAlignment="1" applyFont="1" applyNumberFormat="1">
      <alignment horizontal="center" readingOrder="0"/>
    </xf>
    <xf borderId="0" fillId="7" fontId="7" numFmtId="0" xfId="0" applyAlignment="1" applyFont="1">
      <alignment horizontal="center" readingOrder="0"/>
    </xf>
    <xf borderId="2" fillId="2" fontId="1" numFmtId="165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2" fillId="7" fontId="7" numFmtId="4" xfId="0" applyAlignment="1" applyBorder="1" applyFont="1" applyNumberFormat="1">
      <alignment horizontal="center" readingOrder="0"/>
    </xf>
    <xf borderId="0" fillId="7" fontId="7" numFmtId="10" xfId="0" applyAlignment="1" applyFont="1" applyNumberFormat="1">
      <alignment horizontal="center" readingOrder="0"/>
    </xf>
    <xf borderId="2" fillId="0" fontId="1" numFmtId="165" xfId="0" applyAlignment="1" applyBorder="1" applyFont="1" applyNumberFormat="1">
      <alignment readingOrder="0"/>
    </xf>
    <xf borderId="2" fillId="0" fontId="8" numFmtId="4" xfId="0" applyAlignment="1" applyBorder="1" applyFont="1" applyNumberFormat="1">
      <alignment readingOrder="0"/>
    </xf>
    <xf borderId="0" fillId="0" fontId="8" numFmtId="165" xfId="0" applyFont="1" applyNumberFormat="1"/>
    <xf borderId="0" fillId="0" fontId="8" numFmtId="1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2" fillId="0" fontId="1" numFmtId="165" xfId="0" applyBorder="1" applyFont="1" applyNumberFormat="1"/>
    <xf borderId="2" fillId="0" fontId="7" numFmtId="4" xfId="0" applyAlignment="1" applyBorder="1" applyFont="1" applyNumberFormat="1">
      <alignment readingOrder="0"/>
    </xf>
    <xf borderId="0" fillId="12" fontId="6" numFmtId="164" xfId="0" applyAlignment="1" applyFill="1" applyFont="1" applyNumberFormat="1">
      <alignment horizontal="center" vertical="bottom"/>
    </xf>
    <xf borderId="0" fillId="12" fontId="6" numFmtId="0" xfId="0" applyAlignment="1" applyFont="1">
      <alignment horizontal="center" readingOrder="0" vertical="bottom"/>
    </xf>
    <xf borderId="2" fillId="5" fontId="6" numFmtId="4" xfId="0" applyAlignment="1" applyBorder="1" applyFont="1" applyNumberForma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6" numFmtId="4" xfId="0" applyAlignment="1" applyFont="1" applyNumberFormat="1">
      <alignment horizontal="center" readingOrder="0" vertical="bottom"/>
    </xf>
    <xf borderId="2" fillId="9" fontId="6" numFmtId="4" xfId="0" applyAlignment="1" applyBorder="1" applyFont="1" applyNumberFormat="1">
      <alignment horizontal="center" readingOrder="0" vertical="bottom"/>
    </xf>
    <xf borderId="0" fillId="0" fontId="3" numFmtId="165" xfId="0" applyAlignment="1" applyFont="1" applyNumberFormat="1">
      <alignment readingOrder="0"/>
    </xf>
    <xf borderId="2" fillId="0" fontId="3" numFmtId="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174" xfId="0" applyAlignment="1" applyFont="1" applyNumberFormat="1">
      <alignment readingOrder="0"/>
    </xf>
    <xf borderId="0" fillId="0" fontId="4" numFmtId="0" xfId="0" applyFont="1"/>
    <xf borderId="0" fillId="0" fontId="3" numFmtId="167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3" numFmtId="166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5" fontId="1" numFmtId="175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5" fontId="1" numFmtId="170" xfId="0" applyAlignment="1" applyFont="1" applyNumberFormat="1">
      <alignment horizontal="center" readingOrder="0"/>
    </xf>
    <xf borderId="0" fillId="0" fontId="2" numFmtId="17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7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5" fontId="6" numFmtId="164" xfId="0" applyAlignment="1" applyFont="1" applyNumberFormat="1">
      <alignment horizontal="center" vertical="bottom"/>
    </xf>
    <xf borderId="0" fillId="0" fontId="2" numFmtId="177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12" fontId="3" numFmtId="173" xfId="0" applyAlignment="1" applyFont="1" applyNumberFormat="1">
      <alignment horizontal="center" readingOrder="0"/>
    </xf>
    <xf borderId="0" fillId="12" fontId="1" numFmtId="178" xfId="0" applyAlignment="1" applyFont="1" applyNumberFormat="1">
      <alignment horizontal="center" readingOrder="0"/>
    </xf>
    <xf borderId="0" fillId="0" fontId="3" numFmtId="175" xfId="0" applyFont="1" applyNumberFormat="1"/>
    <xf borderId="0" fillId="0" fontId="3" numFmtId="179" xfId="0" applyAlignment="1" applyFont="1" applyNumberFormat="1">
      <alignment readingOrder="0"/>
    </xf>
    <xf borderId="0" fillId="0" fontId="3" numFmtId="18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" numFmtId="178" xfId="0" applyAlignment="1" applyFont="1" applyNumberFormat="1">
      <alignment readingOrder="0"/>
    </xf>
    <xf borderId="0" fillId="0" fontId="3" numFmtId="175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181" xfId="0" applyAlignment="1" applyFont="1" applyNumberFormat="1">
      <alignment readingOrder="0"/>
    </xf>
    <xf borderId="0" fillId="0" fontId="1" numFmtId="178" xfId="0" applyAlignment="1" applyFont="1" applyNumberFormat="1">
      <alignment readingOrder="0"/>
    </xf>
    <xf borderId="0" fillId="0" fontId="10" numFmtId="182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horizontal="right" readingOrder="0"/>
    </xf>
    <xf borderId="0" fillId="0" fontId="10" numFmtId="181" xfId="0" applyAlignment="1" applyFont="1" applyNumberFormat="1">
      <alignment readingOrder="0" shrinkToFit="0" wrapText="1"/>
    </xf>
    <xf borderId="0" fillId="0" fontId="10" numFmtId="170" xfId="0" applyAlignment="1" applyFont="1" applyNumberFormat="1">
      <alignment readingOrder="0" shrinkToFit="0" wrapText="1"/>
    </xf>
    <xf borderId="0" fillId="0" fontId="10" numFmtId="183" xfId="0" applyAlignment="1" applyFont="1" applyNumberFormat="1">
      <alignment readingOrder="0" shrinkToFit="0" wrapText="1"/>
    </xf>
    <xf borderId="0" fillId="0" fontId="3" numFmtId="166" xfId="0" applyAlignment="1" applyFont="1" applyNumberFormat="1">
      <alignment horizontal="right" readingOrder="0"/>
    </xf>
    <xf borderId="0" fillId="0" fontId="10" numFmtId="170" xfId="0" applyAlignment="1" applyFont="1" applyNumberFormat="1">
      <alignment readingOrder="0" shrinkToFit="0" wrapText="1"/>
    </xf>
    <xf borderId="0" fillId="0" fontId="3" numFmtId="0" xfId="0" applyFont="1"/>
    <xf borderId="0" fillId="0" fontId="3" numFmtId="175" xfId="0" applyFont="1" applyNumberFormat="1"/>
    <xf borderId="0" fillId="0" fontId="11" numFmtId="0" xfId="0" applyFont="1"/>
    <xf borderId="0" fillId="0" fontId="3" numFmtId="170" xfId="0" applyAlignment="1" applyFont="1" applyNumberFormat="1">
      <alignment readingOrder="0"/>
    </xf>
    <xf borderId="0" fillId="0" fontId="12" numFmtId="175" xfId="0" applyFont="1" applyNumberFormat="1"/>
    <xf borderId="0" fillId="0" fontId="3" numFmtId="184" xfId="0" applyFont="1" applyNumberFormat="1"/>
    <xf borderId="0" fillId="0" fontId="3" numFmtId="166" xfId="0" applyFont="1" applyNumberFormat="1"/>
    <xf borderId="0" fillId="0" fontId="3" numFmtId="185" xfId="0" applyFont="1" applyNumberFormat="1"/>
    <xf borderId="0" fillId="0" fontId="3" numFmtId="9" xfId="0" applyFont="1" applyNumberFormat="1"/>
    <xf borderId="0" fillId="0" fontId="3" numFmtId="186" xfId="0" applyFont="1" applyNumberFormat="1"/>
    <xf borderId="0" fillId="0" fontId="3" numFmtId="175" xfId="0" applyAlignment="1" applyFont="1" applyNumberFormat="1">
      <alignment horizontal="right" readingOrder="0"/>
    </xf>
    <xf borderId="0" fillId="0" fontId="3" numFmtId="0" xfId="0" applyFont="1"/>
    <xf borderId="2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2" fillId="0" fontId="7" numFmtId="10" xfId="0" applyBorder="1" applyFont="1" applyNumberFormat="1"/>
    <xf borderId="0" fillId="0" fontId="3" numFmtId="187" xfId="0" applyFont="1" applyNumberFormat="1"/>
    <xf borderId="0" fillId="0" fontId="3" numFmtId="21" xfId="0" applyFont="1" applyNumberFormat="1"/>
    <xf borderId="0" fillId="0" fontId="3" numFmtId="3" xfId="0" applyFont="1" applyNumberFormat="1"/>
    <xf borderId="1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9.5"/>
    <col customWidth="1" min="3" max="3" width="12.0"/>
    <col customWidth="1" min="4" max="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f>$C2/$C$15</f>
        <v>6718.94753</v>
      </c>
      <c r="C2" s="6">
        <f>IFERROR(__xludf.DUMMYFUNCTION("SUMPRODUCT(FILTER(Token!$E:$E,Token!$E:$E&gt;0),FILTER(Token!$D:$D,Token!$E:$E&gt;0))"),897008.9039361939)</f>
        <v>897008.9039</v>
      </c>
      <c r="D2" s="7">
        <f>C2/$C$4</f>
        <v>3.081906036</v>
      </c>
    </row>
    <row r="3">
      <c r="A3" s="8" t="s">
        <v>5</v>
      </c>
      <c r="B3" s="9">
        <f t="shared" ref="B3:D3" si="1">B2-B4</f>
        <v>1677.066129</v>
      </c>
      <c r="C3" s="10">
        <f t="shared" si="1"/>
        <v>605952.365</v>
      </c>
      <c r="D3" s="11">
        <f t="shared" si="1"/>
        <v>2.081906036</v>
      </c>
    </row>
    <row r="4">
      <c r="A4" s="4" t="s">
        <v>6</v>
      </c>
      <c r="B4" s="12">
        <f>$C$4/$C$14</f>
        <v>5041.881401</v>
      </c>
      <c r="C4" s="6">
        <f>Transfer!$B$2</f>
        <v>291056.5389</v>
      </c>
      <c r="D4" s="7">
        <f t="shared" ref="D4:D12" si="2">C4/$C$4</f>
        <v>1</v>
      </c>
    </row>
    <row r="5">
      <c r="A5" s="4" t="s">
        <v>7</v>
      </c>
      <c r="B5" s="12">
        <f>$C5/$C$15</f>
        <v>-14.60783536</v>
      </c>
      <c r="C5" s="6">
        <f>-Transfer!$F$2-FiMsData!$B$5</f>
        <v>-1950.209959</v>
      </c>
      <c r="D5" s="7">
        <f t="shared" si="2"/>
        <v>-0.006700450593</v>
      </c>
    </row>
    <row r="6">
      <c r="A6" s="4" t="s">
        <v>8</v>
      </c>
      <c r="B6" s="13">
        <f t="shared" ref="B6:C6" si="3">B$13-(B$4+B$5+B$7+B$8)</f>
        <v>-347.3256138</v>
      </c>
      <c r="C6" s="6">
        <f t="shared" si="3"/>
        <v>-43823.48041</v>
      </c>
      <c r="D6" s="7">
        <f t="shared" si="2"/>
        <v>-0.1505668987</v>
      </c>
    </row>
    <row r="7">
      <c r="A7" s="4" t="s">
        <v>9</v>
      </c>
      <c r="B7" s="14">
        <v>0.0</v>
      </c>
      <c r="C7" s="6">
        <f>(C$15-C$14)*Transfer!$E$2</f>
        <v>379510.6871</v>
      </c>
      <c r="D7" s="7">
        <f t="shared" si="2"/>
        <v>1.303907098</v>
      </c>
    </row>
    <row r="8">
      <c r="A8" s="8" t="s">
        <v>10</v>
      </c>
      <c r="B8" s="15">
        <f t="shared" ref="B8:B12" si="4">$C8/$C$15</f>
        <v>-156.7016788</v>
      </c>
      <c r="C8" s="10">
        <f>-FiMsData!$B$4</f>
        <v>-20920.36</v>
      </c>
      <c r="D8" s="7">
        <f t="shared" si="2"/>
        <v>-0.07187730631</v>
      </c>
    </row>
    <row r="9">
      <c r="A9" s="4" t="str">
        <f t="array" ref="A9">INDEX(Token!B:B&amp;" ("&amp;Token!A:A&amp;")",MATCH("SOL",Token!A:A,))</f>
        <v>Solana (SOL)</v>
      </c>
      <c r="B9" s="12">
        <f t="shared" si="4"/>
        <v>4677.88578</v>
      </c>
      <c r="C9" s="6">
        <f>IFERROR(__xludf.DUMMYFUNCTION("SUMIFS(Token!$E:$E,Token!$A:$A,""*""&amp;INDEX(SPLIT($A9,""()""),2))*MINIFS(Token!$D:$D,Token!$A:$A,""*""&amp;INDEX(SPLIT($A9,""()""),2))"),624518.2266755921)</f>
        <v>624518.2267</v>
      </c>
      <c r="D9" s="16">
        <f t="shared" si="2"/>
        <v>2.145693854</v>
      </c>
    </row>
    <row r="10">
      <c r="A10" s="4" t="str">
        <f t="array" ref="A10">INDEX(Token!B:B&amp;" ("&amp;Token!A:A&amp;")",MATCH("BTC",Token!A:A,))</f>
        <v>Bitcoin (BTC)</v>
      </c>
      <c r="B10" s="12">
        <f t="shared" si="4"/>
        <v>293.0557478</v>
      </c>
      <c r="C10" s="6">
        <f>IFERROR(__xludf.DUMMYFUNCTION("MAXIFS(Token!$E:$E,Token!$A:$A,INDEX(SPLIT($A10,""()""),2))*MAXIFS(Token!$D:$D,Token!$A:$A,INDEX(SPLIT($A10,""()""),2))"),39124.22503395465)</f>
        <v>39124.22503</v>
      </c>
      <c r="D10" s="7">
        <f t="shared" si="2"/>
        <v>0.1344213917</v>
      </c>
    </row>
    <row r="11">
      <c r="A11" s="4" t="str">
        <f t="array" ref="A11">INDEX(Token!B:B&amp;" ("&amp;Token!A:A&amp;")",MATCH("NEXO",Token!A:A,))</f>
        <v>Nexo (NEXO)</v>
      </c>
      <c r="B11" s="5">
        <f t="shared" si="4"/>
        <v>36.53600181</v>
      </c>
      <c r="C11" s="6">
        <f>IFERROR(__xludf.DUMMYFUNCTION("MAXIFS(Token!$E:$E,Token!$A:$A,INDEX(SPLIT($A11,""()""),2))*MAXIFS(Token!$D:$D,Token!$A:$A,INDEX(SPLIT($A11,""()""),2))"),4877.716158477912)</f>
        <v>4877.716158</v>
      </c>
      <c r="D11" s="17">
        <f t="shared" si="2"/>
        <v>0.01675865513</v>
      </c>
    </row>
    <row r="12">
      <c r="A12" s="4" t="str">
        <f t="array" ref="A12">INDEX(Token!B:B&amp;" ("&amp;Token!A:A&amp;")",MATCH("FiMs",Token!A:A,))</f>
        <v>FiMs Token (FiMs)</v>
      </c>
      <c r="B12" s="5">
        <f t="shared" si="4"/>
        <v>-484.2312567</v>
      </c>
      <c r="C12" s="6">
        <f>IFERROR(__xludf.DUMMYFUNCTION("MAXIFS(Token!$E:$E,Token!$A:$A,INDEX(SPLIT($A12,""()""),2))*MAXIFS(Token!$D:$D,Token!$A:$A,INDEX(SPLIT($A12,""()""),2))"),-64646.99223512648)</f>
        <v>-64646.99224</v>
      </c>
      <c r="D12" s="17">
        <f t="shared" si="2"/>
        <v>-0.2221114581</v>
      </c>
    </row>
    <row r="13">
      <c r="A13" s="18" t="s">
        <v>11</v>
      </c>
      <c r="B13" s="19">
        <f t="shared" ref="B13:D13" si="5">SUM(OFFSET(B:B,ROW(B$9)-1,0,ROW()-ROW(B$9)))</f>
        <v>4523.246273</v>
      </c>
      <c r="C13" s="20">
        <f t="shared" si="5"/>
        <v>603873.1756</v>
      </c>
      <c r="D13" s="21">
        <f t="shared" si="5"/>
        <v>2.074762443</v>
      </c>
    </row>
    <row r="14">
      <c r="A14" s="4" t="s">
        <v>12</v>
      </c>
      <c r="B14" s="22">
        <f t="array" ref="B14">INDEX(Price!$A:$Z,2,MATCH("*(FSOL)",Price!$A$1:$Z$1,))/$C$15</f>
        <v>1.138988679</v>
      </c>
      <c r="C14" s="6">
        <f>Transfer!$C$2</f>
        <v>57.72776385</v>
      </c>
      <c r="D14" s="7">
        <f>-(1-$C$15/$C$14)</f>
        <v>1.312654572</v>
      </c>
    </row>
    <row r="15">
      <c r="A15" s="4" t="str">
        <f>IFERROR(__xludf.DUMMYFUNCTION("""Price @ ""&amp;TO_TEXT(MIN(OFFSET(PriceCache!$C:$C,1,0)))&amp;PriceCache!$D$1"),"Price @ 7/3/2024 13:41:58")</f>
        <v>Price @ 7/3/2024 13:41:58</v>
      </c>
      <c r="B15" s="22">
        <f t="array" ref="B15">INDEX(Price!$A:$Z,2,MATCH("*(FiMs)",Price!$A$1:$Z$1,))</f>
        <v>1.081867496</v>
      </c>
      <c r="C15" s="6">
        <f>IF(1,HLOOKUP("*("&amp;$B$1&amp;")",Price!$A:$CC,2,0),$C$14*1)</f>
        <v>133.504377</v>
      </c>
      <c r="D15" s="7">
        <f t="array" ref="D15">INDEX(Evolution!C:C,2)</f>
        <v>-0.1630092789</v>
      </c>
    </row>
    <row r="16">
      <c r="A16" s="18" t="s">
        <v>13</v>
      </c>
      <c r="B16" s="19">
        <f t="shared" ref="B16:D16" si="6">B13-B4</f>
        <v>-518.635128</v>
      </c>
      <c r="C16" s="20">
        <f t="shared" si="6"/>
        <v>312816.6367</v>
      </c>
      <c r="D16" s="21">
        <f t="shared" si="6"/>
        <v>1.074762443</v>
      </c>
    </row>
  </sheetData>
  <conditionalFormatting sqref="B16:D16">
    <cfRule type="cellIs" dxfId="0" priority="1" operator="lessThan">
      <formula>0</formula>
    </cfRule>
  </conditionalFormatting>
  <conditionalFormatting sqref="B16:D16">
    <cfRule type="cellIs" dxfId="1" priority="2" operator="greaterThan">
      <formula>0</formula>
    </cfRule>
  </conditionalFormatting>
  <conditionalFormatting sqref="A15">
    <cfRule type="expression" dxfId="2" priority="3">
      <formula>TO_DATE(INDEX(SPLIT($A$15,"@"),2))&lt;TO_DATE(NOW()-TIME(0,15,0))</formula>
    </cfRule>
  </conditionalFormatting>
  <conditionalFormatting sqref="D15">
    <cfRule type="cellIs" dxfId="1" priority="4" operator="greaterThan">
      <formula>0</formula>
    </cfRule>
  </conditionalFormatting>
  <conditionalFormatting sqref="D15">
    <cfRule type="cellIs" dxfId="0" priority="5" operator="less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38"/>
    <col customWidth="1" min="3" max="3" width="45.0"/>
    <col customWidth="1" min="4" max="6" width="10.75"/>
    <col customWidth="1" min="7" max="7" width="11.63"/>
    <col customWidth="1" min="8" max="8" width="10.75"/>
    <col customWidth="1" min="9" max="9" width="15.38"/>
    <col customWidth="1" min="10" max="11" width="10.75"/>
  </cols>
  <sheetData>
    <row r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4" t="s">
        <v>20</v>
      </c>
      <c r="H1" s="25" t="s">
        <v>21</v>
      </c>
      <c r="I1" s="25" t="s">
        <v>22</v>
      </c>
      <c r="J1" s="25" t="s">
        <v>23</v>
      </c>
      <c r="K1" s="25" t="s">
        <v>24</v>
      </c>
    </row>
    <row r="2">
      <c r="A2" s="26" t="str">
        <f t="shared" ref="A2:A6" si="1">$B$2</f>
        <v>SOL</v>
      </c>
      <c r="B2" s="26" t="s">
        <v>1</v>
      </c>
      <c r="C2" s="27" t="str">
        <f t="array" ref="C2">INDEX(Token!$C:$C,MATCH($B2,Token!$A:$A,))</f>
        <v>So11111111111111111111111111111111111111112</v>
      </c>
      <c r="D2" s="28">
        <f>$H2+82.56</f>
        <v>82.57625392</v>
      </c>
      <c r="E2" s="29">
        <f>MAXIFS(PriceCache!$B:$B,PriceCache!$A:$A,"*("&amp;$B2&amp;")*")</f>
        <v>133.504377</v>
      </c>
      <c r="F2" s="13">
        <f>$D2*IF($A2=$B2,1,MAXIFS(PriceCache!$B:$B,PriceCache!$A:$A,"*("&amp;$B2&amp;")*")/Dashboard!$C$15)</f>
        <v>82.57625392</v>
      </c>
      <c r="G2" s="30">
        <f>$F2*MAXIFS(Token!$D:$D,Token!$A:$A,$A2)</f>
        <v>11024.29133</v>
      </c>
      <c r="H2" s="14">
        <v>0.01625392</v>
      </c>
      <c r="I2" s="14">
        <f t="array" ref="I2:I8">VALUE(ImportJSON("https://wallet.fims.fi/api/solana/getAssets?address="&amp;I$1&amp;"&amp;tokens="&amp;JOIN(",",$C2:$C8)&amp;PriceCache!$D$2,"/balance","noHeaders"))</f>
        <v>0.0093322</v>
      </c>
      <c r="J2" s="14">
        <f t="array" ref="J2:J8">VALUE(ImportJSON("https://wallet.fims.fi/api/solana/getAssets?address="&amp;J$1&amp;"&amp;tokens="&amp;JOIN(",",$C2:$C8)&amp;PriceCache!$D$2,"/balance","noHeaders"))</f>
        <v>0.00692172</v>
      </c>
      <c r="K2" s="14">
        <f t="shared" ref="K2:K8" si="2">SUM(I2:J2)</f>
        <v>0.01625392</v>
      </c>
    </row>
    <row r="3">
      <c r="A3" s="26" t="str">
        <f t="shared" si="1"/>
        <v>SOL</v>
      </c>
      <c r="B3" s="26" t="s">
        <v>25</v>
      </c>
      <c r="C3" s="31" t="s">
        <v>26</v>
      </c>
      <c r="D3" s="32">
        <f t="shared" ref="D3:D4" si="3">$H3</f>
        <v>5000</v>
      </c>
      <c r="E3" s="29">
        <f>MAXIFS(PriceCache!$B:$B,PriceCache!$A:$A,"*("&amp;$B3&amp;")*")</f>
        <v>152.0599739</v>
      </c>
      <c r="F3" s="13">
        <f>$D3*IF($A3=$B3,1,MAXIFS(PriceCache!$B:$B,PriceCache!$A:$A,"*("&amp;$B3&amp;")*")/Dashboard!$C$15)</f>
        <v>5694.943393</v>
      </c>
      <c r="G3" s="30">
        <f>$F3*MAXIFS(Token!$D:$D,Token!$A:$A,$A3)</f>
        <v>760299.8696</v>
      </c>
      <c r="H3" s="14">
        <v>5000.0</v>
      </c>
      <c r="I3" s="14">
        <v>0.0</v>
      </c>
      <c r="J3" s="14">
        <v>5000.0</v>
      </c>
      <c r="K3" s="14">
        <f t="shared" si="2"/>
        <v>5000</v>
      </c>
    </row>
    <row r="4">
      <c r="A4" s="26" t="str">
        <f t="shared" si="1"/>
        <v>SOL</v>
      </c>
      <c r="B4" s="26" t="s">
        <v>27</v>
      </c>
      <c r="C4" s="27" t="str">
        <f t="array" ref="C4">INDEX(Token!$C:$C,MATCH($B4,Token!$A:$A,))</f>
        <v>BLZEEuZUBVqFhj8adcCFPJvPVCiCyVmh3hkJMrU8KuJA</v>
      </c>
      <c r="D4" s="32">
        <f t="shared" si="3"/>
        <v>0</v>
      </c>
      <c r="E4" s="33">
        <f>MAXIFS(PriceCache!$B:$B,PriceCache!$A:$A,"*("&amp;$B4&amp;")*")</f>
        <v>0.0009312721177</v>
      </c>
      <c r="F4" s="13">
        <f>$D4*IF($A4=$B4,1,MAXIFS(PriceCache!$B:$B,PriceCache!$A:$A,"*("&amp;$B4&amp;")*")/Dashboard!$C$15)</f>
        <v>0</v>
      </c>
      <c r="G4" s="30">
        <f>$F4*MAXIFS(Token!$D:$D,Token!$A:$A,$A4)</f>
        <v>0</v>
      </c>
      <c r="H4" s="14">
        <v>0.0</v>
      </c>
      <c r="I4" s="14">
        <v>0.0</v>
      </c>
      <c r="J4" s="14">
        <v>0.0</v>
      </c>
      <c r="K4" s="14">
        <f t="shared" si="2"/>
        <v>0</v>
      </c>
    </row>
    <row r="5">
      <c r="A5" s="26" t="str">
        <f t="shared" si="1"/>
        <v>SOL</v>
      </c>
      <c r="B5" s="26" t="s">
        <v>28</v>
      </c>
      <c r="C5" s="27" t="str">
        <f t="array" ref="C5">INDEX(Token!$C:$C,MATCH($B5,Token!$A:$A,))</f>
        <v>JUPyiwrYJFskUPiHa7hkeR8VUtAeFoSYbKedZNsDvCN</v>
      </c>
      <c r="D5" s="32">
        <f>109109.398491+$H5</f>
        <v>109109.3985</v>
      </c>
      <c r="E5" s="29">
        <f>MAXIFS(PriceCache!$B:$B,PriceCache!$A:$A,"*("&amp;$B5&amp;")*")</f>
        <v>0.7459489663</v>
      </c>
      <c r="F5" s="13">
        <f>$D5*IF($A5=$B5,1,MAXIFS(PriceCache!$B:$B,PriceCache!$A:$A,"*("&amp;$B5&amp;")*")/Dashboard!$C$15)</f>
        <v>609.6432556</v>
      </c>
      <c r="G5" s="30">
        <f>$F5*MAXIFS(Token!$D:$D,Token!$A:$A,$A5)</f>
        <v>81390.04302</v>
      </c>
      <c r="H5" s="14">
        <v>0.0</v>
      </c>
      <c r="I5" s="14">
        <v>0.0</v>
      </c>
      <c r="J5" s="14">
        <v>0.0</v>
      </c>
      <c r="K5" s="14">
        <f t="shared" si="2"/>
        <v>0</v>
      </c>
    </row>
    <row r="6">
      <c r="A6" s="26" t="str">
        <f t="shared" si="1"/>
        <v>SOL</v>
      </c>
      <c r="B6" s="26" t="s">
        <v>29</v>
      </c>
      <c r="C6" s="27" t="str">
        <f t="array" ref="C6">INDEX(Token!$C:$C,MATCH($B6,Token!$A:$A,))</f>
        <v>HUBsveNpjo5pWqNkH57QzxjQASdTVXcSK7bVKTSZtcSX</v>
      </c>
      <c r="D6" s="32">
        <f>$H6</f>
        <v>0</v>
      </c>
      <c r="E6" s="29">
        <f>MAXIFS(PriceCache!$B:$B,PriceCache!$A:$A,"*("&amp;$B6&amp;")*")</f>
        <v>136.6101695</v>
      </c>
      <c r="F6" s="13">
        <f>$D6*IF($A6=$B6,1,MAXIFS(PriceCache!$B:$B,PriceCache!$A:$A,"*("&amp;$B6&amp;")*")/Dashboard!$C$15)</f>
        <v>0</v>
      </c>
      <c r="G6" s="30">
        <f>$F6*MAXIFS(Token!$D:$D,Token!$A:$A,$A6)</f>
        <v>0</v>
      </c>
      <c r="H6" s="14">
        <v>0.0</v>
      </c>
      <c r="I6" s="14">
        <v>0.0</v>
      </c>
      <c r="J6" s="14">
        <v>0.0</v>
      </c>
      <c r="K6" s="14">
        <f t="shared" si="2"/>
        <v>0</v>
      </c>
    </row>
    <row r="7">
      <c r="A7" s="26" t="str">
        <f t="shared" ref="A7:A8" si="4">$B7</f>
        <v>BTC</v>
      </c>
      <c r="B7" s="26" t="s">
        <v>30</v>
      </c>
      <c r="C7" s="27" t="str">
        <f t="array" ref="C7">INDEX(Token!$C:$C,MATCH($B7,Token!$A:$A,))</f>
        <v>3NZ9JMVBmGAqocybic2c7LQCJScmgsAZ6vQqTDzcqmJh</v>
      </c>
      <c r="D7" s="34">
        <v>0.69777475</v>
      </c>
      <c r="E7" s="29">
        <f>MAXIFS(PriceCache!$B:$B,PriceCache!$A:$A,"*("&amp;$B7&amp;")*")</f>
        <v>56069.99255</v>
      </c>
      <c r="F7" s="13">
        <f>$D7*IF($A7=$B7,1,MAXIFS(PriceCache!$B:$B,PriceCache!$A:$A,"*("&amp;$B7&amp;")*")/Dashboard!$C$15)</f>
        <v>0.69777475</v>
      </c>
      <c r="G7" s="30">
        <f>$F7*MAXIFS(Token!$D:$D,Token!$A:$A,$A7)</f>
        <v>39124.22503</v>
      </c>
      <c r="H7" s="14">
        <v>0.0</v>
      </c>
      <c r="I7" s="14">
        <v>0.0</v>
      </c>
      <c r="J7" s="14">
        <v>0.0</v>
      </c>
      <c r="K7" s="14">
        <f t="shared" si="2"/>
        <v>0</v>
      </c>
    </row>
    <row r="8">
      <c r="A8" s="26" t="str">
        <f t="shared" si="4"/>
        <v>NEXO</v>
      </c>
      <c r="B8" s="26" t="s">
        <v>31</v>
      </c>
      <c r="C8" s="27" t="str">
        <f t="array" ref="C8">INDEX(Token!$C:$C,MATCH($B8,Token!$A:$A,))</f>
        <v>0xb62132e35a6c13ee1ee0f84dc5d40bad8d815206</v>
      </c>
      <c r="D8" s="35">
        <v>4569.54098297</v>
      </c>
      <c r="E8" s="29">
        <f>MAXIFS(PriceCache!$B:$B,PriceCache!$A:$A,"*("&amp;$B8&amp;")*")</f>
        <v>1.067441167</v>
      </c>
      <c r="F8" s="13">
        <f>$D8*IF($A8=$B8,1,MAXIFS(PriceCache!$B:$B,PriceCache!$A:$A,"*("&amp;$B8&amp;")*")/Dashboard!$C$15)</f>
        <v>4569.540983</v>
      </c>
      <c r="G8" s="30">
        <f>$F8*MAXIFS(Token!$D:$D,Token!$A:$A,$A8)</f>
        <v>4877.716158</v>
      </c>
      <c r="H8" s="14">
        <v>0.0</v>
      </c>
      <c r="I8" s="12">
        <v>0.0</v>
      </c>
      <c r="J8" s="12">
        <v>0.0</v>
      </c>
      <c r="K8" s="14">
        <f t="shared" si="2"/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6" t="s">
        <v>32</v>
      </c>
      <c r="B1" s="37" t="s">
        <v>33</v>
      </c>
      <c r="C1" s="38" t="s">
        <v>34</v>
      </c>
      <c r="D1" s="38" t="s">
        <v>35</v>
      </c>
      <c r="E1" s="39" t="s">
        <v>36</v>
      </c>
      <c r="F1" s="40" t="s">
        <v>34</v>
      </c>
      <c r="G1" s="41" t="s">
        <v>35</v>
      </c>
      <c r="H1" s="42" t="s">
        <v>37</v>
      </c>
      <c r="I1" s="43" t="s">
        <v>38</v>
      </c>
      <c r="J1" s="43" t="s">
        <v>39</v>
      </c>
      <c r="K1" s="42" t="s">
        <v>40</v>
      </c>
      <c r="L1" s="43" t="s">
        <v>38</v>
      </c>
      <c r="M1" s="43" t="s">
        <v>39</v>
      </c>
      <c r="N1" s="44" t="s">
        <v>41</v>
      </c>
      <c r="O1" s="45" t="s">
        <v>42</v>
      </c>
      <c r="P1" s="46" t="s">
        <v>12</v>
      </c>
      <c r="Q1" s="45" t="s">
        <v>43</v>
      </c>
      <c r="R1" s="45" t="s">
        <v>44</v>
      </c>
      <c r="S1" s="45" t="s">
        <v>39</v>
      </c>
      <c r="T1" s="46" t="s">
        <v>45</v>
      </c>
      <c r="U1" s="46" t="s">
        <v>46</v>
      </c>
      <c r="V1" s="46" t="s">
        <v>13</v>
      </c>
    </row>
    <row r="2">
      <c r="A2" s="47">
        <f>NOW()-TIME(1,0,0)</f>
        <v>45476.53489</v>
      </c>
      <c r="B2" s="48">
        <f t="array" ref="B2">INDEX($U:$U,ROW())/INDEX($T:$T,ROW())*INDEX($B:$B,ROWS($B:$B))</f>
        <v>11.51493156</v>
      </c>
      <c r="C2" s="7">
        <f t="array" ref="C2">INDEX(D:D,ROW())-INDEX(D:D,ROW()+1)</f>
        <v>-0.1630092789</v>
      </c>
      <c r="D2" s="49">
        <f t="array" ref="D2">-1+INDEX(B:B,ROW())/INDEX(B:B,ROWS(B:B))</f>
        <v>1.074762443</v>
      </c>
      <c r="E2" s="50">
        <f>IF(ROW()=2,Dashboard!$C$15,)</f>
        <v>133.504377</v>
      </c>
      <c r="F2" s="7">
        <f t="array" ref="F2">INDEX(G:G,ROW())-INDEX(G:G,ROW()+1)</f>
        <v>-0.1658952628</v>
      </c>
      <c r="G2" s="49">
        <f t="array" ref="G2">-1+INDEX(E:E,ROW())/INDEX(P:P,ROW())</f>
        <v>1.312654572</v>
      </c>
      <c r="H2" s="51">
        <f>SUMIFS(Dashboard!$C:$C,Dashboard!$A:$A,"*(BTC)")</f>
        <v>39124.22503</v>
      </c>
      <c r="I2" s="7">
        <f>$C2*J2</f>
        <v>-0.01056117736</v>
      </c>
      <c r="J2" s="7">
        <f>IF($H2+$K2&lt;&gt;0,H2/($H2+$K2),0)</f>
        <v>0.06478881098</v>
      </c>
      <c r="K2" s="51">
        <f>IF(ROW()=2,SUMIFS(Dashboard!$C:$C,Dashboard!$A:$A,"TOTAL"),$Q2*$E2)-$H2</f>
        <v>564748.9506</v>
      </c>
      <c r="L2" s="7">
        <f>$C2*M2</f>
        <v>-0.1524481015</v>
      </c>
      <c r="M2" s="7">
        <f>IF($H2+$K2&lt;&gt;0,K2/($H2+$K2),0)</f>
        <v>0.935211189</v>
      </c>
      <c r="N2" s="52">
        <f t="shared" ref="N2:O2" si="1">C2-F2</f>
        <v>0.00288598392</v>
      </c>
      <c r="O2" s="7">
        <f t="shared" si="1"/>
        <v>-0.2378921288</v>
      </c>
      <c r="P2" s="53">
        <f>SUMIFS(OFFSET(Transfer!$D:$D,2,0),OFFSET(Transfer!$A:$A,2,0),"&lt;="&amp;$A2)/SUMIFS(OFFSET(Transfer!$E:$E,2,0),OFFSET(Transfer!$A:$A,2,0),"&lt;="&amp;$A2)</f>
        <v>57.72776385</v>
      </c>
      <c r="Q2" s="54">
        <f>$U2/$E2</f>
        <v>4523.246273</v>
      </c>
      <c r="R2" s="13">
        <f>SUMIFS(OFFSET(Transfer!$B:$B,2,0),OFFSET(Transfer!$A:$A,2,0),"&lt;="&amp;$A2)/(SUMIFS(OFFSET(Transfer!$D:$D,2,0),OFFSET(Transfer!$A:$A,2,0),"&lt;="&amp;$A2)/SUMIFS(OFFSET(Transfer!$E:$E,2,0),OFFSET(Transfer!$A:$A,2,0),"&lt;="&amp;$A2))</f>
        <v>5041.881401</v>
      </c>
      <c r="S2" s="7">
        <f>(Q2-R2)/R2</f>
        <v>-0.1028653962</v>
      </c>
      <c r="T2" s="53">
        <f>SUMIFS(OFFSET(Transfer!$B:$B,2,0),OFFSET(Transfer!$A:$A,2,0),"&lt;="&amp;$A2)</f>
        <v>291056.5389</v>
      </c>
      <c r="U2" s="53">
        <f>$K2+$H2</f>
        <v>603873.1756</v>
      </c>
      <c r="V2" s="53">
        <f>$U2-$T2</f>
        <v>312816.6367</v>
      </c>
    </row>
    <row r="3">
      <c r="A3" s="55">
        <v>45475.95996550926</v>
      </c>
      <c r="B3" s="56">
        <v>12.419633054941581</v>
      </c>
      <c r="C3" s="57">
        <v>0.08818929476950954</v>
      </c>
      <c r="D3" s="58">
        <v>1.2377717216110957</v>
      </c>
      <c r="E3" s="50">
        <v>143.08113953314935</v>
      </c>
      <c r="F3" s="57">
        <v>0.09768389882631556</v>
      </c>
      <c r="G3" s="58">
        <v>1.4785498343234051</v>
      </c>
      <c r="H3" s="51">
        <v>40378.43702416334</v>
      </c>
      <c r="I3" s="57">
        <v>0.00546729152465927</v>
      </c>
      <c r="J3" s="57">
        <v>0.06199495685897609</v>
      </c>
      <c r="K3" s="51">
        <v>610939.6551234731</v>
      </c>
      <c r="L3" s="57">
        <v>0.08272200324485028</v>
      </c>
      <c r="M3" s="57">
        <v>0.938005043141024</v>
      </c>
      <c r="N3" s="59">
        <v>-0.009494604056806022</v>
      </c>
      <c r="O3" s="57">
        <v>-0.24077811271230942</v>
      </c>
      <c r="P3" s="51">
        <v>57.72776385277226</v>
      </c>
      <c r="Q3" s="35">
        <v>4552.089075281216</v>
      </c>
      <c r="R3" s="32">
        <v>5041.881401218479</v>
      </c>
      <c r="S3" s="57">
        <v>-0.09714475350786611</v>
      </c>
      <c r="T3" s="51">
        <v>291056.5389032249</v>
      </c>
      <c r="U3" s="51">
        <v>651318.0921476365</v>
      </c>
      <c r="V3" s="51">
        <v>360261.55324441154</v>
      </c>
    </row>
    <row r="4">
      <c r="A4" s="55">
        <v>45474.95996025463</v>
      </c>
      <c r="B4" s="56">
        <v>11.930182468970802</v>
      </c>
      <c r="C4" s="57">
        <v>0.0574855146538229</v>
      </c>
      <c r="D4" s="58">
        <v>1.1495824268415862</v>
      </c>
      <c r="E4" s="50">
        <v>137.4420664894857</v>
      </c>
      <c r="F4" s="57">
        <v>0.04623920908737311</v>
      </c>
      <c r="G4" s="58">
        <v>1.3808659354970896</v>
      </c>
      <c r="H4" s="51">
        <v>41064.827801836625</v>
      </c>
      <c r="I4" s="57">
        <v>0.0037730882765201184</v>
      </c>
      <c r="J4" s="57">
        <v>0.06563546137216675</v>
      </c>
      <c r="K4" s="51">
        <v>584585.1934418702</v>
      </c>
      <c r="L4" s="57">
        <v>0.05371242637730278</v>
      </c>
      <c r="M4" s="57">
        <v>0.9343645386278332</v>
      </c>
      <c r="N4" s="59">
        <v>0.011246305566449788</v>
      </c>
      <c r="O4" s="57">
        <v>-0.2312835086555034</v>
      </c>
      <c r="P4" s="51">
        <v>57.72776385277226</v>
      </c>
      <c r="Q4" s="35">
        <v>4552.099929984456</v>
      </c>
      <c r="R4" s="32">
        <v>5041.881401218479</v>
      </c>
      <c r="S4" s="57">
        <v>-0.09714260060057282</v>
      </c>
      <c r="T4" s="51">
        <v>291056.5389032249</v>
      </c>
      <c r="U4" s="51">
        <v>625650.0212437068</v>
      </c>
      <c r="V4" s="51">
        <v>334593.4823404819</v>
      </c>
    </row>
    <row r="5">
      <c r="A5" s="55">
        <v>45473.9599730787</v>
      </c>
      <c r="B5" s="56">
        <v>11.611137862642085</v>
      </c>
      <c r="C5" s="57">
        <v>0.05407148763254099</v>
      </c>
      <c r="D5" s="58">
        <v>1.0920969121877633</v>
      </c>
      <c r="E5" s="50">
        <v>134.77278034655086</v>
      </c>
      <c r="F5" s="57">
        <v>0.06251765009044075</v>
      </c>
      <c r="G5" s="58">
        <v>1.3346267264097165</v>
      </c>
      <c r="H5" s="51">
        <v>40362.318456948306</v>
      </c>
      <c r="I5" s="57">
        <v>0.003584142462952128</v>
      </c>
      <c r="J5" s="57">
        <v>0.06628525716379846</v>
      </c>
      <c r="K5" s="51">
        <v>568556.1678545462</v>
      </c>
      <c r="L5" s="57">
        <v>0.05048734516958887</v>
      </c>
      <c r="M5" s="57">
        <v>0.9337147428362016</v>
      </c>
      <c r="N5" s="59">
        <v>-0.008446162457899753</v>
      </c>
      <c r="O5" s="57">
        <v>-0.2425298142219532</v>
      </c>
      <c r="P5" s="51">
        <v>57.72776385277226</v>
      </c>
      <c r="Q5" s="35">
        <v>4518.1117785485985</v>
      </c>
      <c r="R5" s="32">
        <v>5041.881401218479</v>
      </c>
      <c r="S5" s="57">
        <v>-0.10388376500551968</v>
      </c>
      <c r="T5" s="51">
        <v>291056.5389032249</v>
      </c>
      <c r="U5" s="51">
        <v>608918.4863114945</v>
      </c>
      <c r="V5" s="51">
        <v>317861.94740826957</v>
      </c>
    </row>
    <row r="6">
      <c r="A6" s="55">
        <v>45472.959959479165</v>
      </c>
      <c r="B6" s="56">
        <v>11.311041106281483</v>
      </c>
      <c r="C6" s="57">
        <v>0.008155403456753252</v>
      </c>
      <c r="D6" s="58">
        <v>1.0380254245552223</v>
      </c>
      <c r="E6" s="50">
        <v>131.16377620549966</v>
      </c>
      <c r="F6" s="57">
        <v>0.006495031296539278</v>
      </c>
      <c r="G6" s="58">
        <v>1.2721090763192757</v>
      </c>
      <c r="H6" s="51">
        <v>39833.29818161999</v>
      </c>
      <c r="I6" s="57">
        <v>5.476521034211852E-4</v>
      </c>
      <c r="J6" s="57">
        <v>0.06715205523862715</v>
      </c>
      <c r="K6" s="51">
        <v>553347.3280861985</v>
      </c>
      <c r="L6" s="57">
        <v>0.007607751353332067</v>
      </c>
      <c r="M6" s="57">
        <v>0.9328479447613729</v>
      </c>
      <c r="N6" s="59">
        <v>0.0016603721602139743</v>
      </c>
      <c r="O6" s="57">
        <v>-0.23408365176405344</v>
      </c>
      <c r="P6" s="51">
        <v>57.72776385277226</v>
      </c>
      <c r="Q6" s="35">
        <v>4522.442426012943</v>
      </c>
      <c r="R6" s="32">
        <v>5041.881401218479</v>
      </c>
      <c r="S6" s="57">
        <v>-0.1030248301913653</v>
      </c>
      <c r="T6" s="51">
        <v>291056.5389032249</v>
      </c>
      <c r="U6" s="51">
        <v>593180.6262678185</v>
      </c>
      <c r="V6" s="51">
        <v>302124.0873645936</v>
      </c>
    </row>
    <row r="7">
      <c r="A7" s="55">
        <v>45471.959963263886</v>
      </c>
      <c r="B7" s="56">
        <v>11.265778617096503</v>
      </c>
      <c r="C7" s="57">
        <v>-0.1525574250676227</v>
      </c>
      <c r="D7" s="58">
        <v>1.029870021098469</v>
      </c>
      <c r="E7" s="50">
        <v>130.78883257259668</v>
      </c>
      <c r="F7" s="57">
        <v>-0.15783757249180752</v>
      </c>
      <c r="G7" s="58">
        <v>1.2656140450227364</v>
      </c>
      <c r="H7" s="51">
        <v>39371.114888099844</v>
      </c>
      <c r="I7" s="57">
        <v>-0.01016635972703167</v>
      </c>
      <c r="J7" s="57">
        <v>0.0666395603001645</v>
      </c>
      <c r="K7" s="51">
        <v>551435.8278762368</v>
      </c>
      <c r="L7" s="57">
        <v>-0.14239106534059104</v>
      </c>
      <c r="M7" s="57">
        <v>0.9333604396998355</v>
      </c>
      <c r="N7" s="59">
        <v>0.005280147424184811</v>
      </c>
      <c r="O7" s="57">
        <v>-0.2357440239242674</v>
      </c>
      <c r="P7" s="51">
        <v>57.72776385277226</v>
      </c>
      <c r="Q7" s="35">
        <v>4517.258325066849</v>
      </c>
      <c r="R7" s="32">
        <v>5041.881401218479</v>
      </c>
      <c r="S7" s="57">
        <v>-0.10405303782529361</v>
      </c>
      <c r="T7" s="51">
        <v>291056.5389032249</v>
      </c>
      <c r="U7" s="51">
        <v>590806.9427643366</v>
      </c>
      <c r="V7" s="51">
        <v>299750.40386111167</v>
      </c>
    </row>
    <row r="8">
      <c r="A8" s="55">
        <v>45470.95995891203</v>
      </c>
      <c r="B8" s="56">
        <v>12.112472326221809</v>
      </c>
      <c r="C8" s="57">
        <v>0.17936344240375046</v>
      </c>
      <c r="D8" s="58">
        <v>1.1824274461660917</v>
      </c>
      <c r="E8" s="50">
        <v>139.90044268449856</v>
      </c>
      <c r="F8" s="57">
        <v>0.19221127290635165</v>
      </c>
      <c r="G8" s="58">
        <v>1.423451617514544</v>
      </c>
      <c r="H8" s="51">
        <v>40259.42256963595</v>
      </c>
      <c r="I8" s="57">
        <v>0.01136800606866067</v>
      </c>
      <c r="J8" s="57">
        <v>0.06337972730848394</v>
      </c>
      <c r="K8" s="51">
        <v>594950.356318871</v>
      </c>
      <c r="L8" s="57">
        <v>0.16799543633508981</v>
      </c>
      <c r="M8" s="57">
        <v>0.9366202726915162</v>
      </c>
      <c r="N8" s="59">
        <v>-0.012847830502601187</v>
      </c>
      <c r="O8" s="57">
        <v>-0.24102417134845222</v>
      </c>
      <c r="P8" s="51">
        <v>57.72776385277226</v>
      </c>
      <c r="Q8" s="35">
        <v>4540.44152184009</v>
      </c>
      <c r="R8" s="32">
        <v>5041.881401218479</v>
      </c>
      <c r="S8" s="57">
        <v>-0.09945491364735505</v>
      </c>
      <c r="T8" s="51">
        <v>291056.5389032249</v>
      </c>
      <c r="U8" s="51">
        <v>635209.7788885069</v>
      </c>
      <c r="V8" s="51">
        <v>344153.239985282</v>
      </c>
    </row>
    <row r="9">
      <c r="A9" s="55">
        <v>45469.9599593287</v>
      </c>
      <c r="B9" s="56">
        <v>11.117005220880994</v>
      </c>
      <c r="C9" s="57">
        <v>5.784129545998162E-4</v>
      </c>
      <c r="D9" s="58">
        <v>1.0030640037623413</v>
      </c>
      <c r="E9" s="50">
        <v>128.80451571231993</v>
      </c>
      <c r="F9" s="57">
        <v>0.011006319458915392</v>
      </c>
      <c r="G9" s="58">
        <v>1.2312403446081923</v>
      </c>
      <c r="H9" s="51">
        <v>39982.494481364025</v>
      </c>
      <c r="I9" s="57">
        <v>3.966758034424042E-5</v>
      </c>
      <c r="J9" s="57">
        <v>0.06858003443523328</v>
      </c>
      <c r="K9" s="51">
        <v>543022.3816553393</v>
      </c>
      <c r="L9" s="57">
        <v>5.387453742555758E-4</v>
      </c>
      <c r="M9" s="57">
        <v>0.9314199655647667</v>
      </c>
      <c r="N9" s="59">
        <v>-0.010427906504315576</v>
      </c>
      <c r="O9" s="57">
        <v>-0.22817634084585103</v>
      </c>
      <c r="P9" s="51">
        <v>57.72776385277226</v>
      </c>
      <c r="Q9" s="35">
        <v>4526.276683022689</v>
      </c>
      <c r="R9" s="32">
        <v>5041.881401218479</v>
      </c>
      <c r="S9" s="57">
        <v>-0.10226434879471444</v>
      </c>
      <c r="T9" s="51">
        <v>291056.5389032249</v>
      </c>
      <c r="U9" s="51">
        <v>583004.8761367033</v>
      </c>
      <c r="V9" s="51">
        <v>291948.3372334784</v>
      </c>
    </row>
    <row r="10">
      <c r="A10" s="55">
        <v>45468.959974375</v>
      </c>
      <c r="B10" s="56">
        <v>11.113795028982965</v>
      </c>
      <c r="C10" s="57">
        <v>0.11179697728114224</v>
      </c>
      <c r="D10" s="58">
        <v>1.0024855908077415</v>
      </c>
      <c r="E10" s="50">
        <v>128.1691455017075</v>
      </c>
      <c r="F10" s="57">
        <v>0.10973441432569464</v>
      </c>
      <c r="G10" s="58">
        <v>1.220234025149277</v>
      </c>
      <c r="H10" s="51">
        <v>40307.26892769282</v>
      </c>
      <c r="I10" s="57">
        <v>0.007731551873027194</v>
      </c>
      <c r="J10" s="57">
        <v>0.0691570743776392</v>
      </c>
      <c r="K10" s="51">
        <v>542529.256336388</v>
      </c>
      <c r="L10" s="57">
        <v>0.10406542540811504</v>
      </c>
      <c r="M10" s="57">
        <v>0.9308429256223608</v>
      </c>
      <c r="N10" s="59">
        <v>0.0020625629554476</v>
      </c>
      <c r="O10" s="57">
        <v>-0.21774843434153546</v>
      </c>
      <c r="P10" s="51">
        <v>57.72776385277226</v>
      </c>
      <c r="Q10" s="35">
        <v>4547.401193810066</v>
      </c>
      <c r="R10" s="32">
        <v>5041.881401218479</v>
      </c>
      <c r="S10" s="57">
        <v>-0.09807454163616619</v>
      </c>
      <c r="T10" s="51">
        <v>291056.5389032249</v>
      </c>
      <c r="U10" s="51">
        <v>582836.5252640807</v>
      </c>
      <c r="V10" s="51">
        <v>291779.9863608558</v>
      </c>
    </row>
    <row r="11">
      <c r="A11" s="55">
        <v>45467.9599628125</v>
      </c>
      <c r="B11" s="56">
        <v>10.493321805072625</v>
      </c>
      <c r="C11" s="57">
        <v>-0.0074340385027826805</v>
      </c>
      <c r="D11" s="58">
        <v>0.8906886135265992</v>
      </c>
      <c r="E11" s="50">
        <v>121.83442314499153</v>
      </c>
      <c r="F11" s="57">
        <v>-0.0029965594814966856</v>
      </c>
      <c r="G11" s="58">
        <v>1.1104996108235823</v>
      </c>
      <c r="H11" s="51">
        <v>39185.562499884734</v>
      </c>
      <c r="I11" s="57">
        <v>-5.29362925910861E-4</v>
      </c>
      <c r="J11" s="57">
        <v>0.07120798819009505</v>
      </c>
      <c r="K11" s="51">
        <v>511111.72149690427</v>
      </c>
      <c r="L11" s="57">
        <v>-0.006904675576871819</v>
      </c>
      <c r="M11" s="57">
        <v>0.9287920118099049</v>
      </c>
      <c r="N11" s="59">
        <v>-0.004437479021285995</v>
      </c>
      <c r="O11" s="57">
        <v>-0.21981099729698306</v>
      </c>
      <c r="P11" s="51">
        <v>57.72776385277226</v>
      </c>
      <c r="Q11" s="35">
        <v>4516.76356970063</v>
      </c>
      <c r="R11" s="32">
        <v>5041.881401218479</v>
      </c>
      <c r="S11" s="57">
        <v>-0.10415116694155944</v>
      </c>
      <c r="T11" s="51">
        <v>291056.5389032249</v>
      </c>
      <c r="U11" s="51">
        <v>550297.283996789</v>
      </c>
      <c r="V11" s="51">
        <v>259240.7450935641</v>
      </c>
    </row>
    <row r="12">
      <c r="A12" s="55">
        <v>45466.95996335648</v>
      </c>
      <c r="B12" s="56">
        <v>10.534580718763069</v>
      </c>
      <c r="C12" s="57">
        <v>-0.06197524092964102</v>
      </c>
      <c r="D12" s="58">
        <v>0.8981226520293819</v>
      </c>
      <c r="E12" s="50">
        <v>122.00740782311016</v>
      </c>
      <c r="F12" s="57">
        <v>-0.06400716284742947</v>
      </c>
      <c r="G12" s="58">
        <v>1.113496170305079</v>
      </c>
      <c r="H12" s="51">
        <v>41707.97055312634</v>
      </c>
      <c r="I12" s="57">
        <v>-0.004678812584426009</v>
      </c>
      <c r="J12" s="57">
        <v>0.07549486721217835</v>
      </c>
      <c r="K12" s="51">
        <v>510753.03896035586</v>
      </c>
      <c r="L12" s="57">
        <v>-0.057296428345215006</v>
      </c>
      <c r="M12" s="57">
        <v>0.9245051327878216</v>
      </c>
      <c r="N12" s="59">
        <v>0.0020319219177884484</v>
      </c>
      <c r="O12" s="57">
        <v>-0.21537351827569706</v>
      </c>
      <c r="P12" s="51">
        <v>57.72776385277226</v>
      </c>
      <c r="Q12" s="35">
        <v>4528.093985198473</v>
      </c>
      <c r="R12" s="32">
        <v>5041.881401218479</v>
      </c>
      <c r="S12" s="57">
        <v>-0.10190390751671359</v>
      </c>
      <c r="T12" s="51">
        <v>291056.5389032249</v>
      </c>
      <c r="U12" s="51">
        <v>552461.0095134822</v>
      </c>
      <c r="V12" s="51">
        <v>261404.4706102573</v>
      </c>
    </row>
    <row r="13">
      <c r="A13" s="55">
        <v>45465.95996508102</v>
      </c>
      <c r="B13" s="56">
        <v>10.878543305922577</v>
      </c>
      <c r="C13" s="57">
        <v>0.017960750570892525</v>
      </c>
      <c r="D13" s="58">
        <v>0.9600978929590229</v>
      </c>
      <c r="E13" s="50">
        <v>125.7023982048525</v>
      </c>
      <c r="F13" s="57">
        <v>0.013208013329580215</v>
      </c>
      <c r="G13" s="58">
        <v>1.1775033331525084</v>
      </c>
      <c r="H13" s="51">
        <v>42097.132647880644</v>
      </c>
      <c r="I13" s="57">
        <v>0.0013253234277284115</v>
      </c>
      <c r="J13" s="57">
        <v>0.07378998012901819</v>
      </c>
      <c r="K13" s="51">
        <v>528402.1759882765</v>
      </c>
      <c r="L13" s="57">
        <v>0.016635427143164117</v>
      </c>
      <c r="M13" s="57">
        <v>0.926210019870982</v>
      </c>
      <c r="N13" s="59">
        <v>0.00475273724131231</v>
      </c>
      <c r="O13" s="57">
        <v>-0.2174054401934855</v>
      </c>
      <c r="P13" s="51">
        <v>57.72776385277226</v>
      </c>
      <c r="Q13" s="35">
        <v>4538.491840914886</v>
      </c>
      <c r="R13" s="32">
        <v>5041.881401218479</v>
      </c>
      <c r="S13" s="57">
        <v>-0.09984161074910222</v>
      </c>
      <c r="T13" s="51">
        <v>291056.5389032249</v>
      </c>
      <c r="U13" s="51">
        <v>570499.3086361571</v>
      </c>
      <c r="V13" s="51">
        <v>279442.76973293215</v>
      </c>
    </row>
    <row r="14">
      <c r="A14" s="55">
        <v>45464.95996951389</v>
      </c>
      <c r="B14" s="48">
        <v>10.778861140254124</v>
      </c>
      <c r="C14" s="7">
        <v>0.0047794315761913175</v>
      </c>
      <c r="D14" s="49">
        <v>0.9421371423881304</v>
      </c>
      <c r="E14" s="50">
        <v>124.93992913039821</v>
      </c>
      <c r="F14" s="7">
        <v>0.0026647122371814547</v>
      </c>
      <c r="G14" s="49">
        <v>1.1642953198229282</v>
      </c>
      <c r="H14" s="51">
        <v>41962.044853077176</v>
      </c>
      <c r="I14" s="7">
        <v>3.547934859344481E-4</v>
      </c>
      <c r="J14" s="7">
        <v>0.07423340626986852</v>
      </c>
      <c r="K14" s="51">
        <v>523309.66988581186</v>
      </c>
      <c r="L14" s="7">
        <v>0.0044246380902568695</v>
      </c>
      <c r="M14" s="7">
        <v>0.9257665937301315</v>
      </c>
      <c r="N14" s="52">
        <v>0.002114719339009863</v>
      </c>
      <c r="O14" s="7">
        <v>-0.22215817743479782</v>
      </c>
      <c r="P14" s="53">
        <v>57.72776385277226</v>
      </c>
      <c r="Q14" s="35">
        <v>4524.347970046646</v>
      </c>
      <c r="R14" s="13">
        <v>5041.881401218479</v>
      </c>
      <c r="S14" s="7">
        <v>-0.10264688714152623</v>
      </c>
      <c r="T14" s="53">
        <v>291056.5389032249</v>
      </c>
      <c r="U14" s="53">
        <v>565271.714738889</v>
      </c>
      <c r="V14" s="53">
        <v>274215.1758356641</v>
      </c>
    </row>
    <row r="15">
      <c r="A15" s="55">
        <v>45463.959972662036</v>
      </c>
      <c r="B15" s="56">
        <v>10.752335295006262</v>
      </c>
      <c r="C15" s="57">
        <v>-0.01372019310888617</v>
      </c>
      <c r="D15" s="58">
        <v>0.9373577108119391</v>
      </c>
      <c r="E15" s="50">
        <v>124.7861012516346</v>
      </c>
      <c r="F15" s="57">
        <v>-0.02618941977753897</v>
      </c>
      <c r="G15" s="58">
        <v>1.1616306075857468</v>
      </c>
      <c r="H15" s="51">
        <v>42430.94019233444</v>
      </c>
      <c r="I15" s="57">
        <v>-0.0010324183210663157</v>
      </c>
      <c r="J15" s="57">
        <v>0.07524808964952893</v>
      </c>
      <c r="K15" s="51">
        <v>521449.68973406346</v>
      </c>
      <c r="L15" s="57">
        <v>-0.012687774787819853</v>
      </c>
      <c r="M15" s="57">
        <v>0.924751910350471</v>
      </c>
      <c r="N15" s="59">
        <v>0.0124692266686528</v>
      </c>
      <c r="O15" s="57">
        <v>-0.22427289677380768</v>
      </c>
      <c r="P15" s="51">
        <v>57.72776385277226</v>
      </c>
      <c r="Q15" s="35">
        <v>4518.777526267266</v>
      </c>
      <c r="R15" s="32">
        <v>5041.881401218479</v>
      </c>
      <c r="S15" s="57">
        <v>-0.10375172149523276</v>
      </c>
      <c r="T15" s="51">
        <v>291056.5389032249</v>
      </c>
      <c r="U15" s="51">
        <v>563880.6299263979</v>
      </c>
      <c r="V15" s="51">
        <v>272824.091023173</v>
      </c>
    </row>
    <row r="16">
      <c r="A16" s="55">
        <v>45462.959976956015</v>
      </c>
      <c r="B16" s="56">
        <v>10.82848236676058</v>
      </c>
      <c r="C16" s="57">
        <v>-0.014085014046310018</v>
      </c>
      <c r="D16" s="58">
        <v>0.9510779039208253</v>
      </c>
      <c r="E16" s="50">
        <v>126.29795789199352</v>
      </c>
      <c r="F16" s="57">
        <v>-0.0263542930702223</v>
      </c>
      <c r="G16" s="58">
        <v>1.1878200273632857</v>
      </c>
      <c r="H16" s="51">
        <v>42348.09752616625</v>
      </c>
      <c r="I16" s="57">
        <v>-0.0010503625233046375</v>
      </c>
      <c r="J16" s="57">
        <v>0.07457305472690037</v>
      </c>
      <c r="K16" s="51">
        <v>525525.884319588</v>
      </c>
      <c r="L16" s="57">
        <v>-0.013034651523005382</v>
      </c>
      <c r="M16" s="57">
        <v>0.9254269452730997</v>
      </c>
      <c r="N16" s="59">
        <v>0.012269279023912283</v>
      </c>
      <c r="O16" s="57">
        <v>-0.23674212344246048</v>
      </c>
      <c r="P16" s="51">
        <v>57.72776385277226</v>
      </c>
      <c r="Q16" s="35">
        <v>4496.30375125609</v>
      </c>
      <c r="R16" s="32">
        <v>5041.881401218479</v>
      </c>
      <c r="S16" s="57">
        <v>-0.10820913991164852</v>
      </c>
      <c r="T16" s="51">
        <v>291056.5389032249</v>
      </c>
      <c r="U16" s="51">
        <v>567873.9818457542</v>
      </c>
      <c r="V16" s="51">
        <v>276817.4429425293</v>
      </c>
    </row>
    <row r="17">
      <c r="A17" s="55">
        <v>45461.95996070602</v>
      </c>
      <c r="B17" s="56">
        <v>10.9066541947176</v>
      </c>
      <c r="C17" s="57">
        <v>-0.11257388838314086</v>
      </c>
      <c r="D17" s="58">
        <v>0.9651629179671353</v>
      </c>
      <c r="E17" s="50">
        <v>127.81933229885804</v>
      </c>
      <c r="F17" s="57">
        <v>-0.08789867888812664</v>
      </c>
      <c r="G17" s="58">
        <v>1.214174320433508</v>
      </c>
      <c r="H17" s="51">
        <v>42308.13129800693</v>
      </c>
      <c r="I17" s="57">
        <v>-0.008326942955424074</v>
      </c>
      <c r="J17" s="57">
        <v>0.07396868914293558</v>
      </c>
      <c r="K17" s="51">
        <v>529665.3859864695</v>
      </c>
      <c r="L17" s="57">
        <v>-0.10424694542771679</v>
      </c>
      <c r="M17" s="57">
        <v>0.9260313108570644</v>
      </c>
      <c r="N17" s="59">
        <v>-0.024675209495014228</v>
      </c>
      <c r="O17" s="57">
        <v>-0.24901140246637277</v>
      </c>
      <c r="P17" s="51">
        <v>57.72776385277226</v>
      </c>
      <c r="Q17" s="35">
        <v>4474.8592172827875</v>
      </c>
      <c r="R17" s="32">
        <v>5041.881401218479</v>
      </c>
      <c r="S17" s="57">
        <v>-0.1124624200399991</v>
      </c>
      <c r="T17" s="51">
        <v>291056.5389032249</v>
      </c>
      <c r="U17" s="51">
        <v>571973.5172844764</v>
      </c>
      <c r="V17" s="51">
        <v>280916.9783812515</v>
      </c>
    </row>
    <row r="18">
      <c r="A18" s="55">
        <v>45460.959980115746</v>
      </c>
      <c r="B18" s="56">
        <v>11.531439275244033</v>
      </c>
      <c r="C18" s="57">
        <v>-0.09595520956758197</v>
      </c>
      <c r="D18" s="58">
        <v>1.0777368063502761</v>
      </c>
      <c r="E18" s="50">
        <v>132.8935264766825</v>
      </c>
      <c r="F18" s="57">
        <v>-0.09808726408061608</v>
      </c>
      <c r="G18" s="58">
        <v>1.3020729993216347</v>
      </c>
      <c r="H18" s="51">
        <v>43291.50918283708</v>
      </c>
      <c r="I18" s="57">
        <v>-0.006869156174233539</v>
      </c>
      <c r="J18" s="57">
        <v>0.07158711033188397</v>
      </c>
      <c r="K18" s="51">
        <v>561447.3744253144</v>
      </c>
      <c r="L18" s="57">
        <v>-0.08908605339334842</v>
      </c>
      <c r="M18" s="57">
        <v>0.928412889668116</v>
      </c>
      <c r="N18" s="59">
        <v>0.0021320545130341095</v>
      </c>
      <c r="O18" s="57">
        <v>-0.22433619297135854</v>
      </c>
      <c r="P18" s="51">
        <v>57.72776385277226</v>
      </c>
      <c r="Q18" s="35">
        <v>4550.551856370965</v>
      </c>
      <c r="R18" s="32">
        <v>5041.881401218479</v>
      </c>
      <c r="S18" s="57">
        <v>-0.09744964344634807</v>
      </c>
      <c r="T18" s="51">
        <v>291056.5389032249</v>
      </c>
      <c r="U18" s="51">
        <v>604738.8836081515</v>
      </c>
      <c r="V18" s="51">
        <v>313682.34470492654</v>
      </c>
    </row>
    <row r="19">
      <c r="A19" s="55">
        <v>45459.959961238426</v>
      </c>
      <c r="B19" s="56">
        <v>12.063990688344113</v>
      </c>
      <c r="C19" s="57">
        <v>0.07085571389625</v>
      </c>
      <c r="D19" s="58">
        <v>1.173692015917858</v>
      </c>
      <c r="E19" s="50">
        <v>138.5558848944928</v>
      </c>
      <c r="F19" s="57">
        <v>0.06317566647791528</v>
      </c>
      <c r="G19" s="58">
        <v>1.4001602634022507</v>
      </c>
      <c r="H19" s="51">
        <v>43213.88990301724</v>
      </c>
      <c r="I19" s="57">
        <v>0.004839749330019002</v>
      </c>
      <c r="J19" s="57">
        <v>0.06830429140980178</v>
      </c>
      <c r="K19" s="51">
        <v>589453.3848916083</v>
      </c>
      <c r="L19" s="57">
        <v>0.066015964566231</v>
      </c>
      <c r="M19" s="57">
        <v>0.9316957085901982</v>
      </c>
      <c r="N19" s="59">
        <v>0.007680047418334723</v>
      </c>
      <c r="O19" s="57">
        <v>-0.22646824748439265</v>
      </c>
      <c r="P19" s="51">
        <v>57.72776385277226</v>
      </c>
      <c r="Q19" s="35">
        <v>4566.152316636622</v>
      </c>
      <c r="R19" s="32">
        <v>5041.881401218479</v>
      </c>
      <c r="S19" s="57">
        <v>-0.09435546906495794</v>
      </c>
      <c r="T19" s="51">
        <v>291056.5389032249</v>
      </c>
      <c r="U19" s="51">
        <v>632667.2747946255</v>
      </c>
      <c r="V19" s="51">
        <v>341610.73589140055</v>
      </c>
    </row>
    <row r="20">
      <c r="A20" s="55">
        <v>45458.959966180555</v>
      </c>
      <c r="B20" s="56">
        <v>11.670741476219925</v>
      </c>
      <c r="C20" s="57">
        <v>0.014983979356454569</v>
      </c>
      <c r="D20" s="58">
        <v>1.102836302021608</v>
      </c>
      <c r="E20" s="50">
        <v>134.9088949388142</v>
      </c>
      <c r="F20" s="57">
        <v>0.02174530583736667</v>
      </c>
      <c r="G20" s="58">
        <v>1.3369845969243355</v>
      </c>
      <c r="H20" s="51">
        <v>42733.339551277146</v>
      </c>
      <c r="I20" s="57">
        <v>0.0010461914664626922</v>
      </c>
      <c r="J20" s="57">
        <v>0.06982066923444004</v>
      </c>
      <c r="K20" s="51">
        <v>569310.9163951887</v>
      </c>
      <c r="L20" s="57">
        <v>0.013937787889991877</v>
      </c>
      <c r="M20" s="57">
        <v>0.93017933076556</v>
      </c>
      <c r="N20" s="59">
        <v>-0.0067613264809121</v>
      </c>
      <c r="O20" s="57">
        <v>-0.23414829490272737</v>
      </c>
      <c r="P20" s="51">
        <v>57.72776385277226</v>
      </c>
      <c r="Q20" s="35">
        <v>4536.72277297986</v>
      </c>
      <c r="R20" s="32">
        <v>5041.881401218479</v>
      </c>
      <c r="S20" s="57">
        <v>-0.1001924853124346</v>
      </c>
      <c r="T20" s="51">
        <v>291056.5389032249</v>
      </c>
      <c r="U20" s="51">
        <v>612044.2559464658</v>
      </c>
      <c r="V20" s="51">
        <v>320987.71704324085</v>
      </c>
    </row>
    <row r="21">
      <c r="A21" s="55">
        <v>45457.959970752316</v>
      </c>
      <c r="B21" s="56">
        <v>11.5875803907916</v>
      </c>
      <c r="C21" s="57">
        <v>-0.06438399767055625</v>
      </c>
      <c r="D21" s="58">
        <v>1.0878523226651535</v>
      </c>
      <c r="E21" s="50">
        <v>133.6535870585284</v>
      </c>
      <c r="F21" s="57">
        <v>-0.06295032652105093</v>
      </c>
      <c r="G21" s="58">
        <v>1.3152392910869688</v>
      </c>
      <c r="H21" s="51">
        <v>42750.083608585526</v>
      </c>
      <c r="I21" s="57">
        <v>-0.004529369692587553</v>
      </c>
      <c r="J21" s="57">
        <v>0.07034930815827395</v>
      </c>
      <c r="K21" s="51">
        <v>564932.9871673932</v>
      </c>
      <c r="L21" s="57">
        <v>-0.05985462797796869</v>
      </c>
      <c r="M21" s="57">
        <v>0.929650691841726</v>
      </c>
      <c r="N21" s="59">
        <v>-0.0014336711495053223</v>
      </c>
      <c r="O21" s="57">
        <v>-0.22738696842181527</v>
      </c>
      <c r="P21" s="51">
        <v>57.72776385277226</v>
      </c>
      <c r="Q21" s="35">
        <v>4546.702293219168</v>
      </c>
      <c r="R21" s="32">
        <v>5041.881401218479</v>
      </c>
      <c r="S21" s="57">
        <v>-0.09821316064269998</v>
      </c>
      <c r="T21" s="51">
        <v>291056.5389032249</v>
      </c>
      <c r="U21" s="51">
        <v>607683.0707759787</v>
      </c>
      <c r="V21" s="51">
        <v>316626.5318727538</v>
      </c>
    </row>
    <row r="22">
      <c r="A22" s="55">
        <v>45456.959963761576</v>
      </c>
      <c r="B22" s="56">
        <v>11.94491157786319</v>
      </c>
      <c r="C22" s="57">
        <v>-0.09995060817631085</v>
      </c>
      <c r="D22" s="58">
        <v>1.1522363203357098</v>
      </c>
      <c r="E22" s="50">
        <v>137.28756864239054</v>
      </c>
      <c r="F22" s="57">
        <v>-0.09963977607550012</v>
      </c>
      <c r="G22" s="58">
        <v>1.3781896176080197</v>
      </c>
      <c r="H22" s="51">
        <v>43134.2339438345</v>
      </c>
      <c r="I22" s="57">
        <v>-0.006882404815344613</v>
      </c>
      <c r="J22" s="57">
        <v>0.06885805840424893</v>
      </c>
      <c r="K22" s="51">
        <v>583288.2203548896</v>
      </c>
      <c r="L22" s="57">
        <v>-0.09306820336096623</v>
      </c>
      <c r="M22" s="57">
        <v>0.931141941595751</v>
      </c>
      <c r="N22" s="59">
        <v>-3.1083210081073176E-4</v>
      </c>
      <c r="O22" s="57">
        <v>-0.22595329727230995</v>
      </c>
      <c r="P22" s="51">
        <v>57.72776385277226</v>
      </c>
      <c r="Q22" s="35">
        <v>4562.84906560216</v>
      </c>
      <c r="R22" s="32">
        <v>5041.881401218479</v>
      </c>
      <c r="S22" s="57">
        <v>-0.0950106314481238</v>
      </c>
      <c r="T22" s="51">
        <v>291056.5389032249</v>
      </c>
      <c r="U22" s="51">
        <v>626422.4542987242</v>
      </c>
      <c r="V22" s="51">
        <v>335365.91539549927</v>
      </c>
    </row>
    <row r="23">
      <c r="A23" s="55">
        <v>45455.95996024305</v>
      </c>
      <c r="B23" s="56">
        <v>12.499637453241714</v>
      </c>
      <c r="C23" s="57">
        <v>0.08997227614013337</v>
      </c>
      <c r="D23" s="58">
        <v>1.2521869285120206</v>
      </c>
      <c r="E23" s="50">
        <v>143.0395501060201</v>
      </c>
      <c r="F23" s="57">
        <v>0.08403043556157153</v>
      </c>
      <c r="G23" s="58">
        <v>1.4778293936835198</v>
      </c>
      <c r="H23" s="51">
        <v>43763.09892589886</v>
      </c>
      <c r="I23" s="57">
        <v>0.00600668670515612</v>
      </c>
      <c r="J23" s="57">
        <v>0.06676152880472427</v>
      </c>
      <c r="K23" s="51">
        <v>611750.6334498947</v>
      </c>
      <c r="L23" s="57">
        <v>0.08396558943497724</v>
      </c>
      <c r="M23" s="57">
        <v>0.9332384711952757</v>
      </c>
      <c r="N23" s="59">
        <v>0.005941840578561841</v>
      </c>
      <c r="O23" s="57">
        <v>-0.22564246517149922</v>
      </c>
      <c r="P23" s="51">
        <v>57.72776385277226</v>
      </c>
      <c r="Q23" s="35">
        <v>4582.744645728615</v>
      </c>
      <c r="R23" s="32">
        <v>5041.881401218479</v>
      </c>
      <c r="S23" s="57">
        <v>-0.09106456874985279</v>
      </c>
      <c r="T23" s="51">
        <v>291056.5389032249</v>
      </c>
      <c r="U23" s="51">
        <v>655513.7323757936</v>
      </c>
      <c r="V23" s="51">
        <v>364457.1934725687</v>
      </c>
    </row>
    <row r="24">
      <c r="A24" s="55">
        <v>45454.95995957176</v>
      </c>
      <c r="B24" s="56">
        <v>12.000291320663974</v>
      </c>
      <c r="C24" s="57">
        <v>-0.14647981655263775</v>
      </c>
      <c r="D24" s="58">
        <v>1.1622146523718873</v>
      </c>
      <c r="E24" s="50">
        <v>138.18866096547612</v>
      </c>
      <c r="F24" s="57">
        <v>-0.17586401432566312</v>
      </c>
      <c r="G24" s="58">
        <v>1.3937989581219483</v>
      </c>
      <c r="H24" s="51">
        <v>43348.949527173114</v>
      </c>
      <c r="I24" s="57">
        <v>-0.010089745187139723</v>
      </c>
      <c r="J24" s="57">
        <v>0.06888147066673829</v>
      </c>
      <c r="K24" s="51">
        <v>585977.7635580281</v>
      </c>
      <c r="L24" s="57">
        <v>-0.13639007136549805</v>
      </c>
      <c r="M24" s="57">
        <v>0.9311185293332618</v>
      </c>
      <c r="N24" s="59">
        <v>0.029384197773025367</v>
      </c>
      <c r="O24" s="57">
        <v>-0.23158430575006106</v>
      </c>
      <c r="P24" s="51">
        <v>57.72776385277226</v>
      </c>
      <c r="Q24" s="35">
        <v>4554.112534909264</v>
      </c>
      <c r="R24" s="32">
        <v>5041.881401218479</v>
      </c>
      <c r="S24" s="57">
        <v>-0.09674342323707494</v>
      </c>
      <c r="T24" s="51">
        <v>291056.5389032249</v>
      </c>
      <c r="U24" s="51">
        <v>629326.7130852012</v>
      </c>
      <c r="V24" s="51">
        <v>338270.1741819763</v>
      </c>
    </row>
    <row r="25">
      <c r="A25" s="55">
        <v>45453.9599662963</v>
      </c>
      <c r="B25" s="48">
        <f t="array" ref="B25">INDEX($U:$U,ROW())/INDEX($T:$T,ROW())*INDEX($B:$B,ROWS($B:$B))</f>
        <v>12.8132543</v>
      </c>
      <c r="C25" s="7">
        <f t="array" ref="C25">INDEX(D:D,ROW())-INDEX(D:D,ROW()+1)</f>
        <v>-0.04275592372</v>
      </c>
      <c r="D25" s="49">
        <f t="array" ref="D25">-1+INDEX(B:B,ROW())/INDEX(B:B,ROWS(B:B))</f>
        <v>1.308694469</v>
      </c>
      <c r="E25" s="50">
        <v>148.34089725466856</v>
      </c>
      <c r="F25" s="7">
        <f t="array" ref="F25">INDEX(G:G,ROW())-INDEX(G:G,ROW()+1)</f>
        <v>-0.02368531105</v>
      </c>
      <c r="G25" s="49">
        <f t="array" ref="G25">-1+INDEX(E:E,ROW())/INDEX(P:P,ROW())</f>
        <v>1.569662972</v>
      </c>
      <c r="H25" s="51">
        <f>SUMIFS(Dashboard!$C:$C,Dashboard!$A:$A,"*(BTC)")</f>
        <v>39124.22503</v>
      </c>
      <c r="I25" s="7">
        <f>$C25*J25</f>
        <v>-0.002489420254</v>
      </c>
      <c r="J25" s="7">
        <f>IF($H25+$K25&lt;&gt;0,H25/($H25+$K25),0)</f>
        <v>0.05822398483</v>
      </c>
      <c r="K25" s="51">
        <f>IF(ROW()=2,SUMIFS(Dashboard!$C:$C,Dashboard!$A:$A,"TOTAL"),$Q25*$E25)-$H25</f>
        <v>632836.3965</v>
      </c>
      <c r="L25" s="7">
        <f>$C25*M25</f>
        <v>-0.04026650347</v>
      </c>
      <c r="M25" s="7">
        <f>IF($H25+$K25&lt;&gt;0,K25/($H25+$K25),0)</f>
        <v>0.9417760152</v>
      </c>
      <c r="N25" s="52">
        <f t="shared" ref="N25:O25" si="2">C25-F25</f>
        <v>-0.01907061267</v>
      </c>
      <c r="O25" s="7">
        <f t="shared" si="2"/>
        <v>-0.2609685035</v>
      </c>
      <c r="P25" s="53">
        <f>SUMIFS(OFFSET(Transfer!$D:$D,2,0),OFFSET(Transfer!$A:$A,2,0),"&lt;="&amp;$A25)/SUMIFS(OFFSET(Transfer!$E:$E,2,0),OFFSET(Transfer!$A:$A,2,0),"&lt;="&amp;$A25)</f>
        <v>57.72776385</v>
      </c>
      <c r="Q25" s="35">
        <f>Q26/E26*E25</f>
        <v>4529.840617</v>
      </c>
      <c r="R25" s="13">
        <f>SUMIFS(OFFSET(Transfer!$B:$B,2,0),OFFSET(Transfer!$A:$A,2,0),"&lt;="&amp;$A25)/(SUMIFS(OFFSET(Transfer!$D:$D,2,0),OFFSET(Transfer!$A:$A,2,0),"&lt;="&amp;$A25)/SUMIFS(OFFSET(Transfer!$E:$E,2,0),OFFSET(Transfer!$A:$A,2,0),"&lt;="&amp;$A25))</f>
        <v>5041.881401</v>
      </c>
      <c r="S25" s="7">
        <f>(Q25-R25)/R25</f>
        <v>-0.101557483</v>
      </c>
      <c r="T25" s="53">
        <f>SUMIFS(OFFSET(Transfer!$B:$B,2,0),OFFSET(Transfer!$A:$A,2,0),"&lt;="&amp;$A25)</f>
        <v>291056.5389</v>
      </c>
      <c r="U25" s="53">
        <f>$K25+$H25</f>
        <v>671960.6215</v>
      </c>
      <c r="V25" s="53">
        <f>$U25-$T25</f>
        <v>380904.0826</v>
      </c>
    </row>
    <row r="26">
      <c r="A26" s="55">
        <v>45452.959954074075</v>
      </c>
      <c r="B26" s="56">
        <v>13.05054967917485</v>
      </c>
      <c r="C26" s="57">
        <v>0.05138095451661506</v>
      </c>
      <c r="D26" s="58">
        <v>1.351450392644117</v>
      </c>
      <c r="E26" s="50">
        <v>149.70819729747228</v>
      </c>
      <c r="F26" s="57">
        <v>0.048723049579851185</v>
      </c>
      <c r="G26" s="58">
        <v>1.593348283492932</v>
      </c>
      <c r="H26" s="51">
        <v>44771.63040587537</v>
      </c>
      <c r="I26" s="57">
        <v>0.0033611809716181176</v>
      </c>
      <c r="J26" s="57">
        <v>0.06541686512521312</v>
      </c>
      <c r="K26" s="51">
        <v>639633.3822797505</v>
      </c>
      <c r="L26" s="57">
        <v>0.048019773544996945</v>
      </c>
      <c r="M26" s="57">
        <v>0.9345831348747868</v>
      </c>
      <c r="N26" s="59">
        <v>0.0026579049367638774</v>
      </c>
      <c r="O26" s="57">
        <v>-0.24189789084881497</v>
      </c>
      <c r="P26" s="51">
        <v>57.72776385277226</v>
      </c>
      <c r="Q26" s="35">
        <v>4571.593440041921</v>
      </c>
      <c r="R26" s="32">
        <v>5041.881401218479</v>
      </c>
      <c r="S26" s="57">
        <v>-0.09327628394093188</v>
      </c>
      <c r="T26" s="51">
        <v>291056.5389032249</v>
      </c>
      <c r="U26" s="51">
        <v>684405.0126856259</v>
      </c>
      <c r="V26" s="51">
        <v>393348.473782401</v>
      </c>
    </row>
    <row r="27">
      <c r="A27" s="55">
        <v>45451.95995642361</v>
      </c>
      <c r="B27" s="56">
        <v>12.765385381607636</v>
      </c>
      <c r="C27" s="57">
        <v>-0.063644157344934</v>
      </c>
      <c r="D27" s="58">
        <v>1.300069438127502</v>
      </c>
      <c r="E27" s="50">
        <v>146.8955245971397</v>
      </c>
      <c r="F27" s="57">
        <v>-0.05856242081618923</v>
      </c>
      <c r="G27" s="58">
        <v>1.5446252339130808</v>
      </c>
      <c r="H27" s="51">
        <v>44410.224029914105</v>
      </c>
      <c r="I27" s="57">
        <v>-0.004222048294570451</v>
      </c>
      <c r="J27" s="57">
        <v>0.06633834857280141</v>
      </c>
      <c r="K27" s="51">
        <v>625040.0258685618</v>
      </c>
      <c r="L27" s="57">
        <v>-0.059422109050363554</v>
      </c>
      <c r="M27" s="57">
        <v>0.9336616514271986</v>
      </c>
      <c r="N27" s="59">
        <v>-0.0050817365287447736</v>
      </c>
      <c r="O27" s="57">
        <v>-0.24455579578557884</v>
      </c>
      <c r="P27" s="51">
        <v>57.72776385277226</v>
      </c>
      <c r="Q27" s="35">
        <v>4557.322299194888</v>
      </c>
      <c r="R27" s="32">
        <v>5041.881401218479</v>
      </c>
      <c r="S27" s="57">
        <v>-0.09610680289038283</v>
      </c>
      <c r="T27" s="51">
        <v>291056.5389032249</v>
      </c>
      <c r="U27" s="51">
        <v>669450.249898476</v>
      </c>
      <c r="V27" s="51">
        <v>378393.710995251</v>
      </c>
    </row>
    <row r="28">
      <c r="A28" s="55">
        <v>45450.959972094905</v>
      </c>
      <c r="B28" s="56">
        <v>13.11861045487202</v>
      </c>
      <c r="C28" s="57">
        <v>-0.11857226675958144</v>
      </c>
      <c r="D28" s="58">
        <v>1.363713595472436</v>
      </c>
      <c r="E28" s="50">
        <v>150.27620219666335</v>
      </c>
      <c r="F28" s="57">
        <v>-0.10534735567138531</v>
      </c>
      <c r="G28" s="58">
        <v>1.60318765472927</v>
      </c>
      <c r="H28" s="51">
        <v>44468.36460102477</v>
      </c>
      <c r="I28" s="57">
        <v>-0.007664115948413593</v>
      </c>
      <c r="J28" s="57">
        <v>0.0646366655362459</v>
      </c>
      <c r="K28" s="51">
        <v>643505.9334556799</v>
      </c>
      <c r="L28" s="57">
        <v>-0.11090815081116784</v>
      </c>
      <c r="M28" s="57">
        <v>0.9353633344637541</v>
      </c>
      <c r="N28" s="59">
        <v>-0.013224911088196123</v>
      </c>
      <c r="O28" s="57">
        <v>-0.23947405925683407</v>
      </c>
      <c r="P28" s="51">
        <v>57.72776385277226</v>
      </c>
      <c r="Q28" s="35">
        <v>4578.065508711532</v>
      </c>
      <c r="R28" s="32">
        <v>5041.881401218479</v>
      </c>
      <c r="S28" s="57">
        <v>-0.09199262251485255</v>
      </c>
      <c r="T28" s="51">
        <v>291056.5389032249</v>
      </c>
      <c r="U28" s="51">
        <v>687974.2980567047</v>
      </c>
      <c r="V28" s="51">
        <v>396917.75915347977</v>
      </c>
    </row>
    <row r="29">
      <c r="A29" s="55">
        <v>45449.96003400463</v>
      </c>
      <c r="B29" s="56">
        <v>13.776686535387697</v>
      </c>
      <c r="C29" s="57">
        <v>-0.05278663255858618</v>
      </c>
      <c r="D29" s="58">
        <v>1.4822858622320174</v>
      </c>
      <c r="E29" s="50">
        <v>156.3576694673751</v>
      </c>
      <c r="F29" s="57">
        <v>-0.051578475928900414</v>
      </c>
      <c r="G29" s="58">
        <v>1.7085350104006554</v>
      </c>
      <c r="H29" s="51">
        <v>45190.16082175199</v>
      </c>
      <c r="I29" s="57">
        <v>-0.003301708214392311</v>
      </c>
      <c r="J29" s="57">
        <v>0.06254818794754244</v>
      </c>
      <c r="K29" s="51">
        <v>677295.3708079064</v>
      </c>
      <c r="L29" s="57">
        <v>-0.04948492434419387</v>
      </c>
      <c r="M29" s="57">
        <v>0.9374518120524575</v>
      </c>
      <c r="N29" s="59">
        <v>-0.0012081566296857638</v>
      </c>
      <c r="O29" s="57">
        <v>-0.22624914816863795</v>
      </c>
      <c r="P29" s="51">
        <v>57.72776385277226</v>
      </c>
      <c r="Q29" s="35">
        <v>4620.723333180717</v>
      </c>
      <c r="R29" s="32">
        <v>5041.881401218479</v>
      </c>
      <c r="S29" s="57">
        <v>-0.08353192677955099</v>
      </c>
      <c r="T29" s="51">
        <v>291056.5389032249</v>
      </c>
      <c r="U29" s="51">
        <v>722485.5316296584</v>
      </c>
      <c r="V29" s="51">
        <v>431428.9927264335</v>
      </c>
    </row>
    <row r="30">
      <c r="A30" s="55">
        <v>45448.959968310184</v>
      </c>
      <c r="B30" s="56">
        <v>14.06965234608785</v>
      </c>
      <c r="C30" s="57">
        <v>0.057780654803902376</v>
      </c>
      <c r="D30" s="58">
        <v>1.5350724947906036</v>
      </c>
      <c r="E30" s="50">
        <v>159.33517954568455</v>
      </c>
      <c r="F30" s="57">
        <v>0.05684246697330364</v>
      </c>
      <c r="G30" s="58">
        <v>1.7601134863295558</v>
      </c>
      <c r="H30" s="51">
        <v>45382.2473522104</v>
      </c>
      <c r="I30" s="57">
        <v>0.0035538632617485625</v>
      </c>
      <c r="J30" s="57">
        <v>0.061506109160752234</v>
      </c>
      <c r="K30" s="51">
        <v>692467.1788503064</v>
      </c>
      <c r="L30" s="57">
        <v>0.05422679154215382</v>
      </c>
      <c r="M30" s="57">
        <v>0.9384938908392478</v>
      </c>
      <c r="N30" s="59">
        <v>9.381878305987357E-4</v>
      </c>
      <c r="O30" s="57">
        <v>-0.22504099153895218</v>
      </c>
      <c r="P30" s="51">
        <v>57.72776385277226</v>
      </c>
      <c r="Q30" s="35">
        <v>4630.800481766556</v>
      </c>
      <c r="R30" s="32">
        <v>5041.881401218479</v>
      </c>
      <c r="S30" s="57">
        <v>-0.08153323863440676</v>
      </c>
      <c r="T30" s="51">
        <v>291056.5389032249</v>
      </c>
      <c r="U30" s="51">
        <v>737849.4262025168</v>
      </c>
      <c r="V30" s="51">
        <v>446792.88729929185</v>
      </c>
    </row>
    <row r="31">
      <c r="A31" s="55">
        <v>45447.95996126157</v>
      </c>
      <c r="B31" s="56">
        <v>13.748969711926192</v>
      </c>
      <c r="C31" s="57">
        <v>0.06863406106676306</v>
      </c>
      <c r="D31" s="58">
        <v>1.4772918399867012</v>
      </c>
      <c r="E31" s="50">
        <v>156.05379103544067</v>
      </c>
      <c r="F31" s="57">
        <v>0.06854154372615051</v>
      </c>
      <c r="G31" s="58">
        <v>1.7032710193562521</v>
      </c>
      <c r="H31" s="51">
        <v>45141.90289570721</v>
      </c>
      <c r="I31" s="57">
        <v>0.004296996760395345</v>
      </c>
      <c r="J31" s="57">
        <v>0.06260735112578412</v>
      </c>
      <c r="K31" s="51">
        <v>675890.0859040238</v>
      </c>
      <c r="L31" s="57">
        <v>0.06433706430636772</v>
      </c>
      <c r="M31" s="57">
        <v>0.9373926488742159</v>
      </c>
      <c r="N31" s="59">
        <v>9.251734061255235E-5</v>
      </c>
      <c r="O31" s="57">
        <v>-0.22597917936955092</v>
      </c>
      <c r="P31" s="51">
        <v>57.72776385277226</v>
      </c>
      <c r="Q31" s="35">
        <v>4620.406745748206</v>
      </c>
      <c r="R31" s="32">
        <v>5041.881401218479</v>
      </c>
      <c r="S31" s="57">
        <v>-0.08359471830662556</v>
      </c>
      <c r="T31" s="51">
        <v>291056.5389032249</v>
      </c>
      <c r="U31" s="51">
        <v>721031.988799731</v>
      </c>
      <c r="V31" s="51">
        <v>429975.4498965061</v>
      </c>
    </row>
    <row r="32">
      <c r="A32" s="55">
        <v>45446.9599641088</v>
      </c>
      <c r="B32" s="56">
        <v>13.368050673005657</v>
      </c>
      <c r="C32" s="57">
        <v>0.04639741060331115</v>
      </c>
      <c r="D32" s="58">
        <v>1.4086577789199382</v>
      </c>
      <c r="E32" s="50">
        <v>152.097040985113</v>
      </c>
      <c r="F32" s="57">
        <v>0.03919229148291281</v>
      </c>
      <c r="G32" s="58">
        <v>1.6347294756301016</v>
      </c>
      <c r="H32" s="51">
        <v>44017.76041770217</v>
      </c>
      <c r="I32" s="57">
        <v>0.002913192782474312</v>
      </c>
      <c r="J32" s="57">
        <v>0.06278783114388742</v>
      </c>
      <c r="K32" s="51">
        <v>657037.8361170641</v>
      </c>
      <c r="L32" s="57">
        <v>0.04348421782083684</v>
      </c>
      <c r="M32" s="57">
        <v>0.9372121688561126</v>
      </c>
      <c r="N32" s="59">
        <v>0.00720511912039834</v>
      </c>
      <c r="O32" s="57">
        <v>-0.22607169671016347</v>
      </c>
      <c r="P32" s="51">
        <v>57.72776385277226</v>
      </c>
      <c r="Q32" s="35">
        <v>4609.265190132031</v>
      </c>
      <c r="R32" s="32">
        <v>5041.881401218479</v>
      </c>
      <c r="S32" s="57">
        <v>-0.08580451951565082</v>
      </c>
      <c r="T32" s="51">
        <v>291056.5389032249</v>
      </c>
      <c r="U32" s="51">
        <v>701055.5965347663</v>
      </c>
      <c r="V32" s="51">
        <v>409999.05763154133</v>
      </c>
    </row>
    <row r="33">
      <c r="A33" s="55">
        <v>45445.95995736111</v>
      </c>
      <c r="B33" s="56">
        <v>13.110545044157279</v>
      </c>
      <c r="C33" s="57">
        <v>-0.0726594344608773</v>
      </c>
      <c r="D33" s="58">
        <v>1.362260368316627</v>
      </c>
      <c r="E33" s="50">
        <v>149.83455763753838</v>
      </c>
      <c r="F33" s="57">
        <v>-0.06778467597697357</v>
      </c>
      <c r="G33" s="58">
        <v>1.5955371841471888</v>
      </c>
      <c r="H33" s="51">
        <v>43362.08612306539</v>
      </c>
      <c r="I33" s="57">
        <v>-0.06463743199504561</v>
      </c>
      <c r="J33" s="57">
        <v>0.06306741683632638</v>
      </c>
      <c r="K33" s="51">
        <v>644189.2406674293</v>
      </c>
      <c r="L33" s="57">
        <v>-0.9602568040063076</v>
      </c>
      <c r="M33" s="57">
        <v>0.9369325831636736</v>
      </c>
      <c r="N33" s="59">
        <v>-0.9571095600243797</v>
      </c>
      <c r="O33" s="57">
        <v>-0.2332768158305618</v>
      </c>
      <c r="P33" s="51">
        <v>57.72776385277226</v>
      </c>
      <c r="Q33" s="35">
        <v>4588.736654822552</v>
      </c>
      <c r="R33" s="32">
        <v>5041.881401218479</v>
      </c>
      <c r="S33" s="57">
        <v>-0.08987612169663796</v>
      </c>
      <c r="T33" s="51">
        <v>291056.5389032249</v>
      </c>
      <c r="U33" s="51">
        <v>687551.3267904947</v>
      </c>
      <c r="V33" s="51">
        <v>396494.7878872698</v>
      </c>
    </row>
    <row r="34">
      <c r="A34" s="55">
        <v>45444.95996440972</v>
      </c>
      <c r="B34" s="48">
        <f t="array" ref="B34">INDEX($U:$U,ROW())/INDEX($T:$T,ROW())*INDEX($B:$B,ROWS($B:$B))</f>
        <v>13.51380491</v>
      </c>
      <c r="C34" s="7">
        <f t="array" ref="C34">INDEX(D:D,ROW())-INDEX(D:D,ROW()+1)</f>
        <v>0.01198956549</v>
      </c>
      <c r="D34" s="49">
        <f t="array" ref="D34">-1+INDEX(B:B,ROW())/INDEX(B:B,ROWS(B:B))</f>
        <v>1.434919803</v>
      </c>
      <c r="E34" s="50">
        <v>153.7476154051738</v>
      </c>
      <c r="F34" s="7">
        <f t="array" ref="F34">INDEX(G:G,ROW())-INDEX(G:G,ROW()+1)</f>
        <v>0.006565201315</v>
      </c>
      <c r="G34" s="49">
        <f t="array" ref="G34">-1+INDEX(E:E,ROW())/INDEX(P:P,ROW())</f>
        <v>1.66332186</v>
      </c>
      <c r="H34" s="51">
        <f>SUMIFS(Dashboard!$C:$C,Dashboard!$A:$A,"*(BTC)")</f>
        <v>39124.22503</v>
      </c>
      <c r="I34" s="7">
        <f>$C34*J34</f>
        <v>0.000661892058</v>
      </c>
      <c r="J34" s="7">
        <f>IF($H34+$K34&lt;&gt;0,H34/($H34+$K34),0)</f>
        <v>0.05520567519</v>
      </c>
      <c r="K34" s="51">
        <f>IF(ROW()=2,SUMIFS(Dashboard!$C:$C,Dashboard!$A:$A,"TOTAL"),$Q34*$E34)-$H34</f>
        <v>669575.1053</v>
      </c>
      <c r="L34" s="7">
        <f>$C34*M34</f>
        <v>0.01132767343</v>
      </c>
      <c r="M34" s="7">
        <f>IF($H34+$K34&lt;&gt;0,K34/($H34+$K34),0)</f>
        <v>0.9447943248</v>
      </c>
      <c r="N34" s="52">
        <f t="shared" ref="N34:O34" si="3">C34-F34</f>
        <v>0.005424364174</v>
      </c>
      <c r="O34" s="7">
        <f t="shared" si="3"/>
        <v>-0.2284020573</v>
      </c>
      <c r="P34" s="53">
        <f>SUMIFS(OFFSET(Transfer!$D:$D,2,0),OFFSET(Transfer!$A:$A,2,0),"&lt;="&amp;$A34)/SUMIFS(OFFSET(Transfer!$E:$E,2,0),OFFSET(Transfer!$A:$A,2,0),"&lt;="&amp;$A34)</f>
        <v>57.72776385</v>
      </c>
      <c r="Q34" s="35">
        <f>Q35/E35*E34</f>
        <v>4609.49803</v>
      </c>
      <c r="R34" s="13">
        <f>SUMIFS(OFFSET(Transfer!$B:$B,2,0),OFFSET(Transfer!$A:$A,2,0),"&lt;="&amp;$A34)/(SUMIFS(OFFSET(Transfer!$D:$D,2,0),OFFSET(Transfer!$A:$A,2,0),"&lt;="&amp;$A34)/SUMIFS(OFFSET(Transfer!$E:$E,2,0),OFFSET(Transfer!$A:$A,2,0),"&lt;="&amp;$A34))</f>
        <v>5041.881401</v>
      </c>
      <c r="S34" s="7">
        <f>(Q34-R34)/R34</f>
        <v>-0.0857583384</v>
      </c>
      <c r="T34" s="53">
        <f>SUMIFS(OFFSET(Transfer!$B:$B,2,0),OFFSET(Transfer!$A:$A,2,0),"&lt;="&amp;$A34)</f>
        <v>291056.5389</v>
      </c>
      <c r="U34" s="53">
        <f>$K34+$H34</f>
        <v>708699.3303</v>
      </c>
      <c r="V34" s="53">
        <f>$U34-$T34</f>
        <v>417642.7914</v>
      </c>
    </row>
    <row r="35">
      <c r="A35" s="55">
        <v>45443.959980300926</v>
      </c>
      <c r="B35" s="56">
        <v>13.447262816951733</v>
      </c>
      <c r="C35" s="57">
        <v>-0.009818715453142168</v>
      </c>
      <c r="D35" s="58">
        <v>1.4229302372886008</v>
      </c>
      <c r="E35" s="50">
        <v>153.36862101399825</v>
      </c>
      <c r="F35" s="57">
        <v>-0.008429518562701688</v>
      </c>
      <c r="G35" s="58">
        <v>1.6567566588088622</v>
      </c>
      <c r="H35" s="51">
        <v>43286.19057590601</v>
      </c>
      <c r="I35" s="57">
        <v>-6.026786004554482E-4</v>
      </c>
      <c r="J35" s="57">
        <v>0.0613805953876156</v>
      </c>
      <c r="K35" s="51">
        <v>661923.4982932836</v>
      </c>
      <c r="L35" s="57">
        <v>-0.00921603685268672</v>
      </c>
      <c r="M35" s="57">
        <v>0.9386194046123845</v>
      </c>
      <c r="N35" s="59">
        <v>-0.0013891968904404806</v>
      </c>
      <c r="O35" s="57">
        <v>-0.23382642152026145</v>
      </c>
      <c r="P35" s="51">
        <v>57.72776385277226</v>
      </c>
      <c r="Q35" s="35">
        <v>4598.135421748519</v>
      </c>
      <c r="R35" s="32">
        <v>5041.881401218479</v>
      </c>
      <c r="S35" s="57">
        <v>-0.08801198286074717</v>
      </c>
      <c r="T35" s="51">
        <v>291056.5389032249</v>
      </c>
      <c r="U35" s="51">
        <v>705209.6888691896</v>
      </c>
      <c r="V35" s="51">
        <v>414153.14996596467</v>
      </c>
    </row>
    <row r="36">
      <c r="A36" s="55">
        <v>45442.95997108796</v>
      </c>
      <c r="B36" s="56">
        <v>13.501756687716673</v>
      </c>
      <c r="C36" s="57">
        <v>-0.04593609845594049</v>
      </c>
      <c r="D36" s="58">
        <v>1.432748952741743</v>
      </c>
      <c r="E36" s="50">
        <v>153.85523827097845</v>
      </c>
      <c r="F36" s="57">
        <v>-0.045235141462422135</v>
      </c>
      <c r="G36" s="58">
        <v>1.665186177371564</v>
      </c>
      <c r="H36" s="51">
        <v>43680.09387843036</v>
      </c>
      <c r="I36" s="57">
        <v>-0.0028337596637604207</v>
      </c>
      <c r="J36" s="57">
        <v>0.06168916732182676</v>
      </c>
      <c r="K36" s="51">
        <v>664387.3963270265</v>
      </c>
      <c r="L36" s="57">
        <v>-0.04310233879218007</v>
      </c>
      <c r="M36" s="57">
        <v>0.9383108326781733</v>
      </c>
      <c r="N36" s="59">
        <v>-7.009569935183535E-4</v>
      </c>
      <c r="O36" s="57">
        <v>-0.23243722462982097</v>
      </c>
      <c r="P36" s="51">
        <v>57.72776385277226</v>
      </c>
      <c r="Q36" s="35">
        <v>4602.166934078441</v>
      </c>
      <c r="R36" s="32">
        <v>5041.881401218479</v>
      </c>
      <c r="S36" s="57">
        <v>-0.08721237810825376</v>
      </c>
      <c r="T36" s="51">
        <v>291056.5389032249</v>
      </c>
      <c r="U36" s="51">
        <v>708067.4902054569</v>
      </c>
      <c r="V36" s="51">
        <v>417010.95130223193</v>
      </c>
    </row>
    <row r="37">
      <c r="A37" s="55">
        <v>45441.95996119213</v>
      </c>
      <c r="B37" s="56">
        <v>13.756702034147143</v>
      </c>
      <c r="C37" s="57">
        <v>0.00971735192323342</v>
      </c>
      <c r="D37" s="58">
        <v>1.4786850511976835</v>
      </c>
      <c r="E37" s="50">
        <v>156.4665618351679</v>
      </c>
      <c r="F37" s="57">
        <v>0.01994141918310488</v>
      </c>
      <c r="G37" s="58">
        <v>1.710421318833986</v>
      </c>
      <c r="H37" s="51">
        <v>43314.053041845575</v>
      </c>
      <c r="I37" s="57">
        <v>5.83415612963596E-4</v>
      </c>
      <c r="J37" s="57">
        <v>0.060038539055963944</v>
      </c>
      <c r="K37" s="51">
        <v>678123.4389909151</v>
      </c>
      <c r="L37" s="57">
        <v>0.009133936310269824</v>
      </c>
      <c r="M37" s="57">
        <v>0.9399614609440361</v>
      </c>
      <c r="N37" s="59">
        <v>-0.010224067259871461</v>
      </c>
      <c r="O37" s="57">
        <v>-0.23173626763630262</v>
      </c>
      <c r="P37" s="51">
        <v>57.72776385277226</v>
      </c>
      <c r="Q37" s="35">
        <v>4610.809386818188</v>
      </c>
      <c r="R37" s="32">
        <v>5041.881401218479</v>
      </c>
      <c r="S37" s="57">
        <v>-0.08549824561444738</v>
      </c>
      <c r="T37" s="51">
        <v>291056.5389032249</v>
      </c>
      <c r="U37" s="51">
        <v>721437.4920327606</v>
      </c>
      <c r="V37" s="51">
        <v>430380.9531295357</v>
      </c>
    </row>
    <row r="38">
      <c r="A38" s="55">
        <v>45440.95996275463</v>
      </c>
      <c r="B38" s="56">
        <v>13.702770730973198</v>
      </c>
      <c r="C38" s="57">
        <v>-0.02426630500184901</v>
      </c>
      <c r="D38" s="58">
        <v>1.46896769927445</v>
      </c>
      <c r="E38" s="50">
        <v>155.3153882976765</v>
      </c>
      <c r="F38" s="57">
        <v>-0.022170794864205146</v>
      </c>
      <c r="G38" s="58">
        <v>1.6904798996508812</v>
      </c>
      <c r="H38" s="51">
        <v>43623.52116483319</v>
      </c>
      <c r="I38" s="57">
        <v>-0.00147309786715213</v>
      </c>
      <c r="J38" s="57">
        <v>0.0607054871782039</v>
      </c>
      <c r="K38" s="51">
        <v>674985.6720498465</v>
      </c>
      <c r="L38" s="57">
        <v>-0.022793207134696878</v>
      </c>
      <c r="M38" s="57">
        <v>0.9392945128217961</v>
      </c>
      <c r="N38" s="59">
        <v>-0.0020955101376438634</v>
      </c>
      <c r="O38" s="57">
        <v>-0.22151220037643116</v>
      </c>
      <c r="P38" s="51">
        <v>57.72776385277226</v>
      </c>
      <c r="Q38" s="35">
        <v>4626.773953894368</v>
      </c>
      <c r="R38" s="32">
        <v>5041.881401218479</v>
      </c>
      <c r="S38" s="57">
        <v>-0.0823318547762333</v>
      </c>
      <c r="T38" s="51">
        <v>291056.5389032249</v>
      </c>
      <c r="U38" s="51">
        <v>718609.1932146797</v>
      </c>
      <c r="V38" s="51">
        <v>427552.6543114548</v>
      </c>
    </row>
    <row r="39">
      <c r="A39" s="55">
        <v>45439.95996334491</v>
      </c>
      <c r="B39" s="56">
        <v>13.83744872373346</v>
      </c>
      <c r="C39" s="57">
        <v>0.10935746860915696</v>
      </c>
      <c r="D39" s="58">
        <v>1.493234004276299</v>
      </c>
      <c r="E39" s="50">
        <v>156.59525870802557</v>
      </c>
      <c r="F39" s="57">
        <v>0.10821886364353439</v>
      </c>
      <c r="G39" s="58">
        <v>1.7126506945150863</v>
      </c>
      <c r="H39" s="51">
        <v>44293.188941051594</v>
      </c>
      <c r="I39" s="57">
        <v>0.006674903563855342</v>
      </c>
      <c r="J39" s="57">
        <v>0.06103747324027235</v>
      </c>
      <c r="K39" s="51">
        <v>681378.8710194363</v>
      </c>
      <c r="L39" s="57">
        <v>0.10268256504530163</v>
      </c>
      <c r="M39" s="57">
        <v>0.9389625267597277</v>
      </c>
      <c r="N39" s="59">
        <v>0.0011386049656225694</v>
      </c>
      <c r="O39" s="57">
        <v>-0.2194166902387873</v>
      </c>
      <c r="P39" s="51">
        <v>57.72776385277226</v>
      </c>
      <c r="Q39" s="35">
        <v>4634.061503187114</v>
      </c>
      <c r="R39" s="32">
        <v>5041.881401218479</v>
      </c>
      <c r="S39" s="57">
        <v>-0.08088645201626658</v>
      </c>
      <c r="T39" s="51">
        <v>291056.5389032249</v>
      </c>
      <c r="U39" s="51">
        <v>725672.0599604879</v>
      </c>
      <c r="V39" s="51">
        <v>434615.52105726296</v>
      </c>
    </row>
    <row r="40">
      <c r="A40" s="55">
        <v>45438.95996552083</v>
      </c>
      <c r="B40" s="56">
        <v>13.230514772952638</v>
      </c>
      <c r="C40" s="57">
        <v>-0.07321570994403004</v>
      </c>
      <c r="D40" s="58">
        <v>1.383876535667142</v>
      </c>
      <c r="E40" s="50">
        <v>150.34802570319627</v>
      </c>
      <c r="F40" s="57">
        <v>-0.06860828050587342</v>
      </c>
      <c r="G40" s="58">
        <v>1.604431830871552</v>
      </c>
      <c r="H40" s="51">
        <v>43901.27686518129</v>
      </c>
      <c r="I40" s="57">
        <v>-0.0046325520775391225</v>
      </c>
      <c r="J40" s="57">
        <v>0.06327265119849948</v>
      </c>
      <c r="K40" s="51">
        <v>649941.5767787073</v>
      </c>
      <c r="L40" s="57">
        <v>-0.06858315786649091</v>
      </c>
      <c r="M40" s="57">
        <v>0.9367273488015005</v>
      </c>
      <c r="N40" s="59">
        <v>-0.004607429438156618</v>
      </c>
      <c r="O40" s="57">
        <v>-0.22055529520440986</v>
      </c>
      <c r="P40" s="51">
        <v>57.72776385277226</v>
      </c>
      <c r="Q40" s="35">
        <v>4614.911638504729</v>
      </c>
      <c r="R40" s="32">
        <v>5041.881401218479</v>
      </c>
      <c r="S40" s="57">
        <v>-0.08468461051276688</v>
      </c>
      <c r="T40" s="51">
        <v>291056.5389032249</v>
      </c>
      <c r="U40" s="51">
        <v>693842.8536438886</v>
      </c>
      <c r="V40" s="51">
        <v>402786.3147406637</v>
      </c>
    </row>
    <row r="41">
      <c r="A41" s="55">
        <v>45437.95995966435</v>
      </c>
      <c r="B41" s="56">
        <v>13.636861963142005</v>
      </c>
      <c r="C41" s="57">
        <v>0.012015497206132597</v>
      </c>
      <c r="D41" s="58">
        <v>1.4570922456111721</v>
      </c>
      <c r="E41" s="50">
        <v>154.30862831858408</v>
      </c>
      <c r="F41" s="57">
        <v>0.005255923977296462</v>
      </c>
      <c r="G41" s="58">
        <v>1.6730401113774254</v>
      </c>
      <c r="H41" s="51">
        <v>44266.519028203125</v>
      </c>
      <c r="I41" s="57">
        <v>7.437351317197467E-4</v>
      </c>
      <c r="J41" s="57">
        <v>0.06189799048350252</v>
      </c>
      <c r="K41" s="51">
        <v>670886.2457453373</v>
      </c>
      <c r="L41" s="57">
        <v>0.01127176207441285</v>
      </c>
      <c r="M41" s="57">
        <v>0.9381020095164975</v>
      </c>
      <c r="N41" s="59">
        <v>0.006759573228836135</v>
      </c>
      <c r="O41" s="57">
        <v>-0.21594786576625324</v>
      </c>
      <c r="P41" s="51">
        <v>57.72776385277226</v>
      </c>
      <c r="Q41" s="35">
        <v>4634.561090757952</v>
      </c>
      <c r="R41" s="32">
        <v>5041.881401218479</v>
      </c>
      <c r="S41" s="57">
        <v>-0.08078736448701263</v>
      </c>
      <c r="T41" s="51">
        <v>291056.5389032249</v>
      </c>
      <c r="U41" s="51">
        <v>715152.7647735404</v>
      </c>
      <c r="V41" s="51">
        <v>424096.2258703155</v>
      </c>
    </row>
    <row r="42">
      <c r="A42" s="55">
        <v>45436.959968993055</v>
      </c>
      <c r="B42" s="56">
        <v>13.570175953647968</v>
      </c>
      <c r="C42" s="57">
        <v>-0.17108529985347198</v>
      </c>
      <c r="D42" s="58">
        <v>1.4450767484050395</v>
      </c>
      <c r="E42" s="50">
        <v>154.00521558039458</v>
      </c>
      <c r="F42" s="57">
        <v>-0.193828811412049</v>
      </c>
      <c r="G42" s="58">
        <v>1.667784187400129</v>
      </c>
      <c r="H42" s="51">
        <v>44049.19267485463</v>
      </c>
      <c r="I42" s="57">
        <v>-0.01058963014405844</v>
      </c>
      <c r="J42" s="57">
        <v>0.06189678571524294</v>
      </c>
      <c r="K42" s="51">
        <v>667606.3830686675</v>
      </c>
      <c r="L42" s="57">
        <v>-0.16049566970941354</v>
      </c>
      <c r="M42" s="57">
        <v>0.9381032142847571</v>
      </c>
      <c r="N42" s="59">
        <v>0.022743511558577012</v>
      </c>
      <c r="O42" s="57">
        <v>-0.22270743899508938</v>
      </c>
      <c r="P42" s="51">
        <v>57.72776385277226</v>
      </c>
      <c r="Q42" s="35">
        <v>4620.983601506795</v>
      </c>
      <c r="R42" s="32">
        <v>5041.881401218479</v>
      </c>
      <c r="S42" s="57">
        <v>-0.08348030550856778</v>
      </c>
      <c r="T42" s="51">
        <v>291056.5389032249</v>
      </c>
      <c r="U42" s="51">
        <v>711655.5757435221</v>
      </c>
      <c r="V42" s="51">
        <v>420599.0368402972</v>
      </c>
    </row>
    <row r="43">
      <c r="A43" s="55">
        <v>45435.95997002315</v>
      </c>
      <c r="B43" s="56">
        <v>14.519699367834738</v>
      </c>
      <c r="C43" s="57">
        <v>-0.022857496838736058</v>
      </c>
      <c r="D43" s="58">
        <v>1.6161620482585115</v>
      </c>
      <c r="E43" s="50">
        <v>165.19451943345288</v>
      </c>
      <c r="F43" s="57">
        <v>-0.015922116103601613</v>
      </c>
      <c r="G43" s="58">
        <v>1.861612998812178</v>
      </c>
      <c r="H43" s="51">
        <v>43593.87079668628</v>
      </c>
      <c r="I43" s="57">
        <v>-0.0013086156181331425</v>
      </c>
      <c r="J43" s="57">
        <v>0.0572510466638439</v>
      </c>
      <c r="K43" s="51">
        <v>717857.2001794078</v>
      </c>
      <c r="L43" s="57">
        <v>-0.021548881220602917</v>
      </c>
      <c r="M43" s="57">
        <v>0.9427489533361562</v>
      </c>
      <c r="N43" s="59">
        <v>-0.006935380735134444</v>
      </c>
      <c r="O43" s="57">
        <v>-0.2454509505536664</v>
      </c>
      <c r="P43" s="51">
        <v>57.72776385277226</v>
      </c>
      <c r="Q43" s="35">
        <v>4609.420903233038</v>
      </c>
      <c r="R43" s="32">
        <v>5041.881401218479</v>
      </c>
      <c r="S43" s="57">
        <v>-0.08577363558788348</v>
      </c>
      <c r="T43" s="51">
        <v>291056.5389032249</v>
      </c>
      <c r="U43" s="51">
        <v>761451.0709760941</v>
      </c>
      <c r="V43" s="51">
        <v>470394.5320728692</v>
      </c>
    </row>
    <row r="44">
      <c r="A44" s="55">
        <v>45434.959973391204</v>
      </c>
      <c r="B44" s="56">
        <v>14.646558475289723</v>
      </c>
      <c r="C44" s="57">
        <v>0.07660253941212725</v>
      </c>
      <c r="D44" s="58">
        <v>1.6390195450972476</v>
      </c>
      <c r="E44" s="50">
        <v>166.11366759191802</v>
      </c>
      <c r="F44" s="57">
        <v>0.03186003785084823</v>
      </c>
      <c r="G44" s="58">
        <v>1.8775351149157795</v>
      </c>
      <c r="H44" s="51">
        <v>44536.396343022796</v>
      </c>
      <c r="I44" s="57">
        <v>0.004441588018000448</v>
      </c>
      <c r="J44" s="57">
        <v>0.0579822555764683</v>
      </c>
      <c r="K44" s="51">
        <v>723567.4985509452</v>
      </c>
      <c r="L44" s="57">
        <v>0.0721609513941268</v>
      </c>
      <c r="M44" s="57">
        <v>0.9420177444235317</v>
      </c>
      <c r="N44" s="59">
        <v>0.04474250156127901</v>
      </c>
      <c r="O44" s="57">
        <v>-0.23851556981853195</v>
      </c>
      <c r="P44" s="51">
        <v>57.72776385277226</v>
      </c>
      <c r="Q44" s="35">
        <v>4623.965661759544</v>
      </c>
      <c r="R44" s="32">
        <v>5041.881401218479</v>
      </c>
      <c r="S44" s="57">
        <v>-0.08288884767458775</v>
      </c>
      <c r="T44" s="51">
        <v>291056.5389032249</v>
      </c>
      <c r="U44" s="51">
        <v>768103.894893968</v>
      </c>
      <c r="V44" s="51">
        <v>477047.3559907431</v>
      </c>
    </row>
    <row r="45">
      <c r="A45" s="55">
        <v>45433.95996689815</v>
      </c>
      <c r="B45" s="56">
        <v>14.221414381552417</v>
      </c>
      <c r="C45" s="57">
        <v>-0.029806845233114387</v>
      </c>
      <c r="D45" s="58">
        <v>1.5624170056851203</v>
      </c>
      <c r="E45" s="50">
        <v>164.27445885052387</v>
      </c>
      <c r="F45" s="57">
        <v>-0.03969111859402297</v>
      </c>
      <c r="G45" s="58">
        <v>1.8456750770649313</v>
      </c>
      <c r="H45" s="51">
        <v>35514.93083774329</v>
      </c>
      <c r="I45" s="57">
        <v>-0.0014193837123279494</v>
      </c>
      <c r="J45" s="57">
        <v>0.04761938746711318</v>
      </c>
      <c r="K45" s="51">
        <v>710293.294063733</v>
      </c>
      <c r="L45" s="57">
        <v>-0.028387461520786438</v>
      </c>
      <c r="M45" s="57">
        <v>0.9523806125328868</v>
      </c>
      <c r="N45" s="59">
        <v>0.00988427336090858</v>
      </c>
      <c r="O45" s="57">
        <v>-0.28325807137981096</v>
      </c>
      <c r="P45" s="51">
        <v>57.72776385277226</v>
      </c>
      <c r="Q45" s="35">
        <v>4540.013280945274</v>
      </c>
      <c r="R45" s="32">
        <v>5041.881401218479</v>
      </c>
      <c r="S45" s="57">
        <v>-0.09953985037250535</v>
      </c>
      <c r="T45" s="51">
        <v>291056.5389032249</v>
      </c>
      <c r="U45" s="51">
        <v>745808.2249014763</v>
      </c>
      <c r="V45" s="51">
        <v>454751.68599825137</v>
      </c>
    </row>
    <row r="46">
      <c r="A46" s="55">
        <v>45432.959997349535</v>
      </c>
      <c r="B46" s="56">
        <v>14.386842372596202</v>
      </c>
      <c r="C46" s="57">
        <v>0.14145378308389</v>
      </c>
      <c r="D46" s="58">
        <v>1.5922238509182347</v>
      </c>
      <c r="E46" s="50">
        <v>166.565738371772</v>
      </c>
      <c r="F46" s="57">
        <v>0.17435710900700707</v>
      </c>
      <c r="G46" s="58">
        <v>1.8853661956589542</v>
      </c>
      <c r="H46" s="51">
        <v>35415.724592767256</v>
      </c>
      <c r="I46" s="57">
        <v>0.006639889251801731</v>
      </c>
      <c r="J46" s="57">
        <v>0.046940344097152246</v>
      </c>
      <c r="K46" s="51">
        <v>719067.9775178834</v>
      </c>
      <c r="L46" s="57">
        <v>0.13481389383208828</v>
      </c>
      <c r="M46" s="57">
        <v>0.9530596559028477</v>
      </c>
      <c r="N46" s="59">
        <v>-0.032903325923117066</v>
      </c>
      <c r="O46" s="57">
        <v>-0.29314234474071954</v>
      </c>
      <c r="P46" s="51">
        <v>57.72776385277226</v>
      </c>
      <c r="Q46" s="35">
        <v>4529.645228880477</v>
      </c>
      <c r="R46" s="32">
        <v>5041.881401218479</v>
      </c>
      <c r="S46" s="57">
        <v>-0.10159623592379816</v>
      </c>
      <c r="T46" s="51">
        <v>291056.5389032249</v>
      </c>
      <c r="U46" s="51">
        <v>754483.7021106507</v>
      </c>
      <c r="V46" s="51">
        <v>463427.1632074258</v>
      </c>
    </row>
    <row r="47">
      <c r="A47" s="55">
        <v>45431.9599862037</v>
      </c>
      <c r="B47" s="56">
        <v>13.601773876480612</v>
      </c>
      <c r="C47" s="57">
        <v>-0.03574838868178043</v>
      </c>
      <c r="D47" s="58">
        <v>1.4507700678343447</v>
      </c>
      <c r="E47" s="50">
        <v>156.50049235696343</v>
      </c>
      <c r="F47" s="57">
        <v>-0.0347381217841396</v>
      </c>
      <c r="G47" s="58">
        <v>1.7110090866519472</v>
      </c>
      <c r="H47" s="51">
        <v>33646.32506143769</v>
      </c>
      <c r="I47" s="57">
        <v>-0.0016862197802797543</v>
      </c>
      <c r="J47" s="57">
        <v>0.04716911285960017</v>
      </c>
      <c r="K47" s="51">
        <v>679666.3285300485</v>
      </c>
      <c r="L47" s="57">
        <v>-0.034062168901500676</v>
      </c>
      <c r="M47" s="57">
        <v>0.9528308871403999</v>
      </c>
      <c r="N47" s="59">
        <v>-0.0010102668976408324</v>
      </c>
      <c r="O47" s="57">
        <v>-0.2602390188176025</v>
      </c>
      <c r="P47" s="51">
        <v>57.72776385277226</v>
      </c>
      <c r="Q47" s="35">
        <v>4557.893990291639</v>
      </c>
      <c r="R47" s="32">
        <v>5041.881401218479</v>
      </c>
      <c r="S47" s="57">
        <v>-0.09599341444443225</v>
      </c>
      <c r="T47" s="51">
        <v>291056.5389032249</v>
      </c>
      <c r="U47" s="51">
        <v>713312.6535914862</v>
      </c>
      <c r="V47" s="51">
        <v>422256.11468826124</v>
      </c>
    </row>
    <row r="48">
      <c r="A48" s="55">
        <v>45430.95996945602</v>
      </c>
      <c r="B48" s="56">
        <v>13.800177433664494</v>
      </c>
      <c r="C48" s="57">
        <v>0.07073029688943411</v>
      </c>
      <c r="D48" s="58">
        <v>1.4865184565161251</v>
      </c>
      <c r="E48" s="50">
        <v>158.50584644800708</v>
      </c>
      <c r="F48" s="57">
        <v>0.07638106626340946</v>
      </c>
      <c r="G48" s="58">
        <v>1.7457472084360868</v>
      </c>
      <c r="H48" s="51">
        <v>33945.353790340094</v>
      </c>
      <c r="I48" s="57">
        <v>0.0033175446192780225</v>
      </c>
      <c r="J48" s="57">
        <v>0.04690415232476716</v>
      </c>
      <c r="K48" s="51">
        <v>689772.1020822322</v>
      </c>
      <c r="L48" s="57">
        <v>0.06741275227015608</v>
      </c>
      <c r="M48" s="57">
        <v>0.9530958476752328</v>
      </c>
      <c r="N48" s="59">
        <v>-0.005650769373975351</v>
      </c>
      <c r="O48" s="57">
        <v>-0.25922875191996164</v>
      </c>
      <c r="P48" s="51">
        <v>57.72776385277226</v>
      </c>
      <c r="Q48" s="35">
        <v>4565.872313801153</v>
      </c>
      <c r="R48" s="32">
        <v>5041.881401218479</v>
      </c>
      <c r="S48" s="57">
        <v>-0.09441100445208582</v>
      </c>
      <c r="T48" s="51">
        <v>291056.5389032249</v>
      </c>
      <c r="U48" s="51">
        <v>723717.4558725724</v>
      </c>
      <c r="V48" s="51">
        <v>432660.91696934745</v>
      </c>
    </row>
    <row r="49">
      <c r="A49" s="55">
        <v>45429.95999880787</v>
      </c>
      <c r="B49" s="56">
        <v>13.407624285928135</v>
      </c>
      <c r="C49" s="57">
        <v>0.1345686731006781</v>
      </c>
      <c r="D49" s="58">
        <v>1.415788159626691</v>
      </c>
      <c r="E49" s="50">
        <v>154.09653829193002</v>
      </c>
      <c r="F49" s="57">
        <v>0.13566988846618955</v>
      </c>
      <c r="G49" s="58">
        <v>1.6693661421726773</v>
      </c>
      <c r="H49" s="51">
        <v>33859.11180112759</v>
      </c>
      <c r="I49" s="57">
        <v>0.006480124092443287</v>
      </c>
      <c r="J49" s="57">
        <v>0.048154774384935456</v>
      </c>
      <c r="K49" s="51">
        <v>669271.8286632085</v>
      </c>
      <c r="L49" s="57">
        <v>0.12808854900823483</v>
      </c>
      <c r="M49" s="57">
        <v>0.9518452256150646</v>
      </c>
      <c r="N49" s="59">
        <v>-0.0011012153655114432</v>
      </c>
      <c r="O49" s="57">
        <v>-0.2535779825459863</v>
      </c>
      <c r="P49" s="51">
        <v>57.72776385277226</v>
      </c>
      <c r="Q49" s="35">
        <v>4562.924957679979</v>
      </c>
      <c r="R49" s="32">
        <v>5041.881401218479</v>
      </c>
      <c r="S49" s="57">
        <v>-0.09499557911511958</v>
      </c>
      <c r="T49" s="51">
        <v>291056.5389032249</v>
      </c>
      <c r="U49" s="51">
        <v>703130.9404643361</v>
      </c>
      <c r="V49" s="51">
        <v>412074.40156111115</v>
      </c>
    </row>
    <row r="50">
      <c r="A50" s="55">
        <v>45428.95996759259</v>
      </c>
      <c r="B50" s="56">
        <v>12.660768150219372</v>
      </c>
      <c r="C50" s="57">
        <v>0.04027428640283848</v>
      </c>
      <c r="D50" s="58">
        <v>1.281219486526013</v>
      </c>
      <c r="E50" s="50">
        <v>146.26461900862188</v>
      </c>
      <c r="F50" s="57">
        <v>0.055213828220605166</v>
      </c>
      <c r="G50" s="58">
        <v>1.5336962537064878</v>
      </c>
      <c r="H50" s="51">
        <v>33166.73404804207</v>
      </c>
      <c r="I50" s="57">
        <v>0.002011806139242141</v>
      </c>
      <c r="J50" s="57">
        <v>0.04995262036723143</v>
      </c>
      <c r="K50" s="51">
        <v>630797.1141788112</v>
      </c>
      <c r="L50" s="57">
        <v>0.038262480263596334</v>
      </c>
      <c r="M50" s="57">
        <v>0.9500473796327685</v>
      </c>
      <c r="N50" s="59">
        <v>-0.014939541817766688</v>
      </c>
      <c r="O50" s="57">
        <v>-0.25247676718047485</v>
      </c>
      <c r="P50" s="51">
        <v>57.72776385277226</v>
      </c>
      <c r="Q50" s="35">
        <v>4539.469987527978</v>
      </c>
      <c r="R50" s="32">
        <v>5041.881401218479</v>
      </c>
      <c r="S50" s="57">
        <v>-0.09964760646077124</v>
      </c>
      <c r="T50" s="51">
        <v>291056.5389032249</v>
      </c>
      <c r="U50" s="51">
        <v>663963.8482268533</v>
      </c>
      <c r="V50" s="51">
        <v>372907.3093236284</v>
      </c>
    </row>
    <row r="51">
      <c r="A51" s="55">
        <v>45427.95998299769</v>
      </c>
      <c r="B51" s="56">
        <v>12.437245860683618</v>
      </c>
      <c r="C51" s="57">
        <v>0.14641557777536418</v>
      </c>
      <c r="D51" s="58">
        <v>1.2409452001231744</v>
      </c>
      <c r="E51" s="50">
        <v>143.07724817169526</v>
      </c>
      <c r="F51" s="57">
        <v>0.18435267794138088</v>
      </c>
      <c r="G51" s="58">
        <v>1.4784824254858826</v>
      </c>
      <c r="H51" s="51">
        <v>33282.899850002206</v>
      </c>
      <c r="I51" s="57">
        <v>0.007471363161036063</v>
      </c>
      <c r="J51" s="57">
        <v>0.051028471659613196</v>
      </c>
      <c r="K51" s="51">
        <v>618958.8539696436</v>
      </c>
      <c r="L51" s="57">
        <v>0.1389442146143281</v>
      </c>
      <c r="M51" s="57">
        <v>0.9489715283403867</v>
      </c>
      <c r="N51" s="59">
        <v>-0.0379371001660167</v>
      </c>
      <c r="O51" s="57">
        <v>-0.23753722536270816</v>
      </c>
      <c r="P51" s="51">
        <v>57.72776385277226</v>
      </c>
      <c r="Q51" s="35">
        <v>4558.668566486155</v>
      </c>
      <c r="R51" s="32">
        <v>5041.881401218479</v>
      </c>
      <c r="S51" s="57">
        <v>-0.09583978604009713</v>
      </c>
      <c r="T51" s="51">
        <v>291056.5389032249</v>
      </c>
      <c r="U51" s="51">
        <v>652241.7538196458</v>
      </c>
      <c r="V51" s="51">
        <v>361185.2149164209</v>
      </c>
    </row>
    <row r="52">
      <c r="A52" s="55">
        <v>45426.959953032405</v>
      </c>
      <c r="B52" s="56">
        <v>11.624639404030347</v>
      </c>
      <c r="C52" s="57">
        <v>-0.06744058025651523</v>
      </c>
      <c r="D52" s="58">
        <v>1.0945296223478103</v>
      </c>
      <c r="E52" s="50">
        <v>132.43498031386903</v>
      </c>
      <c r="F52" s="57">
        <v>-0.0643155280381853</v>
      </c>
      <c r="G52" s="58">
        <v>1.2941297475445017</v>
      </c>
      <c r="H52" s="51">
        <v>31389.673336521268</v>
      </c>
      <c r="I52" s="57">
        <v>-0.0034725157719651665</v>
      </c>
      <c r="J52" s="57">
        <v>0.05149000436765515</v>
      </c>
      <c r="K52" s="51">
        <v>578236.8691743112</v>
      </c>
      <c r="L52" s="57">
        <v>-0.06396806448455006</v>
      </c>
      <c r="M52" s="57">
        <v>0.9485099956323448</v>
      </c>
      <c r="N52" s="59">
        <v>-0.0031250522183299267</v>
      </c>
      <c r="O52" s="57">
        <v>-0.19960012519669146</v>
      </c>
      <c r="P52" s="51">
        <v>57.72776385277226</v>
      </c>
      <c r="Q52" s="35">
        <v>4603.213902142969</v>
      </c>
      <c r="R52" s="32">
        <v>5041.881401218479</v>
      </c>
      <c r="S52" s="57">
        <v>-0.08700472386547937</v>
      </c>
      <c r="T52" s="51">
        <v>291056.5389032249</v>
      </c>
      <c r="U52" s="51">
        <v>609626.5425108324</v>
      </c>
      <c r="V52" s="51">
        <v>318570.0036076075</v>
      </c>
    </row>
    <row r="53">
      <c r="A53" s="55">
        <v>45425.95996118056</v>
      </c>
      <c r="B53" s="56">
        <v>11.998934624454007</v>
      </c>
      <c r="C53" s="57">
        <v>0.04015724880560523</v>
      </c>
      <c r="D53" s="58">
        <v>1.1619702026043255</v>
      </c>
      <c r="E53" s="50">
        <v>136.14777192852375</v>
      </c>
      <c r="F53" s="57">
        <v>0.04699029530342047</v>
      </c>
      <c r="G53" s="58">
        <v>1.358445275582687</v>
      </c>
      <c r="H53" s="51">
        <v>31922.97725931601</v>
      </c>
      <c r="I53" s="57">
        <v>0.0020372309964031936</v>
      </c>
      <c r="J53" s="57">
        <v>0.050731338849060614</v>
      </c>
      <c r="K53" s="51">
        <v>597332.587122603</v>
      </c>
      <c r="L53" s="57">
        <v>0.03812001780920203</v>
      </c>
      <c r="M53" s="57">
        <v>0.9492686611509393</v>
      </c>
      <c r="N53" s="59">
        <v>-0.006833046497815243</v>
      </c>
      <c r="O53" s="57">
        <v>-0.19647507297836153</v>
      </c>
      <c r="P53" s="51">
        <v>57.72776385277226</v>
      </c>
      <c r="Q53" s="35">
        <v>4621.857232539009</v>
      </c>
      <c r="R53" s="32">
        <v>5041.881401218479</v>
      </c>
      <c r="S53" s="57">
        <v>-0.08330703070047676</v>
      </c>
      <c r="T53" s="51">
        <v>291056.5389032249</v>
      </c>
      <c r="U53" s="51">
        <v>629255.564381919</v>
      </c>
      <c r="V53" s="51">
        <v>338199.02547869406</v>
      </c>
    </row>
    <row r="54">
      <c r="A54" s="55">
        <v>45424.959968483796</v>
      </c>
      <c r="B54" s="56">
        <v>11.776061893582897</v>
      </c>
      <c r="C54" s="57">
        <v>-0.020271919772165248</v>
      </c>
      <c r="D54" s="58">
        <v>1.1218129537987203</v>
      </c>
      <c r="E54" s="50">
        <v>133.43512725787588</v>
      </c>
      <c r="F54" s="57">
        <v>-0.027100569079105075</v>
      </c>
      <c r="G54" s="58">
        <v>1.3114549802792665</v>
      </c>
      <c r="H54" s="51">
        <v>31348.77195810029</v>
      </c>
      <c r="I54" s="57">
        <v>-0.0010290369142727013</v>
      </c>
      <c r="J54" s="57">
        <v>0.050761690349901654</v>
      </c>
      <c r="K54" s="51">
        <v>586218.7625745835</v>
      </c>
      <c r="L54" s="57">
        <v>-0.019242882857892548</v>
      </c>
      <c r="M54" s="57">
        <v>0.9492383096500984</v>
      </c>
      <c r="N54" s="59">
        <v>0.006828649306939827</v>
      </c>
      <c r="O54" s="57">
        <v>-0.1896420264805463</v>
      </c>
      <c r="P54" s="51">
        <v>57.72776385277226</v>
      </c>
      <c r="Q54" s="35">
        <v>4628.223071569278</v>
      </c>
      <c r="R54" s="32">
        <v>5041.881401218479</v>
      </c>
      <c r="S54" s="57">
        <v>-0.08204443871869582</v>
      </c>
      <c r="T54" s="51">
        <v>291056.5389032249</v>
      </c>
      <c r="U54" s="51">
        <v>617567.5345326838</v>
      </c>
      <c r="V54" s="51">
        <v>326510.99562945886</v>
      </c>
    </row>
    <row r="55">
      <c r="A55" s="55">
        <v>45423.959967048606</v>
      </c>
      <c r="B55" s="56">
        <v>11.888571048318415</v>
      </c>
      <c r="C55" s="57">
        <v>-0.006551818965664591</v>
      </c>
      <c r="D55" s="58">
        <v>1.1420848735708855</v>
      </c>
      <c r="E55" s="50">
        <v>134.9995825099502</v>
      </c>
      <c r="F55" s="57">
        <v>-0.01600101686858313</v>
      </c>
      <c r="G55" s="58">
        <v>1.3385555493583716</v>
      </c>
      <c r="H55" s="51">
        <v>31222.893212359046</v>
      </c>
      <c r="I55" s="57">
        <v>-3.281111564183268E-4</v>
      </c>
      <c r="J55" s="57">
        <v>0.05007939903984275</v>
      </c>
      <c r="K55" s="51">
        <v>592244.916126135</v>
      </c>
      <c r="L55" s="57">
        <v>-0.006223707809246264</v>
      </c>
      <c r="M55" s="57">
        <v>0.9499206009601573</v>
      </c>
      <c r="N55" s="59">
        <v>0.009449197902918538</v>
      </c>
      <c r="O55" s="57">
        <v>-0.19647067578748612</v>
      </c>
      <c r="P55" s="51">
        <v>57.72776385277226</v>
      </c>
      <c r="Q55" s="35">
        <v>4618.29435133654</v>
      </c>
      <c r="R55" s="32">
        <v>5041.881401218479</v>
      </c>
      <c r="S55" s="57">
        <v>-0.08401368778320936</v>
      </c>
      <c r="T55" s="51">
        <v>291056.5389032249</v>
      </c>
      <c r="U55" s="51">
        <v>623467.8093384941</v>
      </c>
      <c r="V55" s="51">
        <v>332411.27043526917</v>
      </c>
    </row>
    <row r="56">
      <c r="A56" s="55">
        <v>45422.95997858796</v>
      </c>
      <c r="B56" s="56">
        <v>11.924933643577853</v>
      </c>
      <c r="C56" s="57">
        <v>-0.0626440444307641</v>
      </c>
      <c r="D56" s="58">
        <v>1.14863669253655</v>
      </c>
      <c r="E56" s="50">
        <v>135.92328543314397</v>
      </c>
      <c r="F56" s="57">
        <v>-0.05906508832458579</v>
      </c>
      <c r="G56" s="58">
        <v>1.3545565662269548</v>
      </c>
      <c r="H56" s="51">
        <v>31044.831441005572</v>
      </c>
      <c r="I56" s="57">
        <v>-0.0031097734148486083</v>
      </c>
      <c r="J56" s="57">
        <v>0.04964196426183201</v>
      </c>
      <c r="K56" s="51">
        <v>594329.9276491554</v>
      </c>
      <c r="L56" s="57">
        <v>-0.0595342710159155</v>
      </c>
      <c r="M56" s="57">
        <v>0.950358035738168</v>
      </c>
      <c r="N56" s="59">
        <v>-0.0035789561061783104</v>
      </c>
      <c r="O56" s="57">
        <v>-0.20591987369040465</v>
      </c>
      <c r="P56" s="51">
        <v>57.72776385277226</v>
      </c>
      <c r="Q56" s="35">
        <v>4600.939103975393</v>
      </c>
      <c r="R56" s="32">
        <v>5041.881401218479</v>
      </c>
      <c r="S56" s="57">
        <v>-0.08745590428535732</v>
      </c>
      <c r="T56" s="51">
        <v>291056.5389032249</v>
      </c>
      <c r="U56" s="51">
        <v>625374.759090161</v>
      </c>
      <c r="V56" s="51">
        <v>334318.220186936</v>
      </c>
    </row>
    <row r="57">
      <c r="A57" s="55">
        <v>45421.95996416667</v>
      </c>
      <c r="B57" s="56">
        <v>12.272608090168593</v>
      </c>
      <c r="C57" s="57">
        <v>0.13188083893515845</v>
      </c>
      <c r="D57" s="58">
        <v>1.2112807369673142</v>
      </c>
      <c r="E57" s="50">
        <v>139.3329809038888</v>
      </c>
      <c r="F57" s="57">
        <v>0.1391916247684981</v>
      </c>
      <c r="G57" s="58">
        <v>1.4136216545515405</v>
      </c>
      <c r="H57" s="51">
        <v>31959.7792061404</v>
      </c>
      <c r="I57" s="57">
        <v>0.006548837711269928</v>
      </c>
      <c r="J57" s="57">
        <v>0.04965723424378412</v>
      </c>
      <c r="K57" s="51">
        <v>611647.9386389385</v>
      </c>
      <c r="L57" s="57">
        <v>0.12533200122388852</v>
      </c>
      <c r="M57" s="57">
        <v>0.9503427657562158</v>
      </c>
      <c r="N57" s="59">
        <v>-0.007310785833339661</v>
      </c>
      <c r="O57" s="57">
        <v>-0.20234091758422634</v>
      </c>
      <c r="P57" s="51">
        <v>57.72776385277226</v>
      </c>
      <c r="Q57" s="35">
        <v>4619.20583102314</v>
      </c>
      <c r="R57" s="32">
        <v>5041.881401218479</v>
      </c>
      <c r="S57" s="57">
        <v>-0.08383290612373213</v>
      </c>
      <c r="T57" s="51">
        <v>291056.5389032249</v>
      </c>
      <c r="U57" s="51">
        <v>643607.7178450789</v>
      </c>
      <c r="V57" s="51">
        <v>352551.178941854</v>
      </c>
    </row>
    <row r="58">
      <c r="A58" s="55">
        <v>45420.95997725695</v>
      </c>
      <c r="B58" s="56">
        <v>11.540669434078463</v>
      </c>
      <c r="C58" s="57">
        <v>-0.15526176674328607</v>
      </c>
      <c r="D58" s="58">
        <v>1.0793998980321557</v>
      </c>
      <c r="E58" s="50">
        <v>131.29775965896926</v>
      </c>
      <c r="F58" s="57">
        <v>-0.16630746724393752</v>
      </c>
      <c r="G58" s="58">
        <v>1.2744300297830424</v>
      </c>
      <c r="H58" s="51">
        <v>31622.734381928793</v>
      </c>
      <c r="I58" s="57">
        <v>-0.008112385216524989</v>
      </c>
      <c r="J58" s="57">
        <v>0.05224972887200377</v>
      </c>
      <c r="K58" s="51">
        <v>573600.2029350293</v>
      </c>
      <c r="L58" s="57">
        <v>-0.14714938152676107</v>
      </c>
      <c r="M58" s="57">
        <v>0.9477502711279963</v>
      </c>
      <c r="N58" s="59">
        <v>0.011045700500651456</v>
      </c>
      <c r="O58" s="57">
        <v>-0.19503013175088668</v>
      </c>
      <c r="P58" s="51">
        <v>57.72776385277226</v>
      </c>
      <c r="Q58" s="35">
        <v>4609.545043944045</v>
      </c>
      <c r="R58" s="32">
        <v>5041.881401218479</v>
      </c>
      <c r="S58" s="57">
        <v>-0.08574901368563555</v>
      </c>
      <c r="T58" s="51">
        <v>291056.5389032249</v>
      </c>
      <c r="U58" s="51">
        <v>605222.9373169581</v>
      </c>
      <c r="V58" s="51">
        <v>314166.3984137332</v>
      </c>
    </row>
    <row r="59">
      <c r="A59" s="55">
        <v>45419.95995761574</v>
      </c>
      <c r="B59" s="56">
        <v>12.402372239503702</v>
      </c>
      <c r="C59" s="57">
        <v>-0.06983105317462579</v>
      </c>
      <c r="D59" s="58">
        <v>1.2346616647754418</v>
      </c>
      <c r="E59" s="50">
        <v>140.2457057297237</v>
      </c>
      <c r="F59" s="57">
        <v>-0.07237152968814664</v>
      </c>
      <c r="G59" s="58">
        <v>1.44073749702698</v>
      </c>
      <c r="H59" s="51">
        <v>26944.966222009614</v>
      </c>
      <c r="I59" s="57">
        <v>-0.0029159024342025087</v>
      </c>
      <c r="J59" s="57">
        <v>0.041756529532939186</v>
      </c>
      <c r="K59" s="51">
        <v>618342.5258995368</v>
      </c>
      <c r="L59" s="57">
        <v>-0.06691515074042328</v>
      </c>
      <c r="M59" s="57">
        <v>0.9582434704670608</v>
      </c>
      <c r="N59" s="59">
        <v>0.0025404765135208507</v>
      </c>
      <c r="O59" s="57">
        <v>-0.20607583225153814</v>
      </c>
      <c r="P59" s="51">
        <v>57.46038068434421</v>
      </c>
      <c r="Q59" s="35">
        <v>4601.121216253996</v>
      </c>
      <c r="R59" s="32">
        <v>5025.427006645327</v>
      </c>
      <c r="S59" s="57">
        <v>-0.08443178854856602</v>
      </c>
      <c r="T59" s="51">
        <v>288762.9489032249</v>
      </c>
      <c r="U59" s="51">
        <v>645287.4921215464</v>
      </c>
      <c r="V59" s="51">
        <v>356524.5432183215</v>
      </c>
    </row>
    <row r="60">
      <c r="A60" s="55">
        <v>45418.95997149305</v>
      </c>
      <c r="B60" s="56">
        <v>12.789934584622875</v>
      </c>
      <c r="C60" s="57">
        <v>0.1655887372788416</v>
      </c>
      <c r="D60" s="58">
        <v>1.3044927179500676</v>
      </c>
      <c r="E60" s="50">
        <v>144.40420137631293</v>
      </c>
      <c r="F60" s="57">
        <v>0.1579633612827207</v>
      </c>
      <c r="G60" s="58">
        <v>1.5131090267151266</v>
      </c>
      <c r="H60" s="51">
        <v>27207.59542521673</v>
      </c>
      <c r="I60" s="57">
        <v>-0.031069690410829565</v>
      </c>
      <c r="J60" s="57">
        <v>0.040885880283921004</v>
      </c>
      <c r="K60" s="51">
        <v>638244.5175360525</v>
      </c>
      <c r="L60" s="57">
        <v>-0.7288427829191918</v>
      </c>
      <c r="M60" s="57">
        <v>0.9591141197160791</v>
      </c>
      <c r="N60" s="59">
        <v>-0.917875834612742</v>
      </c>
      <c r="O60" s="57">
        <v>-0.208616308765059</v>
      </c>
      <c r="P60" s="51">
        <v>57.46038068434421</v>
      </c>
      <c r="Q60" s="35">
        <v>4608.260054893565</v>
      </c>
      <c r="R60" s="32">
        <v>5025.427006645327</v>
      </c>
      <c r="S60" s="57">
        <v>-0.0830112448554372</v>
      </c>
      <c r="T60" s="51">
        <v>288762.9489032249</v>
      </c>
      <c r="U60" s="51">
        <v>665452.1129612692</v>
      </c>
      <c r="V60" s="51">
        <v>376689.1640580443</v>
      </c>
    </row>
    <row r="61">
      <c r="A61" s="55">
        <v>45417.959960196764</v>
      </c>
      <c r="B61" s="48">
        <v>11.870917092725303</v>
      </c>
      <c r="C61" s="7">
        <v>-0.02674980144924266</v>
      </c>
      <c r="D61" s="49">
        <v>1.138903980671226</v>
      </c>
      <c r="E61" s="50">
        <v>135.3275665028292</v>
      </c>
      <c r="F61" s="7">
        <v>-0.014681334049211792</v>
      </c>
      <c r="G61" s="49">
        <v>1.3551456654324059</v>
      </c>
      <c r="H61" s="51">
        <v>26808.9973629784</v>
      </c>
      <c r="I61" s="7">
        <v>-0.0011610966654316242</v>
      </c>
      <c r="J61" s="7">
        <v>0.04340580499764783</v>
      </c>
      <c r="K61" s="51">
        <v>590827.2235164911</v>
      </c>
      <c r="L61" s="7">
        <v>-0.025588704783811037</v>
      </c>
      <c r="M61" s="7">
        <v>0.9565941950023522</v>
      </c>
      <c r="N61" s="52">
        <v>-0.012068467400030869</v>
      </c>
      <c r="O61" s="7">
        <v>-0.2162416847611799</v>
      </c>
      <c r="P61" s="53">
        <v>57.46038068434421</v>
      </c>
      <c r="Q61" s="35">
        <v>4564.008921763601</v>
      </c>
      <c r="R61" s="13">
        <v>5025.427006645327</v>
      </c>
      <c r="S61" s="7">
        <v>-0.09181669224755905</v>
      </c>
      <c r="T61" s="53">
        <v>288762.9489032249</v>
      </c>
      <c r="U61" s="53">
        <v>617636.2208794695</v>
      </c>
      <c r="V61" s="53">
        <v>328873.27197624464</v>
      </c>
    </row>
    <row r="62">
      <c r="A62" s="55">
        <v>45416.959963518515</v>
      </c>
      <c r="B62" s="56">
        <v>12.0193784907686</v>
      </c>
      <c r="C62" s="57">
        <v>0.04649245743056163</v>
      </c>
      <c r="D62" s="58">
        <v>1.1656537821204687</v>
      </c>
      <c r="E62" s="50">
        <v>136.17116154625094</v>
      </c>
      <c r="F62" s="57">
        <v>0.05410745224067659</v>
      </c>
      <c r="G62" s="58">
        <v>1.3698269994816177</v>
      </c>
      <c r="H62" s="51">
        <v>27311.854631721682</v>
      </c>
      <c r="I62" s="57">
        <v>0.0020305009538479184</v>
      </c>
      <c r="J62" s="57">
        <v>0.0436737713182951</v>
      </c>
      <c r="K62" s="51">
        <v>598048.717796807</v>
      </c>
      <c r="L62" s="57">
        <v>0.04446195647671371</v>
      </c>
      <c r="M62" s="57">
        <v>0.9563262286817048</v>
      </c>
      <c r="N62" s="59">
        <v>-0.007614994810114961</v>
      </c>
      <c r="O62" s="57">
        <v>-0.20417321736114902</v>
      </c>
      <c r="P62" s="51">
        <v>57.46038068434421</v>
      </c>
      <c r="Q62" s="35">
        <v>4592.459705325515</v>
      </c>
      <c r="R62" s="32">
        <v>5025.427006645327</v>
      </c>
      <c r="S62" s="57">
        <v>-0.08615532585535164</v>
      </c>
      <c r="T62" s="51">
        <v>288762.9489032249</v>
      </c>
      <c r="U62" s="51">
        <v>625360.5724285287</v>
      </c>
      <c r="V62" s="51">
        <v>336597.6235253038</v>
      </c>
    </row>
    <row r="63">
      <c r="A63" s="55">
        <v>45415.95997053241</v>
      </c>
      <c r="B63" s="56">
        <v>11.761345352028984</v>
      </c>
      <c r="C63" s="57">
        <v>0.10405001391474133</v>
      </c>
      <c r="D63" s="58">
        <v>1.119161324689907</v>
      </c>
      <c r="E63" s="50">
        <v>133.06212674264168</v>
      </c>
      <c r="F63" s="57">
        <v>0.09120421485964947</v>
      </c>
      <c r="G63" s="58">
        <v>1.315719547240941</v>
      </c>
      <c r="H63" s="51">
        <v>26767.090424983366</v>
      </c>
      <c r="I63" s="57">
        <v>0.004551324711305261</v>
      </c>
      <c r="J63" s="57">
        <v>0.043741702091790395</v>
      </c>
      <c r="K63" s="51">
        <v>585168.1828941386</v>
      </c>
      <c r="L63" s="57">
        <v>0.09949868920343606</v>
      </c>
      <c r="M63" s="57">
        <v>0.9562582979082095</v>
      </c>
      <c r="N63" s="59">
        <v>0.012845799055091867</v>
      </c>
      <c r="O63" s="57">
        <v>-0.19655822255103406</v>
      </c>
      <c r="P63" s="51">
        <v>57.46038068434421</v>
      </c>
      <c r="Q63" s="35">
        <v>4598.868876511189</v>
      </c>
      <c r="R63" s="32">
        <v>5025.427006645327</v>
      </c>
      <c r="S63" s="57">
        <v>-0.08487997727756921</v>
      </c>
      <c r="T63" s="51">
        <v>288762.9489032249</v>
      </c>
      <c r="U63" s="51">
        <v>611935.273319122</v>
      </c>
      <c r="V63" s="51">
        <v>323172.32441589714</v>
      </c>
    </row>
    <row r="64">
      <c r="A64" s="55">
        <v>45414.9599652662</v>
      </c>
      <c r="B64" s="56">
        <v>11.183867774802168</v>
      </c>
      <c r="C64" s="57">
        <v>0.07102405489524699</v>
      </c>
      <c r="D64" s="58">
        <v>1.0151113107751657</v>
      </c>
      <c r="E64" s="50">
        <v>127.8214978367895</v>
      </c>
      <c r="F64" s="57">
        <v>0.05689534770933946</v>
      </c>
      <c r="G64" s="58">
        <v>1.2245153323812916</v>
      </c>
      <c r="H64" s="51">
        <v>25420.231859659907</v>
      </c>
      <c r="I64" s="57">
        <v>0.003102733407705485</v>
      </c>
      <c r="J64" s="57">
        <v>0.0436856697675413</v>
      </c>
      <c r="K64" s="51">
        <v>556469.2526080199</v>
      </c>
      <c r="L64" s="57">
        <v>0.0679213214875415</v>
      </c>
      <c r="M64" s="57">
        <v>0.9563143302324587</v>
      </c>
      <c r="N64" s="59">
        <v>0.01412870718590753</v>
      </c>
      <c r="O64" s="57">
        <v>-0.20940402160612592</v>
      </c>
      <c r="P64" s="51">
        <v>57.46038068434421</v>
      </c>
      <c r="Q64" s="35">
        <v>4552.360082735634</v>
      </c>
      <c r="R64" s="32">
        <v>5025.427006645327</v>
      </c>
      <c r="S64" s="57">
        <v>-0.09413467219484783</v>
      </c>
      <c r="T64" s="51">
        <v>288762.9489032249</v>
      </c>
      <c r="U64" s="51">
        <v>581889.4844676798</v>
      </c>
      <c r="V64" s="51">
        <v>293126.53556445485</v>
      </c>
    </row>
    <row r="65">
      <c r="A65" s="55">
        <v>45413.95997810185</v>
      </c>
      <c r="B65" s="56">
        <v>10.789684270133549</v>
      </c>
      <c r="C65" s="57">
        <v>0.10906016426508591</v>
      </c>
      <c r="D65" s="58">
        <v>0.9440872558799187</v>
      </c>
      <c r="E65" s="50">
        <v>124.55226949824274</v>
      </c>
      <c r="F65" s="57">
        <v>0.1205945195392486</v>
      </c>
      <c r="G65" s="58">
        <v>1.1676199846719522</v>
      </c>
      <c r="H65" s="51">
        <v>24871.92610233123</v>
      </c>
      <c r="I65" s="57">
        <v>0.004831904527521432</v>
      </c>
      <c r="J65" s="57">
        <v>0.04430494452380261</v>
      </c>
      <c r="K65" s="51">
        <v>536508.4428307324</v>
      </c>
      <c r="L65" s="57">
        <v>0.10422825973756449</v>
      </c>
      <c r="M65" s="57">
        <v>0.9556950554761974</v>
      </c>
      <c r="N65" s="59">
        <v>-0.011534355274162689</v>
      </c>
      <c r="O65" s="57">
        <v>-0.22353272879203345</v>
      </c>
      <c r="P65" s="51">
        <v>57.46038068434421</v>
      </c>
      <c r="Q65" s="35">
        <v>4507.186992212808</v>
      </c>
      <c r="R65" s="32">
        <v>5025.427006645327</v>
      </c>
      <c r="S65" s="57">
        <v>-0.10312357810534893</v>
      </c>
      <c r="T65" s="51">
        <v>288762.9489032249</v>
      </c>
      <c r="U65" s="51">
        <v>561380.3689330637</v>
      </c>
      <c r="V65" s="51">
        <v>272617.4200298388</v>
      </c>
    </row>
    <row r="66">
      <c r="A66" s="55">
        <v>45412.959974513884</v>
      </c>
      <c r="B66" s="56">
        <v>10.184400358462321</v>
      </c>
      <c r="C66" s="57">
        <v>-0.1401684290762335</v>
      </c>
      <c r="D66" s="58">
        <v>0.8350270916148328</v>
      </c>
      <c r="E66" s="50">
        <v>117.6228624970719</v>
      </c>
      <c r="F66" s="57">
        <v>-0.14119498351818027</v>
      </c>
      <c r="G66" s="58">
        <v>1.0470254651327036</v>
      </c>
      <c r="H66" s="51">
        <v>25920.67344991792</v>
      </c>
      <c r="I66" s="57">
        <v>-0.0068566587925678515</v>
      </c>
      <c r="J66" s="57">
        <v>0.048917283569174595</v>
      </c>
      <c r="K66" s="51">
        <v>503967.16084208933</v>
      </c>
      <c r="L66" s="57">
        <v>-0.13331177028366564</v>
      </c>
      <c r="M66" s="57">
        <v>0.9510827164308254</v>
      </c>
      <c r="N66" s="59">
        <v>0.0010265544419467698</v>
      </c>
      <c r="O66" s="57">
        <v>-0.21199837351787076</v>
      </c>
      <c r="P66" s="51">
        <v>57.46038068434421</v>
      </c>
      <c r="Q66" s="35">
        <v>4504.9731237853375</v>
      </c>
      <c r="R66" s="32">
        <v>5025.427006645327</v>
      </c>
      <c r="S66" s="57">
        <v>-0.10356411150172361</v>
      </c>
      <c r="T66" s="51">
        <v>288762.9489032249</v>
      </c>
      <c r="U66" s="51">
        <v>529887.8342920073</v>
      </c>
      <c r="V66" s="51">
        <v>241124.88538878236</v>
      </c>
    </row>
    <row r="67">
      <c r="A67" s="55">
        <v>45411.959964375</v>
      </c>
      <c r="B67" s="56">
        <v>10.962335139835417</v>
      </c>
      <c r="C67" s="57">
        <v>-0.10888082008904276</v>
      </c>
      <c r="D67" s="58">
        <v>0.9751955206910663</v>
      </c>
      <c r="E67" s="50">
        <v>125.73598000074627</v>
      </c>
      <c r="F67" s="57">
        <v>-0.11046100237970569</v>
      </c>
      <c r="G67" s="58">
        <v>1.1882204486508838</v>
      </c>
      <c r="H67" s="51">
        <v>27062.296245927508</v>
      </c>
      <c r="I67" s="57">
        <v>-0.005166119726605012</v>
      </c>
      <c r="J67" s="57">
        <v>0.04744747258865389</v>
      </c>
      <c r="K67" s="51">
        <v>543300.9869692656</v>
      </c>
      <c r="L67" s="57">
        <v>-0.10371470036243777</v>
      </c>
      <c r="M67" s="57">
        <v>0.9525525274113462</v>
      </c>
      <c r="N67" s="59">
        <v>0.0015801822906629237</v>
      </c>
      <c r="O67" s="57">
        <v>-0.21302492795981753</v>
      </c>
      <c r="P67" s="51">
        <v>57.46038068434421</v>
      </c>
      <c r="Q67" s="35">
        <v>4536.1978584953</v>
      </c>
      <c r="R67" s="32">
        <v>5025.427006645327</v>
      </c>
      <c r="S67" s="57">
        <v>-0.09735076193587118</v>
      </c>
      <c r="T67" s="51">
        <v>288762.9489032249</v>
      </c>
      <c r="U67" s="51">
        <v>570363.2832151931</v>
      </c>
      <c r="V67" s="51">
        <v>281600.3343119682</v>
      </c>
    </row>
    <row r="68">
      <c r="A68" s="55">
        <v>45410.95996121528</v>
      </c>
      <c r="B68" s="56">
        <v>11.566623691329605</v>
      </c>
      <c r="C68" s="57">
        <v>-0.015472844674501829</v>
      </c>
      <c r="D68" s="58">
        <v>1.084076340780109</v>
      </c>
      <c r="E68" s="50">
        <v>132.0831112482584</v>
      </c>
      <c r="F68" s="57">
        <v>0.24063884220960086</v>
      </c>
      <c r="G68" s="58">
        <v>1.2986814510305895</v>
      </c>
      <c r="H68" s="51">
        <v>27325.374152515666</v>
      </c>
      <c r="I68" s="57">
        <v>-7.025563953145928E-4</v>
      </c>
      <c r="J68" s="57">
        <v>0.045405767982170525</v>
      </c>
      <c r="K68" s="51">
        <v>574478.6557505908</v>
      </c>
      <c r="L68" s="57">
        <v>-0.014770288279187235</v>
      </c>
      <c r="M68" s="57">
        <v>0.9545942320178294</v>
      </c>
      <c r="N68" s="59">
        <v>-0.2561116868841027</v>
      </c>
      <c r="O68" s="57">
        <v>-0.21460511025048046</v>
      </c>
      <c r="P68" s="51">
        <v>57.46038068434421</v>
      </c>
      <c r="Q68" s="35">
        <v>4556.252682237159</v>
      </c>
      <c r="R68" s="32">
        <v>5025.427006645327</v>
      </c>
      <c r="S68" s="57">
        <v>-0.09336009134900572</v>
      </c>
      <c r="T68" s="51">
        <v>288762.9489032249</v>
      </c>
      <c r="U68" s="51">
        <v>601804.0299031065</v>
      </c>
      <c r="V68" s="51">
        <v>313041.0809998816</v>
      </c>
    </row>
    <row r="69">
      <c r="A69" s="55">
        <v>45409.959966932875</v>
      </c>
      <c r="B69" s="48">
        <f t="array" ref="B69">INDEX($U:$U,ROW())/INDEX($T:$T,ROW())*INDEX($B:$B,ROWS($B:$B))</f>
        <v>9.226050468</v>
      </c>
      <c r="C69" s="7">
        <f t="array" ref="C69">INDEX(D:D,ROW())-INDEX(D:D,ROW()+1)</f>
        <v>-0.426588405</v>
      </c>
      <c r="D69" s="49">
        <f t="array" ref="D69">-1+INDEX(B:B,ROW())/INDEX(B:B,ROWS(B:B))</f>
        <v>0.6623514356</v>
      </c>
      <c r="E69" s="50">
        <v>118.2559117674549</v>
      </c>
      <c r="F69" s="7">
        <f t="array" ref="F69">INDEX(G:G,ROW())-INDEX(G:G,ROW()+1)</f>
        <v>-0.2490015481</v>
      </c>
      <c r="G69" s="49">
        <f t="array" ref="G69">-1+INDEX(E:E,ROW())/INDEX(P:P,ROW())</f>
        <v>1.058042609</v>
      </c>
      <c r="H69" s="51">
        <f>SUMIFS(Dashboard!$C:$C,Dashboard!$A:$A,"*(BTC)")</f>
        <v>39124.22503</v>
      </c>
      <c r="I69" s="7">
        <f>$C69*J69</f>
        <v>-0.03476886262</v>
      </c>
      <c r="J69" s="7">
        <f>IF($H69+$K69&lt;&gt;0,H69/($H69+$K69),0)</f>
        <v>0.08150447178</v>
      </c>
      <c r="K69" s="51">
        <f>IF(ROW()=2,SUMIFS(Dashboard!$C:$C,Dashboard!$A:$A,"TOTAL"),$Q69*$E69)-$H69</f>
        <v>440901.2776</v>
      </c>
      <c r="L69" s="7">
        <f>$C69*M69</f>
        <v>-0.3918195424</v>
      </c>
      <c r="M69" s="7">
        <f>IF($H69+$K69&lt;&gt;0,K69/($H69+$K69),0)</f>
        <v>0.9184955282</v>
      </c>
      <c r="N69" s="52">
        <f t="shared" ref="N69:O69" si="4">C69-F69</f>
        <v>-0.1775868569</v>
      </c>
      <c r="O69" s="7">
        <f t="shared" si="4"/>
        <v>-0.3956911732</v>
      </c>
      <c r="P69" s="53">
        <f>SUMIFS(OFFSET(Transfer!$D:$D,2,0),OFFSET(Transfer!$A:$A,2,0),"&lt;="&amp;$A69)/SUMIFS(OFFSET(Transfer!$E:$E,2,0),OFFSET(Transfer!$A:$A,2,0),"&lt;="&amp;$A69)</f>
        <v>57.46038068</v>
      </c>
      <c r="Q69" s="35">
        <f>Q70/E70*E69</f>
        <v>4059.209349</v>
      </c>
      <c r="R69" s="13">
        <f>SUMIFS(OFFSET(Transfer!$B:$B,2,0),OFFSET(Transfer!$A:$A,2,0),"&lt;="&amp;$A69)/(SUMIFS(OFFSET(Transfer!$D:$D,2,0),OFFSET(Transfer!$A:$A,2,0),"&lt;="&amp;$A69)/SUMIFS(OFFSET(Transfer!$E:$E,2,0),OFFSET(Transfer!$A:$A,2,0),"&lt;="&amp;$A69))</f>
        <v>5025.427007</v>
      </c>
      <c r="S69" s="7">
        <f>(Q69-R69)/R69</f>
        <v>-0.1922657828</v>
      </c>
      <c r="T69" s="53">
        <f>SUMIFS(OFFSET(Transfer!$B:$B,2,0),OFFSET(Transfer!$A:$A,2,0),"&lt;="&amp;$A69)</f>
        <v>288762.9489</v>
      </c>
      <c r="U69" s="53">
        <f>$K69+$H69</f>
        <v>480025.5027</v>
      </c>
      <c r="V69" s="53">
        <f>$U69-$T69</f>
        <v>191262.5538</v>
      </c>
    </row>
    <row r="70">
      <c r="A70" s="55">
        <v>45408.95996168982</v>
      </c>
      <c r="B70" s="56">
        <v>11.593616115686942</v>
      </c>
      <c r="C70" s="57">
        <v>-0.07652394702478382</v>
      </c>
      <c r="D70" s="58">
        <v>1.088939840664314</v>
      </c>
      <c r="E70" s="50">
        <v>132.5636355144552</v>
      </c>
      <c r="F70" s="57">
        <v>-0.07981730606330784</v>
      </c>
      <c r="G70" s="58">
        <v>1.3070441569589843</v>
      </c>
      <c r="H70" s="51">
        <v>27380.835274581088</v>
      </c>
      <c r="I70" s="57">
        <v>-0.0034735747863390747</v>
      </c>
      <c r="J70" s="57">
        <v>0.04539199716415683</v>
      </c>
      <c r="K70" s="51">
        <v>575827.5931970789</v>
      </c>
      <c r="L70" s="57">
        <v>-0.07305037223844474</v>
      </c>
      <c r="M70" s="57">
        <v>0.9546080028358431</v>
      </c>
      <c r="N70" s="59">
        <v>0.003293359038524013</v>
      </c>
      <c r="O70" s="57">
        <v>-0.2181043162946703</v>
      </c>
      <c r="P70" s="51">
        <v>57.46038068434421</v>
      </c>
      <c r="Q70" s="35">
        <v>4550.331062743704</v>
      </c>
      <c r="R70" s="32">
        <v>5025.427006645327</v>
      </c>
      <c r="S70" s="57">
        <v>-0.09453842295856342</v>
      </c>
      <c r="T70" s="51">
        <v>288762.9489032249</v>
      </c>
      <c r="U70" s="51">
        <v>603208.42847166</v>
      </c>
      <c r="V70" s="51">
        <v>314445.4795684351</v>
      </c>
    </row>
    <row r="71">
      <c r="A71" s="55">
        <v>45407.95998542824</v>
      </c>
      <c r="B71" s="56">
        <v>12.018324021674493</v>
      </c>
      <c r="C71" s="57">
        <v>-0.02806521193342215</v>
      </c>
      <c r="D71" s="58">
        <v>1.1654637876890979</v>
      </c>
      <c r="E71" s="50">
        <v>137.14996830605168</v>
      </c>
      <c r="F71" s="57">
        <v>-0.05034544195209412</v>
      </c>
      <c r="G71" s="58">
        <v>1.3868614630222922</v>
      </c>
      <c r="H71" s="51">
        <v>27578.797642281424</v>
      </c>
      <c r="I71" s="57">
        <v>-0.0012378022293175767</v>
      </c>
      <c r="J71" s="57">
        <v>0.04410450319256308</v>
      </c>
      <c r="K71" s="51">
        <v>597726.9114339694</v>
      </c>
      <c r="L71" s="57">
        <v>-0.026827409704104577</v>
      </c>
      <c r="M71" s="57">
        <v>0.955895496807437</v>
      </c>
      <c r="N71" s="59">
        <v>0.022280230018671965</v>
      </c>
      <c r="O71" s="57">
        <v>-0.22139767533319432</v>
      </c>
      <c r="P71" s="51">
        <v>57.46038068434421</v>
      </c>
      <c r="Q71" s="35">
        <v>4559.284386277613</v>
      </c>
      <c r="R71" s="32">
        <v>5025.427006645327</v>
      </c>
      <c r="S71" s="57">
        <v>-0.09275681842584028</v>
      </c>
      <c r="T71" s="51">
        <v>288762.9489032249</v>
      </c>
      <c r="U71" s="51">
        <v>625305.7090762508</v>
      </c>
      <c r="V71" s="51">
        <v>336542.7601730259</v>
      </c>
    </row>
    <row r="72">
      <c r="A72" s="55">
        <v>45406.959960625</v>
      </c>
      <c r="B72" s="56">
        <v>12.174085947904986</v>
      </c>
      <c r="C72" s="57">
        <v>-0.13688325134313972</v>
      </c>
      <c r="D72" s="58">
        <v>1.19352899962252</v>
      </c>
      <c r="E72" s="50">
        <v>140.04283656634055</v>
      </c>
      <c r="F72" s="57">
        <v>-0.10268522817696812</v>
      </c>
      <c r="G72" s="58">
        <v>1.4372069049743863</v>
      </c>
      <c r="H72" s="51">
        <v>27675.058426129595</v>
      </c>
      <c r="I72" s="57">
        <v>-0.005980727430866613</v>
      </c>
      <c r="J72" s="57">
        <v>0.04369217835039651</v>
      </c>
      <c r="K72" s="51">
        <v>605734.8440096101</v>
      </c>
      <c r="L72" s="57">
        <v>-0.1309025239122731</v>
      </c>
      <c r="M72" s="57">
        <v>0.9563078216496035</v>
      </c>
      <c r="N72" s="59">
        <v>-0.0341980231661716</v>
      </c>
      <c r="O72" s="57">
        <v>-0.2436779053518663</v>
      </c>
      <c r="P72" s="51">
        <v>57.46038068434421</v>
      </c>
      <c r="Q72" s="35">
        <v>4522.972527307266</v>
      </c>
      <c r="R72" s="32">
        <v>5025.427006645327</v>
      </c>
      <c r="S72" s="57">
        <v>-0.09998244500888082</v>
      </c>
      <c r="T72" s="51">
        <v>288762.9489032249</v>
      </c>
      <c r="U72" s="51">
        <v>633409.9024357398</v>
      </c>
      <c r="V72" s="51">
        <v>344646.95353251486</v>
      </c>
    </row>
    <row r="73">
      <c r="A73" s="55">
        <v>45405.959962141205</v>
      </c>
      <c r="B73" s="56">
        <v>12.933787992859411</v>
      </c>
      <c r="C73" s="57">
        <v>-0.154920685472288</v>
      </c>
      <c r="D73" s="58">
        <v>1.3304122509656597</v>
      </c>
      <c r="E73" s="50">
        <v>145.9431688680479</v>
      </c>
      <c r="F73" s="57">
        <v>-4.654525019911482E-4</v>
      </c>
      <c r="G73" s="58">
        <v>1.5398921331513544</v>
      </c>
      <c r="H73" s="51">
        <v>28488.421144158307</v>
      </c>
      <c r="I73" s="57">
        <v>-0.006558485577474534</v>
      </c>
      <c r="J73" s="57">
        <v>0.042334473007787636</v>
      </c>
      <c r="K73" s="51">
        <v>644448.2926048877</v>
      </c>
      <c r="L73" s="57">
        <v>-0.14836219989481345</v>
      </c>
      <c r="M73" s="57">
        <v>0.9576655269922123</v>
      </c>
      <c r="N73" s="59">
        <v>-0.15445523297029684</v>
      </c>
      <c r="O73" s="57">
        <v>-0.2094798821856947</v>
      </c>
      <c r="P73" s="51">
        <v>57.46038068434421</v>
      </c>
      <c r="Q73" s="35">
        <v>4610.950406027367</v>
      </c>
      <c r="R73" s="32">
        <v>5025.427006645327</v>
      </c>
      <c r="S73" s="57">
        <v>-0.0824758970869304</v>
      </c>
      <c r="T73" s="51">
        <v>288762.9489032249</v>
      </c>
      <c r="U73" s="51">
        <v>672936.7137490461</v>
      </c>
      <c r="V73" s="51">
        <v>384173.7648458212</v>
      </c>
    </row>
    <row r="74">
      <c r="A74" s="55">
        <v>45404.95996133102</v>
      </c>
      <c r="B74" s="48">
        <v>13.793597797230609</v>
      </c>
      <c r="C74" s="7">
        <v>0.2657625517151456</v>
      </c>
      <c r="D74" s="49">
        <v>1.4853329364379477</v>
      </c>
      <c r="E74" s="50">
        <v>145.96991394600278</v>
      </c>
      <c r="F74" s="7">
        <v>0.13966237444126506</v>
      </c>
      <c r="G74" s="49">
        <v>1.5403575856533456</v>
      </c>
      <c r="H74" s="51">
        <v>28806.295578615653</v>
      </c>
      <c r="I74" s="7">
        <v>0.010667315843328928</v>
      </c>
      <c r="J74" s="7">
        <v>0.04013852130213801</v>
      </c>
      <c r="K74" s="51">
        <v>688865.7721535173</v>
      </c>
      <c r="L74" s="7">
        <v>0.2550952358718167</v>
      </c>
      <c r="M74" s="7">
        <v>0.959861478697862</v>
      </c>
      <c r="N74" s="52">
        <v>0.12610017727388056</v>
      </c>
      <c r="O74" s="7">
        <v>-0.05502464921539785</v>
      </c>
      <c r="P74" s="53">
        <v>57.46038068434421</v>
      </c>
      <c r="Q74" s="35">
        <v>4916.575260828162</v>
      </c>
      <c r="R74" s="13">
        <v>5025.427006645327</v>
      </c>
      <c r="S74" s="7">
        <v>-0.021660198361895686</v>
      </c>
      <c r="T74" s="53">
        <v>288762.9489032249</v>
      </c>
      <c r="U74" s="53">
        <v>717672.067732133</v>
      </c>
      <c r="V74" s="53">
        <v>428909.1188289081</v>
      </c>
    </row>
    <row r="75">
      <c r="A75" s="55">
        <v>45403.95996712963</v>
      </c>
      <c r="B75" s="56">
        <v>12.318615635211552</v>
      </c>
      <c r="C75" s="57">
        <v>-0.18516494379976312</v>
      </c>
      <c r="D75" s="58">
        <v>1.219570384722802</v>
      </c>
      <c r="E75" s="50">
        <v>137.94486074332826</v>
      </c>
      <c r="F75" s="57">
        <v>-0.055698968754898104</v>
      </c>
      <c r="G75" s="58">
        <v>1.4006952112120805</v>
      </c>
      <c r="H75" s="51">
        <v>27768.092651754072</v>
      </c>
      <c r="I75" s="57">
        <v>-0.008022217411353148</v>
      </c>
      <c r="J75" s="57">
        <v>0.04332470956288763</v>
      </c>
      <c r="K75" s="51">
        <v>613161.5969390677</v>
      </c>
      <c r="L75" s="57">
        <v>-0.17714272638840997</v>
      </c>
      <c r="M75" s="57">
        <v>0.9566752904371124</v>
      </c>
      <c r="N75" s="59">
        <v>-0.129465975044865</v>
      </c>
      <c r="O75" s="57">
        <v>-0.1811248264892784</v>
      </c>
      <c r="P75" s="51">
        <v>57.46038068434421</v>
      </c>
      <c r="Q75" s="35">
        <v>4646.274505169055</v>
      </c>
      <c r="R75" s="32">
        <v>5025.427006645327</v>
      </c>
      <c r="S75" s="57">
        <v>-0.07544682292169463</v>
      </c>
      <c r="T75" s="51">
        <v>288762.9489032249</v>
      </c>
      <c r="U75" s="51">
        <v>640929.6895908217</v>
      </c>
      <c r="V75" s="51">
        <v>352166.74068759684</v>
      </c>
    </row>
    <row r="76">
      <c r="A76" s="55">
        <v>45402.959962361114</v>
      </c>
      <c r="B76" s="56">
        <v>13.346281073300236</v>
      </c>
      <c r="C76" s="57">
        <v>0.244187442963395</v>
      </c>
      <c r="D76" s="58">
        <v>1.4047353285225652</v>
      </c>
      <c r="E76" s="50">
        <v>141.1453446917101</v>
      </c>
      <c r="F76" s="57">
        <v>0.09611389103253742</v>
      </c>
      <c r="G76" s="58">
        <v>1.4563941799669786</v>
      </c>
      <c r="H76" s="51">
        <v>27865.450523676147</v>
      </c>
      <c r="I76" s="57">
        <v>0.009798974875900743</v>
      </c>
      <c r="J76" s="57">
        <v>0.04012890571678438</v>
      </c>
      <c r="K76" s="51">
        <v>666533.0142722651</v>
      </c>
      <c r="L76" s="57">
        <v>0.23438846808749428</v>
      </c>
      <c r="M76" s="57">
        <v>0.9598710942832157</v>
      </c>
      <c r="N76" s="59">
        <v>0.14807355193085758</v>
      </c>
      <c r="O76" s="57">
        <v>-0.0516588514444134</v>
      </c>
      <c r="P76" s="51">
        <v>57.46038068434421</v>
      </c>
      <c r="Q76" s="35">
        <v>4919.740472579152</v>
      </c>
      <c r="R76" s="32">
        <v>5025.427006645327</v>
      </c>
      <c r="S76" s="57">
        <v>-0.021030358997637735</v>
      </c>
      <c r="T76" s="51">
        <v>288762.9489032249</v>
      </c>
      <c r="U76" s="51">
        <v>694398.4647959413</v>
      </c>
      <c r="V76" s="51">
        <v>405635.51589271636</v>
      </c>
    </row>
    <row r="77">
      <c r="A77" s="55">
        <v>45401.959975624995</v>
      </c>
      <c r="B77" s="56">
        <v>11.991040764853395</v>
      </c>
      <c r="C77" s="57">
        <v>0.09641506654600729</v>
      </c>
      <c r="D77" s="58">
        <v>1.1605478855591702</v>
      </c>
      <c r="E77" s="50">
        <v>135.62260392392693</v>
      </c>
      <c r="F77" s="57">
        <v>0.09111072926665287</v>
      </c>
      <c r="G77" s="58">
        <v>1.3602802889344412</v>
      </c>
      <c r="H77" s="51">
        <v>27777.961579578136</v>
      </c>
      <c r="I77" s="57">
        <v>0.004292792669122708</v>
      </c>
      <c r="J77" s="57">
        <v>0.04452408552841972</v>
      </c>
      <c r="K77" s="51">
        <v>596108.2171011152</v>
      </c>
      <c r="L77" s="57">
        <v>0.09212227387688458</v>
      </c>
      <c r="M77" s="57">
        <v>0.9554759144715803</v>
      </c>
      <c r="N77" s="59">
        <v>0.005304337279354421</v>
      </c>
      <c r="O77" s="57">
        <v>-0.19973240337527098</v>
      </c>
      <c r="P77" s="51">
        <v>57.46038068434421</v>
      </c>
      <c r="Q77" s="35">
        <v>4600.163694177719</v>
      </c>
      <c r="R77" s="32">
        <v>5025.427006645327</v>
      </c>
      <c r="S77" s="57">
        <v>-0.08462232401450971</v>
      </c>
      <c r="T77" s="51">
        <v>288762.9489032249</v>
      </c>
      <c r="U77" s="51">
        <v>623886.1786806933</v>
      </c>
      <c r="V77" s="51">
        <v>335123.22977746837</v>
      </c>
    </row>
    <row r="78">
      <c r="A78" s="55">
        <v>45400.95997920139</v>
      </c>
      <c r="B78" s="56">
        <v>11.455937145523054</v>
      </c>
      <c r="C78" s="57">
        <v>0.07857460877329525</v>
      </c>
      <c r="D78" s="58">
        <v>1.064132819013163</v>
      </c>
      <c r="E78" s="50">
        <v>130.38734673583684</v>
      </c>
      <c r="F78" s="57">
        <v>0.07367535748942844</v>
      </c>
      <c r="G78" s="58">
        <v>1.2691695596677883</v>
      </c>
      <c r="H78" s="51">
        <v>27266.972562825387</v>
      </c>
      <c r="I78" s="57">
        <v>0.00359451285541789</v>
      </c>
      <c r="J78" s="57">
        <v>0.04574649382969042</v>
      </c>
      <c r="K78" s="51">
        <v>568778.1071833421</v>
      </c>
      <c r="L78" s="57">
        <v>0.07498009591787735</v>
      </c>
      <c r="M78" s="57">
        <v>0.9542535061703096</v>
      </c>
      <c r="N78" s="59">
        <v>0.004899251283866812</v>
      </c>
      <c r="O78" s="57">
        <v>-0.2050367406546254</v>
      </c>
      <c r="P78" s="51">
        <v>57.46038068434421</v>
      </c>
      <c r="Q78" s="35">
        <v>4571.341427429668</v>
      </c>
      <c r="R78" s="32">
        <v>5025.427006645327</v>
      </c>
      <c r="S78" s="57">
        <v>-0.09035761112741326</v>
      </c>
      <c r="T78" s="51">
        <v>288762.9489032249</v>
      </c>
      <c r="U78" s="51">
        <v>596045.0797461675</v>
      </c>
      <c r="V78" s="51">
        <v>307282.1308429426</v>
      </c>
    </row>
    <row r="79">
      <c r="A79" s="55">
        <v>45399.959977060185</v>
      </c>
      <c r="B79" s="56">
        <v>11.019848066831265</v>
      </c>
      <c r="C79" s="57">
        <v>-0.057949864320465005</v>
      </c>
      <c r="D79" s="58">
        <v>0.9855582102398677</v>
      </c>
      <c r="E79" s="50">
        <v>126.15393264743912</v>
      </c>
      <c r="F79" s="57">
        <v>-0.057501016322401455</v>
      </c>
      <c r="G79" s="58">
        <v>1.1954942021783599</v>
      </c>
      <c r="H79" s="51">
        <v>26286.042429996123</v>
      </c>
      <c r="I79" s="57">
        <v>0.01396984450354045</v>
      </c>
      <c r="J79" s="57">
        <v>0.045845964376056876</v>
      </c>
      <c r="K79" s="51">
        <v>547069.6015778775</v>
      </c>
      <c r="L79" s="57">
        <v>0.2907427881930077</v>
      </c>
      <c r="M79" s="57">
        <v>0.9541540356239432</v>
      </c>
      <c r="N79" s="59">
        <v>0.3622136490189496</v>
      </c>
      <c r="O79" s="57">
        <v>-0.20993599193849222</v>
      </c>
      <c r="P79" s="51">
        <v>57.46038068434421</v>
      </c>
      <c r="Q79" s="35">
        <v>4544.889183995744</v>
      </c>
      <c r="R79" s="32">
        <v>5025.427006645327</v>
      </c>
      <c r="S79" s="57">
        <v>-0.0956212918850773</v>
      </c>
      <c r="T79" s="51">
        <v>288762.9489032249</v>
      </c>
      <c r="U79" s="51">
        <v>573355.6440078736</v>
      </c>
      <c r="V79" s="51">
        <v>284592.6951046487</v>
      </c>
    </row>
    <row r="80">
      <c r="A80" s="55">
        <v>45398.95996409722</v>
      </c>
      <c r="B80" s="48">
        <f t="array" ref="B80">INDEX($U:$U,ROW())/INDEX($T:$T,ROW())*INDEX($B:$B,ROWS($B:$B))</f>
        <v>11.34146981</v>
      </c>
      <c r="C80" s="7">
        <f t="array" ref="C80">INDEX(D:D,ROW())-INDEX(D:D,ROW()+1)</f>
        <v>-0.01530105264</v>
      </c>
      <c r="D80" s="49">
        <f t="array" ref="D80">-1+INDEX(B:B,ROW())/INDEX(B:B,ROWS(B:B))</f>
        <v>1.043508075</v>
      </c>
      <c r="E80" s="50">
        <v>129.457962935061</v>
      </c>
      <c r="F80" s="7">
        <f t="array" ref="F80">INDEX(G:G,ROW())-INDEX(G:G,ROW()+1)</f>
        <v>-0.008419078107</v>
      </c>
      <c r="G80" s="49">
        <f t="array" ref="G80">-1+INDEX(E:E,ROW())/INDEX(P:P,ROW())</f>
        <v>1.252995219</v>
      </c>
      <c r="H80" s="51">
        <f>SUMIFS(Dashboard!$C:$C,Dashboard!$A:$A,"*(BTC)")</f>
        <v>39124.22503</v>
      </c>
      <c r="I80" s="7">
        <f>$C80*J80</f>
        <v>-0.001014493412</v>
      </c>
      <c r="J80" s="7">
        <f>IF($H80+$K80&lt;&gt;0,H80/($H80+$K80),0)</f>
        <v>0.06630219736</v>
      </c>
      <c r="K80" s="51">
        <f>IF(ROW()=2,SUMIFS(Dashboard!$C:$C,Dashboard!$A:$A,"TOTAL"),$Q80*$E80)-$H80</f>
        <v>550965.1927</v>
      </c>
      <c r="L80" s="7">
        <f>$C80*M80</f>
        <v>-0.01428655923</v>
      </c>
      <c r="M80" s="7">
        <f>IF($H80+$K80&lt;&gt;0,K80/($H80+$K80),0)</f>
        <v>0.9336978026</v>
      </c>
      <c r="N80" s="52">
        <f t="shared" ref="N80:O80" si="5">C80-F80</f>
        <v>-0.006881974536</v>
      </c>
      <c r="O80" s="7">
        <f t="shared" si="5"/>
        <v>-0.2094871439</v>
      </c>
      <c r="P80" s="53">
        <f>SUMIFS(OFFSET(Transfer!$D:$D,2,0),OFFSET(Transfer!$A:$A,2,0),"&lt;="&amp;$A80)/SUMIFS(OFFSET(Transfer!$E:$E,2,0),OFFSET(Transfer!$A:$A,2,0),"&lt;="&amp;$A80)</f>
        <v>57.46038068</v>
      </c>
      <c r="Q80" s="35">
        <f>Q81/E81*E80</f>
        <v>4558.154665</v>
      </c>
      <c r="R80" s="13">
        <f>SUMIFS(OFFSET(Transfer!$B:$B,2,0),OFFSET(Transfer!$A:$A,2,0),"&lt;="&amp;$A80)/(SUMIFS(OFFSET(Transfer!$D:$D,2,0),OFFSET(Transfer!$A:$A,2,0),"&lt;="&amp;$A80)/SUMIFS(OFFSET(Transfer!$E:$E,2,0),OFFSET(Transfer!$A:$A,2,0),"&lt;="&amp;$A80))</f>
        <v>5025.427007</v>
      </c>
      <c r="S80" s="7">
        <f>(Q80-R80)/R80</f>
        <v>-0.09298161941</v>
      </c>
      <c r="T80" s="53">
        <f>SUMIFS(OFFSET(Transfer!$B:$B,2,0),OFFSET(Transfer!$A:$A,2,0),"&lt;="&amp;$A80)</f>
        <v>288762.9489</v>
      </c>
      <c r="U80" s="53">
        <f>$K80+$H80</f>
        <v>590089.4177</v>
      </c>
      <c r="V80" s="53">
        <f>$U80-$T80</f>
        <v>301326.4688</v>
      </c>
    </row>
    <row r="81">
      <c r="A81" s="55">
        <v>45397.959959479165</v>
      </c>
      <c r="B81" s="56">
        <v>11.426390655977709</v>
      </c>
      <c r="C81" s="57">
        <v>-0.0039623011661698015</v>
      </c>
      <c r="D81" s="58">
        <v>1.0588091272031908</v>
      </c>
      <c r="E81" s="50">
        <v>129.94172636811237</v>
      </c>
      <c r="F81" s="57">
        <v>-0.04932222821475207</v>
      </c>
      <c r="G81" s="58">
        <v>1.2614142966079687</v>
      </c>
      <c r="H81" s="51">
        <v>27455.643229231708</v>
      </c>
      <c r="I81" s="57">
        <v>-1.82987553967584E-4</v>
      </c>
      <c r="J81" s="57">
        <v>0.046182141713490894</v>
      </c>
      <c r="K81" s="51">
        <v>567052.1515708363</v>
      </c>
      <c r="L81" s="57">
        <v>-0.0037793136122022176</v>
      </c>
      <c r="M81" s="57">
        <v>0.9538178582865091</v>
      </c>
      <c r="N81" s="59">
        <v>0.04535992704858227</v>
      </c>
      <c r="O81" s="57">
        <v>-0.2026051694047779</v>
      </c>
      <c r="P81" s="51">
        <v>57.46038068434421</v>
      </c>
      <c r="Q81" s="35">
        <v>4575.187750822125</v>
      </c>
      <c r="R81" s="32">
        <v>5025.427006645327</v>
      </c>
      <c r="S81" s="57">
        <v>-0.08959223867500861</v>
      </c>
      <c r="T81" s="51">
        <v>288762.9489032249</v>
      </c>
      <c r="U81" s="51">
        <v>594507.794800068</v>
      </c>
      <c r="V81" s="51">
        <v>305744.8458968431</v>
      </c>
    </row>
    <row r="82">
      <c r="A82" s="55">
        <v>45396.95997568287</v>
      </c>
      <c r="B82" s="56">
        <v>11.44838142744995</v>
      </c>
      <c r="C82" s="57">
        <v>0.285131763817007</v>
      </c>
      <c r="D82" s="58">
        <v>1.0627714283693606</v>
      </c>
      <c r="E82" s="50">
        <v>132.77580037753214</v>
      </c>
      <c r="F82" s="57">
        <v>0.2867182942856128</v>
      </c>
      <c r="G82" s="58">
        <v>1.3107365248227207</v>
      </c>
      <c r="H82" s="51">
        <v>27592.10220163308</v>
      </c>
      <c r="I82" s="57">
        <v>0.013208022954632841</v>
      </c>
      <c r="J82" s="57">
        <v>0.04632252393707191</v>
      </c>
      <c r="K82" s="51">
        <v>568059.8583676209</v>
      </c>
      <c r="L82" s="57">
        <v>0.2719237408623742</v>
      </c>
      <c r="M82" s="57">
        <v>0.9536774760629282</v>
      </c>
      <c r="N82" s="59">
        <v>-0.0015865304686057957</v>
      </c>
      <c r="O82" s="57">
        <v>-0.24796509645336018</v>
      </c>
      <c r="P82" s="51">
        <v>57.46038068434421</v>
      </c>
      <c r="Q82" s="35">
        <v>4486.148521610027</v>
      </c>
      <c r="R82" s="32">
        <v>5025.427006645327</v>
      </c>
      <c r="S82" s="57">
        <v>-0.10730998267852465</v>
      </c>
      <c r="T82" s="51">
        <v>288762.9489032249</v>
      </c>
      <c r="U82" s="51">
        <v>595651.9605692539</v>
      </c>
      <c r="V82" s="51">
        <v>306889.011666029</v>
      </c>
    </row>
    <row r="83">
      <c r="A83" s="55">
        <v>45395.95996422454</v>
      </c>
      <c r="B83" s="56">
        <v>9.865900138265562</v>
      </c>
      <c r="C83" s="57">
        <v>-0.4217377149199446</v>
      </c>
      <c r="D83" s="58">
        <v>0.7776396645523536</v>
      </c>
      <c r="E83" s="50">
        <v>116.30085803871499</v>
      </c>
      <c r="F83" s="57">
        <v>-0.4489396819840188</v>
      </c>
      <c r="G83" s="58">
        <v>1.024018230537108</v>
      </c>
      <c r="H83" s="51">
        <v>26884.64115283851</v>
      </c>
      <c r="I83" s="57">
        <v>-0.022088258906598175</v>
      </c>
      <c r="J83" s="57">
        <v>0.05237439793780603</v>
      </c>
      <c r="K83" s="51">
        <v>486431.83047063864</v>
      </c>
      <c r="L83" s="57">
        <v>-0.3996494560133464</v>
      </c>
      <c r="M83" s="57">
        <v>0.9476256020621939</v>
      </c>
      <c r="N83" s="59">
        <v>0.027201967064074184</v>
      </c>
      <c r="O83" s="57">
        <v>-0.24637856598475438</v>
      </c>
      <c r="P83" s="51">
        <v>57.46038068434421</v>
      </c>
      <c r="Q83" s="35">
        <v>4413.69462169059</v>
      </c>
      <c r="R83" s="32">
        <v>5025.427006645327</v>
      </c>
      <c r="S83" s="57">
        <v>-0.12172744408501382</v>
      </c>
      <c r="T83" s="51">
        <v>288762.9489032249</v>
      </c>
      <c r="U83" s="51">
        <v>513316.4716234772</v>
      </c>
      <c r="V83" s="51">
        <v>224553.52272025228</v>
      </c>
    </row>
    <row r="84">
      <c r="A84" s="55">
        <v>45394.959958113424</v>
      </c>
      <c r="B84" s="56">
        <v>12.206544456071255</v>
      </c>
      <c r="C84" s="57">
        <v>-0.3260853553236869</v>
      </c>
      <c r="D84" s="58">
        <v>1.1993773794722982</v>
      </c>
      <c r="E84" s="50">
        <v>142.09710306982512</v>
      </c>
      <c r="F84" s="57">
        <v>-0.32045470721984204</v>
      </c>
      <c r="G84" s="58">
        <v>1.4729579125211267</v>
      </c>
      <c r="H84" s="51">
        <v>29006.872194641757</v>
      </c>
      <c r="I84" s="57">
        <v>-0.06467645114685644</v>
      </c>
      <c r="J84" s="57">
        <v>0.04567301475023392</v>
      </c>
      <c r="K84" s="51">
        <v>606091.8256528261</v>
      </c>
      <c r="L84" s="57">
        <v>-1.3513993542394125</v>
      </c>
      <c r="M84" s="57">
        <v>0.9543269852497661</v>
      </c>
      <c r="N84" s="59">
        <v>-1.095621098166427</v>
      </c>
      <c r="O84" s="57">
        <v>-0.27358053304882857</v>
      </c>
      <c r="P84" s="51">
        <v>57.46038068434421</v>
      </c>
      <c r="Q84" s="35">
        <v>4469.469708579397</v>
      </c>
      <c r="R84" s="32">
        <v>5025.427006645327</v>
      </c>
      <c r="S84" s="57">
        <v>-0.11062886742375631</v>
      </c>
      <c r="T84" s="51">
        <v>288762.9489032249</v>
      </c>
      <c r="U84" s="51">
        <v>635098.6978474678</v>
      </c>
      <c r="V84" s="51">
        <v>346335.74894424295</v>
      </c>
    </row>
    <row r="85">
      <c r="A85" s="55">
        <v>45393.95995884259</v>
      </c>
      <c r="B85" s="48">
        <v>14.016318178117716</v>
      </c>
      <c r="C85" s="7">
        <v>-0.0062242720595686585</v>
      </c>
      <c r="D85" s="49">
        <v>1.525462734795985</v>
      </c>
      <c r="E85" s="50">
        <v>160.5105525387673</v>
      </c>
      <c r="F85" s="7">
        <v>-0.003440213165256001</v>
      </c>
      <c r="G85" s="49">
        <v>1.7934126197409688</v>
      </c>
      <c r="H85" s="51">
        <v>27851.359323297205</v>
      </c>
      <c r="I85" s="7">
        <v>-2.377127798242923E-4</v>
      </c>
      <c r="J85" s="7">
        <v>0.0381912579574431</v>
      </c>
      <c r="K85" s="51">
        <v>701408.7073215945</v>
      </c>
      <c r="L85" s="7">
        <v>-0.005986559279744366</v>
      </c>
      <c r="M85" s="7">
        <v>0.961808742042557</v>
      </c>
      <c r="N85" s="52">
        <v>-0.0027840588943126576</v>
      </c>
      <c r="O85" s="7">
        <v>-0.26794988494498373</v>
      </c>
      <c r="P85" s="53">
        <v>57.46038068434421</v>
      </c>
      <c r="Q85" s="35">
        <v>4543.377710127545</v>
      </c>
      <c r="R85" s="13">
        <v>5025.427006645327</v>
      </c>
      <c r="S85" s="7">
        <v>-0.09592205714665625</v>
      </c>
      <c r="T85" s="53">
        <v>288762.9489032249</v>
      </c>
      <c r="U85" s="53">
        <v>729260.0666448916</v>
      </c>
      <c r="V85" s="53">
        <v>440497.11774166673</v>
      </c>
    </row>
    <row r="86">
      <c r="A86" s="55">
        <v>45392.95996252315</v>
      </c>
      <c r="B86" s="56">
        <v>14.050862888048323</v>
      </c>
      <c r="C86" s="57">
        <v>-0.07606847435839414</v>
      </c>
      <c r="D86" s="58">
        <v>1.5316870068555537</v>
      </c>
      <c r="E86" s="50">
        <v>160.7082284968782</v>
      </c>
      <c r="F86" s="57">
        <v>0.00841811454248731</v>
      </c>
      <c r="G86" s="58">
        <v>1.7968528329062248</v>
      </c>
      <c r="H86" s="51">
        <v>29877.832011779985</v>
      </c>
      <c r="I86" s="57">
        <v>-0.0031088681685491957</v>
      </c>
      <c r="J86" s="57">
        <v>0.04086933772198276</v>
      </c>
      <c r="K86" s="51">
        <v>701179.5737878087</v>
      </c>
      <c r="L86" s="57">
        <v>-0.07295960618984496</v>
      </c>
      <c r="M86" s="57">
        <v>0.9591306622780172</v>
      </c>
      <c r="N86" s="59">
        <v>-0.08448658890088145</v>
      </c>
      <c r="O86" s="57">
        <v>-0.26516582605067107</v>
      </c>
      <c r="P86" s="51">
        <v>57.46038068434421</v>
      </c>
      <c r="Q86" s="35">
        <v>4548.973083937576</v>
      </c>
      <c r="R86" s="32">
        <v>5025.427006645327</v>
      </c>
      <c r="S86" s="57">
        <v>-0.09480864453462695</v>
      </c>
      <c r="T86" s="51">
        <v>288762.9489032249</v>
      </c>
      <c r="U86" s="51">
        <v>731057.4057995887</v>
      </c>
      <c r="V86" s="51">
        <v>442294.45689636376</v>
      </c>
    </row>
    <row r="87">
      <c r="A87" s="55">
        <v>45391.95997859954</v>
      </c>
      <c r="B87" s="56">
        <v>14.47304292073741</v>
      </c>
      <c r="C87" s="57">
        <v>-0.0956468328036304</v>
      </c>
      <c r="D87" s="58">
        <v>1.6077554812139478</v>
      </c>
      <c r="E87" s="50">
        <v>160.22452043062248</v>
      </c>
      <c r="F87" s="57">
        <v>-0.10451304101068137</v>
      </c>
      <c r="G87" s="58">
        <v>1.7884347183637375</v>
      </c>
      <c r="H87" s="51">
        <v>29241.452106727054</v>
      </c>
      <c r="I87" s="57">
        <v>-0.0037141650069365873</v>
      </c>
      <c r="J87" s="57">
        <v>0.038832075229945424</v>
      </c>
      <c r="K87" s="51">
        <v>723781.7106671608</v>
      </c>
      <c r="L87" s="57">
        <v>-0.0919326677966938</v>
      </c>
      <c r="M87" s="57">
        <v>0.9611679247700545</v>
      </c>
      <c r="N87" s="59">
        <v>0.008866208207050974</v>
      </c>
      <c r="O87" s="57">
        <v>-0.18067923714978962</v>
      </c>
      <c r="P87" s="51">
        <v>57.46038068434421</v>
      </c>
      <c r="Q87" s="35">
        <v>4699.799760673637</v>
      </c>
      <c r="R87" s="32">
        <v>5025.427006645327</v>
      </c>
      <c r="S87" s="57">
        <v>-0.0647959358560178</v>
      </c>
      <c r="T87" s="51">
        <v>288762.9489032249</v>
      </c>
      <c r="U87" s="51">
        <v>753023.1627738879</v>
      </c>
      <c r="V87" s="51">
        <v>464260.21387066296</v>
      </c>
    </row>
    <row r="88">
      <c r="A88" s="55">
        <v>45390.95996653935</v>
      </c>
      <c r="B88" s="56">
        <v>15.003882842797559</v>
      </c>
      <c r="C88" s="57">
        <v>0.06853265164741318</v>
      </c>
      <c r="D88" s="58">
        <v>1.7034023140175782</v>
      </c>
      <c r="E88" s="50">
        <v>166.2298795535747</v>
      </c>
      <c r="F88" s="57">
        <v>0.06686114201768101</v>
      </c>
      <c r="G88" s="58">
        <v>1.8929477593744188</v>
      </c>
      <c r="H88" s="51">
        <v>30307.965951115304</v>
      </c>
      <c r="I88" s="57">
        <v>0.0026607383971200232</v>
      </c>
      <c r="J88" s="57">
        <v>0.038824390026654616</v>
      </c>
      <c r="K88" s="51">
        <v>750334.4583164025</v>
      </c>
      <c r="L88" s="57">
        <v>0.06587191325029315</v>
      </c>
      <c r="M88" s="57">
        <v>0.9611756099733453</v>
      </c>
      <c r="N88" s="59">
        <v>0.0016715096297321708</v>
      </c>
      <c r="O88" s="57">
        <v>-0.1895454453568406</v>
      </c>
      <c r="P88" s="51">
        <v>57.46038068434421</v>
      </c>
      <c r="Q88" s="35">
        <v>4696.161883555492</v>
      </c>
      <c r="R88" s="32">
        <v>5025.427006645327</v>
      </c>
      <c r="S88" s="57">
        <v>-0.06551982998746868</v>
      </c>
      <c r="T88" s="51">
        <v>288762.9489032249</v>
      </c>
      <c r="U88" s="51">
        <v>780642.4242675179</v>
      </c>
      <c r="V88" s="51">
        <v>491879.475364293</v>
      </c>
    </row>
    <row r="89">
      <c r="A89" s="55">
        <v>45389.959958611114</v>
      </c>
      <c r="B89" s="56">
        <v>14.623526626154415</v>
      </c>
      <c r="C89" s="57">
        <v>0.02426424320592746</v>
      </c>
      <c r="D89" s="58">
        <v>1.634869662370165</v>
      </c>
      <c r="E89" s="50">
        <v>162.38801288024877</v>
      </c>
      <c r="F89" s="57">
        <v>-0.04615291958650092</v>
      </c>
      <c r="G89" s="58">
        <v>1.8260866173567378</v>
      </c>
      <c r="H89" s="51">
        <v>29367.867908650936</v>
      </c>
      <c r="I89" s="57">
        <v>9.365663785249818E-4</v>
      </c>
      <c r="J89" s="57">
        <v>0.03859862310876401</v>
      </c>
      <c r="K89" s="51">
        <v>731484.8657730025</v>
      </c>
      <c r="L89" s="57">
        <v>0.023327676827402482</v>
      </c>
      <c r="M89" s="57">
        <v>0.9614013768912361</v>
      </c>
      <c r="N89" s="59">
        <v>0.07041716279242838</v>
      </c>
      <c r="O89" s="57">
        <v>-0.19121695498657276</v>
      </c>
      <c r="P89" s="51">
        <v>57.46038068434421</v>
      </c>
      <c r="Q89" s="35">
        <v>4685.399619014587</v>
      </c>
      <c r="R89" s="32">
        <v>5025.427006645327</v>
      </c>
      <c r="S89" s="57">
        <v>-0.06766139219236654</v>
      </c>
      <c r="T89" s="51">
        <v>288762.9489032249</v>
      </c>
      <c r="U89" s="51">
        <v>760852.7336816534</v>
      </c>
      <c r="V89" s="51">
        <v>472089.7847784285</v>
      </c>
    </row>
    <row r="90">
      <c r="A90" s="55">
        <v>45388.9599672801</v>
      </c>
      <c r="B90" s="48">
        <v>14.488860076361519</v>
      </c>
      <c r="C90" s="7">
        <v>0.07567863360778837</v>
      </c>
      <c r="D90" s="49">
        <v>1.6106054191642376</v>
      </c>
      <c r="E90" s="50">
        <v>163.93823675909013</v>
      </c>
      <c r="F90" s="7">
        <v>0.041937729722599126</v>
      </c>
      <c r="G90" s="49">
        <v>1.8722395369432387</v>
      </c>
      <c r="H90" s="51">
        <v>22737.979607505906</v>
      </c>
      <c r="I90" s="7">
        <v>0.002305971820804266</v>
      </c>
      <c r="J90" s="7">
        <v>0.030470579486875805</v>
      </c>
      <c r="K90" s="51">
        <v>723489.3646180786</v>
      </c>
      <c r="L90" s="7">
        <v>0.0733726617869841</v>
      </c>
      <c r="M90" s="7">
        <v>0.9695294205131241</v>
      </c>
      <c r="N90" s="52">
        <v>0.033740903885189244</v>
      </c>
      <c r="O90" s="7">
        <v>-0.26163411777900114</v>
      </c>
      <c r="P90" s="53">
        <v>57.0767983138204</v>
      </c>
      <c r="Q90" s="35">
        <v>4551.880994805242</v>
      </c>
      <c r="R90" s="13">
        <v>5008.069187616141</v>
      </c>
      <c r="S90" s="7">
        <v>-0.09109063308049982</v>
      </c>
      <c r="T90" s="53">
        <v>285844.55496322486</v>
      </c>
      <c r="U90" s="53">
        <v>746227.3442255845</v>
      </c>
      <c r="V90" s="53">
        <v>460382.78926235967</v>
      </c>
    </row>
    <row r="91">
      <c r="A91" s="55">
        <v>45387.959964131944</v>
      </c>
      <c r="B91" s="48">
        <v>14.068843659838294</v>
      </c>
      <c r="C91" s="7">
        <v>-0.1855831165244295</v>
      </c>
      <c r="D91" s="49">
        <v>1.5349267855564492</v>
      </c>
      <c r="E91" s="50">
        <v>161.5445654179738</v>
      </c>
      <c r="F91" s="7">
        <v>-0.10177399587127267</v>
      </c>
      <c r="G91" s="49">
        <v>1.8303018072206396</v>
      </c>
      <c r="H91" s="51">
        <v>22412.334066724507</v>
      </c>
      <c r="I91" s="7">
        <v>-0.0057402420611563825</v>
      </c>
      <c r="J91" s="7">
        <v>0.030930842032716687</v>
      </c>
      <c r="K91" s="51">
        <v>702182.6848150168</v>
      </c>
      <c r="L91" s="7">
        <v>-0.1798428744632731</v>
      </c>
      <c r="M91" s="7">
        <v>0.9690691579672833</v>
      </c>
      <c r="N91" s="52">
        <v>-0.08380912065315682</v>
      </c>
      <c r="O91" s="7">
        <v>-0.2953750216641904</v>
      </c>
      <c r="P91" s="53">
        <v>57.0767983138204</v>
      </c>
      <c r="Q91" s="35">
        <v>4485.418726448356</v>
      </c>
      <c r="R91" s="13">
        <v>5008.069187616141</v>
      </c>
      <c r="S91" s="7">
        <v>-0.10436166945540307</v>
      </c>
      <c r="T91" s="53">
        <v>285844.55496322486</v>
      </c>
      <c r="U91" s="53">
        <v>724595.0188817413</v>
      </c>
      <c r="V91" s="53">
        <v>438750.46391851647</v>
      </c>
    </row>
    <row r="92">
      <c r="A92" s="55">
        <v>45386.959972372686</v>
      </c>
      <c r="B92" s="56">
        <v>15.098829956548876</v>
      </c>
      <c r="C92" s="57">
        <v>-0.09540790257028275</v>
      </c>
      <c r="D92" s="58">
        <v>1.7205099020808787</v>
      </c>
      <c r="E92" s="50">
        <v>167.35349925391006</v>
      </c>
      <c r="F92" s="57">
        <v>-0.05200497046774766</v>
      </c>
      <c r="G92" s="58">
        <v>1.9320758030919123</v>
      </c>
      <c r="H92" s="51">
        <v>22193.960021865783</v>
      </c>
      <c r="I92" s="57">
        <v>-0.002722945275287418</v>
      </c>
      <c r="J92" s="57">
        <v>0.0285400391574644</v>
      </c>
      <c r="K92" s="51">
        <v>755448.9822114895</v>
      </c>
      <c r="L92" s="57">
        <v>-0.09268495729499533</v>
      </c>
      <c r="M92" s="57">
        <v>0.9714599608425356</v>
      </c>
      <c r="N92" s="59">
        <v>-0.0434029321025351</v>
      </c>
      <c r="O92" s="57">
        <v>-0.21156590101103356</v>
      </c>
      <c r="P92" s="51">
        <v>57.0767983138204</v>
      </c>
      <c r="Q92" s="35">
        <v>4646.708588109706</v>
      </c>
      <c r="R92" s="32">
        <v>5008.069187616141</v>
      </c>
      <c r="S92" s="57">
        <v>-0.07215567236970291</v>
      </c>
      <c r="T92" s="51">
        <v>285844.55496322486</v>
      </c>
      <c r="U92" s="51">
        <v>777642.9422333553</v>
      </c>
      <c r="V92" s="51">
        <v>491798.3872701304</v>
      </c>
    </row>
    <row r="93">
      <c r="A93" s="55">
        <v>45385.9599654051</v>
      </c>
      <c r="B93" s="56">
        <v>15.628343815813945</v>
      </c>
      <c r="C93" s="57">
        <v>-0.0013554208940829149</v>
      </c>
      <c r="D93" s="58">
        <v>1.8159178046511615</v>
      </c>
      <c r="E93" s="50">
        <v>170.32177646461386</v>
      </c>
      <c r="F93" s="57">
        <v>-0.0023161715010546757</v>
      </c>
      <c r="G93" s="58">
        <v>1.98408077355966</v>
      </c>
      <c r="H93" s="51">
        <v>21788.65369618313</v>
      </c>
      <c r="I93" s="57">
        <v>-3.6690588261877405E-5</v>
      </c>
      <c r="J93" s="57">
        <v>0.02706951650372961</v>
      </c>
      <c r="K93" s="51">
        <v>783126.1179873493</v>
      </c>
      <c r="L93" s="57">
        <v>-0.0013187303058210375</v>
      </c>
      <c r="M93" s="57">
        <v>0.9729304834962704</v>
      </c>
      <c r="N93" s="59">
        <v>9.607506069717608E-4</v>
      </c>
      <c r="O93" s="57">
        <v>-0.16816296890849847</v>
      </c>
      <c r="P93" s="51">
        <v>57.0767983138204</v>
      </c>
      <c r="Q93" s="35">
        <v>4725.847677209743</v>
      </c>
      <c r="R93" s="32">
        <v>5008.069187616141</v>
      </c>
      <c r="S93" s="57">
        <v>-0.056353356919323326</v>
      </c>
      <c r="T93" s="51">
        <v>285844.55496322486</v>
      </c>
      <c r="U93" s="51">
        <v>804914.7716835324</v>
      </c>
      <c r="V93" s="51">
        <v>519070.21672030754</v>
      </c>
    </row>
    <row r="94">
      <c r="A94" s="55">
        <v>45384.95996755787</v>
      </c>
      <c r="B94" s="56">
        <v>15.635866401776106</v>
      </c>
      <c r="C94" s="57">
        <v>-0.06484677294769625</v>
      </c>
      <c r="D94" s="58">
        <v>1.8172732255452444</v>
      </c>
      <c r="E94" s="50">
        <v>170.45397611823978</v>
      </c>
      <c r="F94" s="57">
        <v>-0.15726402094841863</v>
      </c>
      <c r="G94" s="58">
        <v>1.9863969450607146</v>
      </c>
      <c r="H94" s="51">
        <v>21743.724624210095</v>
      </c>
      <c r="I94" s="57">
        <v>-0.0017509083594244848</v>
      </c>
      <c r="J94" s="57">
        <v>0.027000701497308474</v>
      </c>
      <c r="K94" s="51">
        <v>783558.4867415794</v>
      </c>
      <c r="L94" s="57">
        <v>-0.06309586458827178</v>
      </c>
      <c r="M94" s="57">
        <v>0.9729992985026916</v>
      </c>
      <c r="N94" s="59">
        <v>0.09241724800072237</v>
      </c>
      <c r="O94" s="57">
        <v>-0.16912371951547023</v>
      </c>
      <c r="P94" s="51">
        <v>57.0767983138204</v>
      </c>
      <c r="Q94" s="35">
        <v>4724.45542019607</v>
      </c>
      <c r="R94" s="32">
        <v>5008.069187616141</v>
      </c>
      <c r="S94" s="57">
        <v>-0.05663135967078603</v>
      </c>
      <c r="T94" s="51">
        <v>285844.55496322486</v>
      </c>
      <c r="U94" s="51">
        <v>805302.2113657894</v>
      </c>
      <c r="V94" s="51">
        <v>519457.65640256455</v>
      </c>
    </row>
    <row r="95">
      <c r="A95" s="55">
        <v>45383.95995497685</v>
      </c>
      <c r="B95" s="48">
        <v>15.99576599163582</v>
      </c>
      <c r="C95" s="7">
        <v>-0.14779127830241956</v>
      </c>
      <c r="D95" s="49">
        <v>1.8821199984929406</v>
      </c>
      <c r="E95" s="50">
        <v>179.4301029239331</v>
      </c>
      <c r="F95" s="7">
        <v>-0.07959376568840781</v>
      </c>
      <c r="G95" s="49">
        <v>2.1436609660091333</v>
      </c>
      <c r="H95" s="51">
        <v>22968.58790978291</v>
      </c>
      <c r="I95" s="7">
        <v>-0.004120416510991503</v>
      </c>
      <c r="J95" s="7">
        <v>0.027879970714916304</v>
      </c>
      <c r="K95" s="51">
        <v>800869.7204100421</v>
      </c>
      <c r="L95" s="7">
        <v>-0.14367086179142805</v>
      </c>
      <c r="M95" s="7">
        <v>0.9721200292850837</v>
      </c>
      <c r="N95" s="52">
        <v>-0.06819751261401175</v>
      </c>
      <c r="O95" s="7">
        <v>-0.2615409675161926</v>
      </c>
      <c r="P95" s="53">
        <v>57.0767983138204</v>
      </c>
      <c r="Q95" s="35">
        <v>4591.416350405148</v>
      </c>
      <c r="R95" s="13">
        <v>5008.069187616141</v>
      </c>
      <c r="S95" s="7">
        <v>-0.08319630212803061</v>
      </c>
      <c r="T95" s="53">
        <v>285844.55496322486</v>
      </c>
      <c r="U95" s="53">
        <v>823838.308319825</v>
      </c>
      <c r="V95" s="53">
        <v>537993.7533566002</v>
      </c>
    </row>
    <row r="96">
      <c r="A96" s="55">
        <v>45382.95996359954</v>
      </c>
      <c r="B96" s="48">
        <v>16.816007586214248</v>
      </c>
      <c r="C96" s="7">
        <v>0.07454252020827967</v>
      </c>
      <c r="D96" s="49">
        <v>2.02991127679536</v>
      </c>
      <c r="E96" s="50">
        <v>183.97306023516782</v>
      </c>
      <c r="F96" s="7">
        <v>0.03989651218562873</v>
      </c>
      <c r="G96" s="49">
        <v>2.223254731697541</v>
      </c>
      <c r="H96" s="51">
        <v>22968.58790978291</v>
      </c>
      <c r="I96" s="7">
        <v>0.0019768719190271337</v>
      </c>
      <c r="J96" s="7">
        <v>0.02652005745852897</v>
      </c>
      <c r="K96" s="51">
        <v>843115.0525838431</v>
      </c>
      <c r="L96" s="7">
        <v>0.07256564828925254</v>
      </c>
      <c r="M96" s="7">
        <v>0.9734799425414711</v>
      </c>
      <c r="N96" s="52">
        <v>0.03464600802265094</v>
      </c>
      <c r="O96" s="7">
        <v>-0.19334345490218086</v>
      </c>
      <c r="P96" s="53">
        <v>57.0767983138204</v>
      </c>
      <c r="Q96" s="35">
        <v>4707.665564656774</v>
      </c>
      <c r="R96" s="13">
        <v>5008.069187616141</v>
      </c>
      <c r="S96" s="7">
        <v>-0.05998392029051817</v>
      </c>
      <c r="T96" s="53">
        <v>285844.55496322486</v>
      </c>
      <c r="U96" s="53">
        <v>866083.640493626</v>
      </c>
      <c r="V96" s="53">
        <v>580239.0855304012</v>
      </c>
    </row>
    <row r="97">
      <c r="A97" s="55">
        <v>45381.959961099536</v>
      </c>
      <c r="B97" s="56">
        <v>16.402296599058296</v>
      </c>
      <c r="C97" s="57">
        <v>0.11613126956328879</v>
      </c>
      <c r="D97" s="58">
        <v>1.9553687565870805</v>
      </c>
      <c r="E97" s="50">
        <v>181.6958950557238</v>
      </c>
      <c r="F97" s="57">
        <v>0.06515664956482992</v>
      </c>
      <c r="G97" s="58">
        <v>2.1833582195119123</v>
      </c>
      <c r="H97" s="51">
        <v>23108.876521675546</v>
      </c>
      <c r="I97" s="57">
        <v>0.0031767746193863662</v>
      </c>
      <c r="J97" s="57">
        <v>0.02735503220909076</v>
      </c>
      <c r="K97" s="51">
        <v>821667.1904571778</v>
      </c>
      <c r="L97" s="57">
        <v>0.11295449494390242</v>
      </c>
      <c r="M97" s="57">
        <v>0.9726449677909093</v>
      </c>
      <c r="N97" s="59">
        <v>0.05097461999845887</v>
      </c>
      <c r="O97" s="57">
        <v>-0.2279894629248318</v>
      </c>
      <c r="P97" s="51">
        <v>57.0767983138204</v>
      </c>
      <c r="Q97" s="35">
        <v>4649.395445724139</v>
      </c>
      <c r="R97" s="32">
        <v>5008.069187616141</v>
      </c>
      <c r="S97" s="57">
        <v>-0.07161916667983016</v>
      </c>
      <c r="T97" s="51">
        <v>285844.55496322486</v>
      </c>
      <c r="U97" s="51">
        <v>844776.0669788533</v>
      </c>
      <c r="V97" s="51">
        <v>558931.5120156284</v>
      </c>
    </row>
    <row r="98">
      <c r="A98" s="55">
        <v>45380.95999375</v>
      </c>
      <c r="B98" s="56">
        <v>15.757768052982044</v>
      </c>
      <c r="C98" s="57">
        <v>0.027411812678467484</v>
      </c>
      <c r="D98" s="58">
        <v>1.8392374870237918</v>
      </c>
      <c r="E98" s="50">
        <v>177.97696210970776</v>
      </c>
      <c r="F98" s="57">
        <v>0.03589768559108775</v>
      </c>
      <c r="G98" s="58">
        <v>2.1182015699470824</v>
      </c>
      <c r="H98" s="51">
        <v>23105.45843009463</v>
      </c>
      <c r="I98" s="57">
        <v>7.804061816329061E-4</v>
      </c>
      <c r="J98" s="57">
        <v>0.028469703583153785</v>
      </c>
      <c r="K98" s="51">
        <v>788475.117483126</v>
      </c>
      <c r="L98" s="57">
        <v>0.026631406496834577</v>
      </c>
      <c r="M98" s="57">
        <v>0.9715302964168462</v>
      </c>
      <c r="N98" s="59">
        <v>-0.008485872912620263</v>
      </c>
      <c r="O98" s="57">
        <v>-0.27896408292329067</v>
      </c>
      <c r="P98" s="51">
        <v>57.0767983138204</v>
      </c>
      <c r="Q98" s="35">
        <v>4560.0316259637575</v>
      </c>
      <c r="R98" s="32">
        <v>5008.069187616141</v>
      </c>
      <c r="S98" s="57">
        <v>-0.08946313336890038</v>
      </c>
      <c r="T98" s="51">
        <v>285844.55496322486</v>
      </c>
      <c r="U98" s="51">
        <v>811580.5759132206</v>
      </c>
      <c r="V98" s="51">
        <v>525736.0209499958</v>
      </c>
    </row>
    <row r="99">
      <c r="A99" s="55">
        <v>45379.95996199074</v>
      </c>
      <c r="B99" s="56">
        <v>15.605632492616548</v>
      </c>
      <c r="C99" s="57">
        <v>0.05301451520931977</v>
      </c>
      <c r="D99" s="58">
        <v>1.8118256743453243</v>
      </c>
      <c r="E99" s="50">
        <v>175.9280371492923</v>
      </c>
      <c r="F99" s="57">
        <v>0.060109032348094615</v>
      </c>
      <c r="G99" s="58">
        <v>2.0823038843559947</v>
      </c>
      <c r="H99" s="51">
        <v>23491.6429423639</v>
      </c>
      <c r="I99" s="57">
        <v>0.0015494938959340243</v>
      </c>
      <c r="J99" s="57">
        <v>0.02922772923257117</v>
      </c>
      <c r="K99" s="51">
        <v>780253.415575045</v>
      </c>
      <c r="L99" s="57">
        <v>0.05146502131338575</v>
      </c>
      <c r="M99" s="57">
        <v>0.9707722707674289</v>
      </c>
      <c r="N99" s="59">
        <v>-0.007094517138774847</v>
      </c>
      <c r="O99" s="57">
        <v>-0.2704782100106704</v>
      </c>
      <c r="P99" s="51">
        <v>57.0767983138204</v>
      </c>
      <c r="Q99" s="35">
        <v>4568.601295968259</v>
      </c>
      <c r="R99" s="32">
        <v>5008.069187616141</v>
      </c>
      <c r="S99" s="57">
        <v>-0.08775196092230304</v>
      </c>
      <c r="T99" s="51">
        <v>285844.55496322486</v>
      </c>
      <c r="U99" s="51">
        <v>803745.0585174089</v>
      </c>
      <c r="V99" s="51">
        <v>517900.50355418405</v>
      </c>
    </row>
    <row r="100">
      <c r="A100" s="55">
        <v>45378.95996949074</v>
      </c>
      <c r="B100" s="56">
        <v>15.311401933204824</v>
      </c>
      <c r="C100" s="57">
        <v>-0.08321606567148443</v>
      </c>
      <c r="D100" s="58">
        <v>1.7588111591360045</v>
      </c>
      <c r="E100" s="50">
        <v>172.4972060331212</v>
      </c>
      <c r="F100" s="57">
        <v>-0.0858600546641286</v>
      </c>
      <c r="G100" s="58">
        <v>2.0221948520079</v>
      </c>
      <c r="H100" s="51">
        <v>22903.858586258284</v>
      </c>
      <c r="I100" s="57">
        <v>-0.0024169292351964564</v>
      </c>
      <c r="J100" s="57">
        <v>0.029044021916848003</v>
      </c>
      <c r="K100" s="51">
        <v>765687.2894245514</v>
      </c>
      <c r="L100" s="57">
        <v>-0.08079913643628797</v>
      </c>
      <c r="M100" s="57">
        <v>0.970955978083152</v>
      </c>
      <c r="N100" s="59">
        <v>0.002643988992644175</v>
      </c>
      <c r="O100" s="57">
        <v>-0.26338369287189556</v>
      </c>
      <c r="P100" s="51">
        <v>57.0767983138204</v>
      </c>
      <c r="Q100" s="35">
        <v>4571.616933084657</v>
      </c>
      <c r="R100" s="32">
        <v>5008.069187616141</v>
      </c>
      <c r="S100" s="57">
        <v>-0.08714980528039326</v>
      </c>
      <c r="T100" s="51">
        <v>285844.55496322486</v>
      </c>
      <c r="U100" s="51">
        <v>788591.1480108097</v>
      </c>
      <c r="V100" s="51">
        <v>502746.5930475848</v>
      </c>
    </row>
    <row r="101">
      <c r="A101" s="55">
        <v>45377.95997872685</v>
      </c>
      <c r="B101" s="56">
        <v>15.773251097681563</v>
      </c>
      <c r="C101" s="57">
        <v>0.055453389560078836</v>
      </c>
      <c r="D101" s="58">
        <v>1.842027224807489</v>
      </c>
      <c r="E101" s="50">
        <v>177.39782305639926</v>
      </c>
      <c r="F101" s="57">
        <v>0.05570485984538953</v>
      </c>
      <c r="G101" s="58">
        <v>2.1080549066720287</v>
      </c>
      <c r="H101" s="51">
        <v>18724.096729084446</v>
      </c>
      <c r="I101" s="57">
        <v>0.0012781176013980729</v>
      </c>
      <c r="J101" s="57">
        <v>0.02304850274325153</v>
      </c>
      <c r="K101" s="51">
        <v>793653.9105393812</v>
      </c>
      <c r="L101" s="57">
        <v>0.05417527195868076</v>
      </c>
      <c r="M101" s="57">
        <v>0.9769514972567483</v>
      </c>
      <c r="N101" s="59">
        <v>-2.514702853106954E-4</v>
      </c>
      <c r="O101" s="57">
        <v>-0.26602768186453973</v>
      </c>
      <c r="P101" s="51">
        <v>57.0767983138204</v>
      </c>
      <c r="Q101" s="35">
        <v>4579.413621159208</v>
      </c>
      <c r="R101" s="32">
        <v>5008.069187616141</v>
      </c>
      <c r="S101" s="57">
        <v>-0.08559298012833062</v>
      </c>
      <c r="T101" s="51">
        <v>285844.55496322486</v>
      </c>
      <c r="U101" s="51">
        <v>812378.0072684657</v>
      </c>
      <c r="V101" s="51">
        <v>526533.4523052408</v>
      </c>
    </row>
    <row r="102">
      <c r="A102" s="55">
        <v>45376.959971261575</v>
      </c>
      <c r="B102" s="48">
        <v>15.465484785623126</v>
      </c>
      <c r="C102" s="7">
        <v>0.02672319845517812</v>
      </c>
      <c r="D102" s="49">
        <v>1.78657383524741</v>
      </c>
      <c r="E102" s="50">
        <v>174.21836800590432</v>
      </c>
      <c r="F102" s="7">
        <v>0.06421491984026684</v>
      </c>
      <c r="G102" s="49">
        <v>2.052350046826639</v>
      </c>
      <c r="H102" s="51">
        <v>18630.062317345488</v>
      </c>
      <c r="I102" s="7">
        <v>6.250320188892791E-4</v>
      </c>
      <c r="J102" s="7">
        <v>0.023389117134972572</v>
      </c>
      <c r="K102" s="51">
        <v>777896.895491117</v>
      </c>
      <c r="L102" s="7">
        <v>0.02609816643628884</v>
      </c>
      <c r="M102" s="7">
        <v>0.9766108828650274</v>
      </c>
      <c r="N102" s="52">
        <v>-0.03749172138508872</v>
      </c>
      <c r="O102" s="7">
        <v>-0.26577621157922904</v>
      </c>
      <c r="P102" s="53">
        <v>57.0767983138204</v>
      </c>
      <c r="Q102" s="35">
        <v>4572.003325053923</v>
      </c>
      <c r="R102" s="13">
        <v>5008.069187616141</v>
      </c>
      <c r="S102" s="7">
        <v>-0.08707265140036675</v>
      </c>
      <c r="T102" s="53">
        <v>285844.55496322486</v>
      </c>
      <c r="U102" s="53">
        <v>796526.9578084626</v>
      </c>
      <c r="V102" s="53">
        <v>510682.4028452377</v>
      </c>
    </row>
    <row r="103">
      <c r="A103" s="55">
        <v>45375.95997216435</v>
      </c>
      <c r="B103" s="48">
        <v>15.317171034196887</v>
      </c>
      <c r="C103" s="7">
        <v>0.1157564420017132</v>
      </c>
      <c r="D103" s="49">
        <v>1.759850636792232</v>
      </c>
      <c r="E103" s="50">
        <v>170.55318597744326</v>
      </c>
      <c r="F103" s="7">
        <v>0.15804363347684358</v>
      </c>
      <c r="G103" s="49">
        <v>1.9881351269863723</v>
      </c>
      <c r="H103" s="51">
        <v>18630.062317345488</v>
      </c>
      <c r="I103" s="7">
        <v>0.002733656705130513</v>
      </c>
      <c r="J103" s="7">
        <v>0.023615590267451855</v>
      </c>
      <c r="K103" s="51">
        <v>770258.2147215027</v>
      </c>
      <c r="L103" s="7">
        <v>0.11302278529658269</v>
      </c>
      <c r="M103" s="7">
        <v>0.9763844097325481</v>
      </c>
      <c r="N103" s="52">
        <v>-0.04228719147513038</v>
      </c>
      <c r="O103" s="7">
        <v>-0.22828449019414032</v>
      </c>
      <c r="P103" s="53">
        <v>57.0767983138204</v>
      </c>
      <c r="Q103" s="35">
        <v>4625.467841704134</v>
      </c>
      <c r="R103" s="13">
        <v>5008.069187616141</v>
      </c>
      <c r="S103" s="7">
        <v>-0.07639697687446015</v>
      </c>
      <c r="T103" s="53">
        <v>285844.55496322486</v>
      </c>
      <c r="U103" s="53">
        <v>788888.2770388483</v>
      </c>
      <c r="V103" s="53">
        <v>503043.7220756234</v>
      </c>
    </row>
    <row r="104">
      <c r="A104" s="55">
        <v>45374.95996627315</v>
      </c>
      <c r="B104" s="56">
        <v>14.674722781087379</v>
      </c>
      <c r="C104" s="57">
        <v>-0.07797449213906082</v>
      </c>
      <c r="D104" s="58">
        <v>1.6440941947905188</v>
      </c>
      <c r="E104" s="50">
        <v>161.53256138470212</v>
      </c>
      <c r="F104" s="57">
        <v>0.08388365070476933</v>
      </c>
      <c r="G104" s="58">
        <v>1.8300914935095287</v>
      </c>
      <c r="H104" s="51">
        <v>17321.60438382235</v>
      </c>
      <c r="I104" s="57">
        <v>-0.0017870381487572807</v>
      </c>
      <c r="J104" s="57">
        <v>0.02291824030825685</v>
      </c>
      <c r="K104" s="51">
        <v>738478.3240069199</v>
      </c>
      <c r="L104" s="57">
        <v>-0.07618745399030355</v>
      </c>
      <c r="M104" s="57">
        <v>0.9770817596917433</v>
      </c>
      <c r="N104" s="59">
        <v>-0.16185814284383016</v>
      </c>
      <c r="O104" s="57">
        <v>-0.18599729871900994</v>
      </c>
      <c r="P104" s="51">
        <v>57.0767983138204</v>
      </c>
      <c r="Q104" s="35">
        <v>4678.932358354345</v>
      </c>
      <c r="R104" s="32">
        <v>5008.069187616141</v>
      </c>
      <c r="S104" s="57">
        <v>-0.06572130234855374</v>
      </c>
      <c r="T104" s="51">
        <v>285844.55496322486</v>
      </c>
      <c r="U104" s="51">
        <v>755799.9283907422</v>
      </c>
      <c r="V104" s="51">
        <v>469955.3734275173</v>
      </c>
    </row>
    <row r="105">
      <c r="A105" s="55">
        <v>45373.95998888889</v>
      </c>
      <c r="B105" s="56">
        <v>15.107481212459167</v>
      </c>
      <c r="C105" s="57">
        <v>-0.11070098825426822</v>
      </c>
      <c r="D105" s="58">
        <v>1.7220686869295796</v>
      </c>
      <c r="E105" s="50">
        <v>157.58504188457448</v>
      </c>
      <c r="F105" s="57">
        <v>-0.113791252609722</v>
      </c>
      <c r="G105" s="58">
        <v>1.7462078428047594</v>
      </c>
      <c r="H105" s="51">
        <v>16872.339243969232</v>
      </c>
      <c r="I105" s="57">
        <v>-0.002523096832113456</v>
      </c>
      <c r="J105" s="57">
        <v>0.022791999167326087</v>
      </c>
      <c r="K105" s="51">
        <v>723402.3124047068</v>
      </c>
      <c r="L105" s="57">
        <v>-0.10817789142215477</v>
      </c>
      <c r="M105" s="57">
        <v>0.977208000832674</v>
      </c>
      <c r="N105" s="59">
        <v>0.0030902643554537867</v>
      </c>
      <c r="O105" s="57">
        <v>-0.024139155875179785</v>
      </c>
      <c r="P105" s="51">
        <v>57.382780512209735</v>
      </c>
      <c r="Q105" s="35">
        <v>4697.620045631623</v>
      </c>
      <c r="R105" s="13">
        <v>5008.069187616141</v>
      </c>
      <c r="S105" s="57">
        <v>-0.00878999597150889</v>
      </c>
      <c r="T105" s="51">
        <v>271952.9654792385</v>
      </c>
      <c r="U105" s="51">
        <v>740274.651648676</v>
      </c>
      <c r="V105" s="51">
        <v>468321.68616943754</v>
      </c>
    </row>
    <row r="106">
      <c r="A106" s="55">
        <v>45372.95996076389</v>
      </c>
      <c r="B106" s="56">
        <v>15.721871697270355</v>
      </c>
      <c r="C106" s="57">
        <v>-0.19519663872771043</v>
      </c>
      <c r="D106" s="58">
        <v>1.8327696751838478</v>
      </c>
      <c r="E106" s="50">
        <v>164.11470035728757</v>
      </c>
      <c r="F106" s="57">
        <v>-0.17153667036638698</v>
      </c>
      <c r="G106" s="58">
        <v>1.8599990954144814</v>
      </c>
      <c r="H106" s="51">
        <v>17358.669907481675</v>
      </c>
      <c r="I106" s="57">
        <v>-0.004398288531245438</v>
      </c>
      <c r="J106" s="57">
        <v>0.022532603839458685</v>
      </c>
      <c r="K106" s="51">
        <v>753021.4437784249</v>
      </c>
      <c r="L106" s="57">
        <v>-0.190798350196465</v>
      </c>
      <c r="M106" s="57">
        <v>0.9774673961605413</v>
      </c>
      <c r="N106" s="59">
        <v>-0.023659968361323447</v>
      </c>
      <c r="O106" s="57">
        <v>-0.027229420230633572</v>
      </c>
      <c r="P106" s="51">
        <v>57.382780512209735</v>
      </c>
      <c r="Q106" s="35">
        <v>4694.156659999029</v>
      </c>
      <c r="R106" s="13">
        <v>5008.069187616141</v>
      </c>
      <c r="S106" s="57">
        <v>-0.009520779315731814</v>
      </c>
      <c r="T106" s="51">
        <v>271952.9654792385</v>
      </c>
      <c r="U106" s="51">
        <v>770380.1136859065</v>
      </c>
      <c r="V106" s="51">
        <v>498427.14820666803</v>
      </c>
    </row>
    <row r="107">
      <c r="A107" s="55">
        <v>45371.95996519676</v>
      </c>
      <c r="B107" s="56">
        <v>16.805213042209147</v>
      </c>
      <c r="C107" s="57">
        <v>0.3727677000059564</v>
      </c>
      <c r="D107" s="58">
        <v>2.0279663139115582</v>
      </c>
      <c r="E107" s="50">
        <v>173.95795146271723</v>
      </c>
      <c r="F107" s="57">
        <v>0.3281070143066822</v>
      </c>
      <c r="G107" s="58">
        <v>2.0315357657808684</v>
      </c>
      <c r="H107" s="51">
        <v>17827.427762925072</v>
      </c>
      <c r="I107" s="57">
        <v>0.008070159554436488</v>
      </c>
      <c r="J107" s="57">
        <v>0.021649299427787164</v>
      </c>
      <c r="K107" s="51">
        <v>805636.9906765618</v>
      </c>
      <c r="L107" s="57">
        <v>0.3646975404515199</v>
      </c>
      <c r="M107" s="57">
        <v>0.9783507005722129</v>
      </c>
      <c r="N107" s="59">
        <v>0.04466068569927417</v>
      </c>
      <c r="O107" s="57">
        <v>-0.003569451869310125</v>
      </c>
      <c r="P107" s="51">
        <v>57.382780512209735</v>
      </c>
      <c r="Q107" s="35">
        <v>4733.698066201776</v>
      </c>
      <c r="R107" s="13">
        <v>5008.069187616141</v>
      </c>
      <c r="S107" s="57">
        <v>-0.0011774401310390098</v>
      </c>
      <c r="T107" s="51">
        <v>271952.9654792385</v>
      </c>
      <c r="U107" s="51">
        <v>823464.4184394869</v>
      </c>
      <c r="V107" s="51">
        <v>551511.4529602483</v>
      </c>
    </row>
    <row r="108">
      <c r="A108" s="55">
        <v>45370.95997440972</v>
      </c>
      <c r="B108" s="56">
        <v>14.73635230717609</v>
      </c>
      <c r="C108" s="57">
        <v>-0.6115366257253347</v>
      </c>
      <c r="D108" s="58">
        <v>1.6551986139056019</v>
      </c>
      <c r="E108" s="50">
        <v>155.13025867624043</v>
      </c>
      <c r="F108" s="57">
        <v>-0.4424686614653801</v>
      </c>
      <c r="G108" s="58">
        <v>1.7034287514741862</v>
      </c>
      <c r="H108" s="51">
        <v>16651.232998937016</v>
      </c>
      <c r="I108" s="57">
        <v>-0.014101913906102184</v>
      </c>
      <c r="J108" s="57">
        <v>0.023059802655934315</v>
      </c>
      <c r="K108" s="51">
        <v>705437.903989055</v>
      </c>
      <c r="L108" s="57">
        <v>-0.5974347118192326</v>
      </c>
      <c r="M108" s="57">
        <v>0.9769401973440657</v>
      </c>
      <c r="N108" s="59">
        <v>-0.16906796425995463</v>
      </c>
      <c r="O108" s="57">
        <v>-0.0482301375685843</v>
      </c>
      <c r="P108" s="51">
        <v>57.382780512209735</v>
      </c>
      <c r="Q108" s="35">
        <v>4654.727859991549</v>
      </c>
      <c r="R108" s="13">
        <v>5008.069187616141</v>
      </c>
      <c r="S108" s="57">
        <v>-0.017840358301392044</v>
      </c>
      <c r="T108" s="51">
        <v>271952.9654792385</v>
      </c>
      <c r="U108" s="51">
        <v>722089.136987992</v>
      </c>
      <c r="V108" s="51">
        <v>450136.1715087535</v>
      </c>
    </row>
    <row r="109">
      <c r="A109" s="55">
        <v>45369.95996740741</v>
      </c>
      <c r="B109" s="56">
        <v>18.130380579951698</v>
      </c>
      <c r="C109" s="57">
        <v>-0.04819269647618318</v>
      </c>
      <c r="D109" s="58">
        <v>2.2667352396309366</v>
      </c>
      <c r="E109" s="50">
        <v>180.52034076063956</v>
      </c>
      <c r="F109" s="57">
        <v>-0.06706943246113717</v>
      </c>
      <c r="G109" s="58">
        <v>2.1458974129395663</v>
      </c>
      <c r="H109" s="51">
        <v>17963.16463810624</v>
      </c>
      <c r="I109" s="57">
        <v>-9.744427766454576E-4</v>
      </c>
      <c r="J109" s="57">
        <v>0.0202197189179283</v>
      </c>
      <c r="K109" s="51">
        <v>870435.1712150577</v>
      </c>
      <c r="L109" s="57">
        <v>-0.04721825369953773</v>
      </c>
      <c r="M109" s="57">
        <v>0.9797802810820717</v>
      </c>
      <c r="N109" s="59">
        <v>0.018876735984953985</v>
      </c>
      <c r="O109" s="57">
        <v>0.12083782669137033</v>
      </c>
      <c r="P109" s="51">
        <v>57.382780512209735</v>
      </c>
      <c r="Q109" s="35">
        <v>4921.319847446628</v>
      </c>
      <c r="R109" s="13">
        <v>5008.069187616141</v>
      </c>
      <c r="S109" s="57">
        <v>0.03841124195415451</v>
      </c>
      <c r="T109" s="51">
        <v>271952.9654792385</v>
      </c>
      <c r="U109" s="51">
        <v>888398.335853164</v>
      </c>
      <c r="V109" s="51">
        <v>616445.3703739254</v>
      </c>
    </row>
    <row r="110">
      <c r="A110" s="55">
        <v>45368.959967083334</v>
      </c>
      <c r="B110" s="56">
        <v>18.397850045394513</v>
      </c>
      <c r="C110" s="57">
        <v>0.39520384118175933</v>
      </c>
      <c r="D110" s="58">
        <v>2.3149279361071198</v>
      </c>
      <c r="E110" s="50">
        <v>184.36897128263547</v>
      </c>
      <c r="F110" s="57">
        <v>0.37349392970108175</v>
      </c>
      <c r="G110" s="58">
        <v>2.2129668454007034</v>
      </c>
      <c r="H110" s="51">
        <v>18151.83677178665</v>
      </c>
      <c r="I110" s="57">
        <v>0.007957448637670119</v>
      </c>
      <c r="J110" s="57">
        <v>0.020135048824108936</v>
      </c>
      <c r="K110" s="51">
        <v>883352.645802516</v>
      </c>
      <c r="L110" s="57">
        <v>0.3872463925440892</v>
      </c>
      <c r="M110" s="57">
        <v>0.979864951175891</v>
      </c>
      <c r="N110" s="59">
        <v>0.02170991148067758</v>
      </c>
      <c r="O110" s="57">
        <v>0.10196109070641635</v>
      </c>
      <c r="P110" s="51">
        <v>57.382780512209735</v>
      </c>
      <c r="Q110" s="35">
        <v>4889.67572093412</v>
      </c>
      <c r="R110" s="13">
        <v>5008.069187616141</v>
      </c>
      <c r="S110" s="57">
        <v>0.031734249250773054</v>
      </c>
      <c r="T110" s="51">
        <v>271952.9654792385</v>
      </c>
      <c r="U110" s="51">
        <v>901504.4825743027</v>
      </c>
      <c r="V110" s="51">
        <v>629551.5170950643</v>
      </c>
    </row>
    <row r="111">
      <c r="A111" s="55">
        <v>45367.95996925926</v>
      </c>
      <c r="B111" s="56">
        <v>16.20446872683575</v>
      </c>
      <c r="C111" s="57">
        <v>-0.07800394216343687</v>
      </c>
      <c r="D111" s="58">
        <v>1.9197240949253604</v>
      </c>
      <c r="E111" s="50">
        <v>162.93685109195562</v>
      </c>
      <c r="F111" s="57">
        <v>-0.08497431259115462</v>
      </c>
      <c r="G111" s="58">
        <v>1.8394729156996217</v>
      </c>
      <c r="H111" s="51">
        <v>17271.106752508058</v>
      </c>
      <c r="I111" s="57">
        <v>-0.0016966845587155128</v>
      </c>
      <c r="J111" s="57">
        <v>0.021751266816240566</v>
      </c>
      <c r="K111" s="51">
        <v>776756.5192436293</v>
      </c>
      <c r="L111" s="57">
        <v>-0.07630725760472135</v>
      </c>
      <c r="M111" s="57">
        <v>0.9782487331837594</v>
      </c>
      <c r="N111" s="59">
        <v>0.006970370427717754</v>
      </c>
      <c r="O111" s="57">
        <v>0.08025117922573877</v>
      </c>
      <c r="P111" s="51">
        <v>57.382780512209735</v>
      </c>
      <c r="Q111" s="35">
        <v>4873.223096400809</v>
      </c>
      <c r="R111" s="13">
        <v>5008.069187616141</v>
      </c>
      <c r="S111" s="57">
        <v>0.028262702835454033</v>
      </c>
      <c r="T111" s="51">
        <v>271952.9654792385</v>
      </c>
      <c r="U111" s="51">
        <v>794027.6259961374</v>
      </c>
      <c r="V111" s="51">
        <v>522074.6605168989</v>
      </c>
    </row>
    <row r="112">
      <c r="A112" s="55">
        <v>45366.96001953704</v>
      </c>
      <c r="B112" s="56">
        <v>16.637390605842825</v>
      </c>
      <c r="C112" s="57">
        <v>0.2356233891919537</v>
      </c>
      <c r="D112" s="58">
        <v>1.9977280370887973</v>
      </c>
      <c r="E112" s="50">
        <v>167.81291342054973</v>
      </c>
      <c r="F112" s="57">
        <v>0.15914077212995315</v>
      </c>
      <c r="G112" s="58">
        <v>1.9244472282907763</v>
      </c>
      <c r="H112" s="51">
        <v>18413.43208708077</v>
      </c>
      <c r="I112" s="57">
        <v>0.005321904956474696</v>
      </c>
      <c r="J112" s="57">
        <v>0.02258648844126054</v>
      </c>
      <c r="K112" s="51">
        <v>796827.5972994743</v>
      </c>
      <c r="L112" s="57">
        <v>0.230301484235479</v>
      </c>
      <c r="M112" s="57">
        <v>0.9774135115587395</v>
      </c>
      <c r="N112" s="59">
        <v>0.07648261706200055</v>
      </c>
      <c r="O112" s="57">
        <v>0.07328080879802101</v>
      </c>
      <c r="P112" s="51">
        <v>57.382780512209735</v>
      </c>
      <c r="Q112" s="35">
        <v>4858.035134301671</v>
      </c>
      <c r="R112" s="13">
        <v>5008.069187616141</v>
      </c>
      <c r="S112" s="57">
        <v>0.02505800347125788</v>
      </c>
      <c r="T112" s="51">
        <v>271952.9654792385</v>
      </c>
      <c r="U112" s="51">
        <v>815241.0293865551</v>
      </c>
      <c r="V112" s="51">
        <v>543288.0639073167</v>
      </c>
    </row>
    <row r="113">
      <c r="A113" s="55">
        <v>45365.95996392361</v>
      </c>
      <c r="B113" s="56">
        <v>15.329680795827482</v>
      </c>
      <c r="C113" s="57">
        <v>0.1665425837853931</v>
      </c>
      <c r="D113" s="58">
        <v>1.7621046478968436</v>
      </c>
      <c r="E113" s="50">
        <v>158.68097342287305</v>
      </c>
      <c r="F113" s="57">
        <v>0.16796471494961462</v>
      </c>
      <c r="G113" s="58">
        <v>1.7653064561608232</v>
      </c>
      <c r="H113" s="51">
        <v>18965.000898357823</v>
      </c>
      <c r="I113" s="57">
        <v>0.0042047892979688115</v>
      </c>
      <c r="J113" s="57">
        <v>0.02524753250728418</v>
      </c>
      <c r="K113" s="51">
        <v>732197.5490611766</v>
      </c>
      <c r="L113" s="57">
        <v>0.1623377944874243</v>
      </c>
      <c r="M113" s="57">
        <v>0.9747524674927158</v>
      </c>
      <c r="N113" s="59">
        <v>-0.0014221311642215184</v>
      </c>
      <c r="O113" s="57">
        <v>-0.003201808263979533</v>
      </c>
      <c r="P113" s="51">
        <v>57.382780512209735</v>
      </c>
      <c r="Q113" s="35">
        <v>4733.790912397177</v>
      </c>
      <c r="R113" s="13">
        <v>5008.069187616141</v>
      </c>
      <c r="S113" s="57">
        <v>-0.001157849343188279</v>
      </c>
      <c r="T113" s="51">
        <v>271952.9654792385</v>
      </c>
      <c r="U113" s="51">
        <v>751162.5499595344</v>
      </c>
      <c r="V113" s="51">
        <v>479209.58448029595</v>
      </c>
    </row>
    <row r="114">
      <c r="A114" s="55">
        <v>45364.95996628472</v>
      </c>
      <c r="B114" s="56">
        <v>14.40536945581855</v>
      </c>
      <c r="C114" s="57">
        <v>0.2674859417474491</v>
      </c>
      <c r="D114" s="58">
        <v>1.5955620641114505</v>
      </c>
      <c r="E114" s="50">
        <v>149.04269105112343</v>
      </c>
      <c r="F114" s="57">
        <v>0.22818790922976673</v>
      </c>
      <c r="G114" s="58">
        <v>1.5973417412112085</v>
      </c>
      <c r="H114" s="51">
        <v>18609.699594019017</v>
      </c>
      <c r="I114" s="57">
        <v>0.007052045528130299</v>
      </c>
      <c r="J114" s="57">
        <v>0.026364172569445142</v>
      </c>
      <c r="K114" s="51">
        <v>687261.1008265032</v>
      </c>
      <c r="L114" s="57">
        <v>0.26043389621931884</v>
      </c>
      <c r="M114" s="57">
        <v>0.9736358274305549</v>
      </c>
      <c r="N114" s="59">
        <v>0.03929803251768238</v>
      </c>
      <c r="O114" s="57">
        <v>-0.0017796770997580147</v>
      </c>
      <c r="P114" s="51">
        <v>57.382780512209735</v>
      </c>
      <c r="Q114" s="35">
        <v>4736.030968324371</v>
      </c>
      <c r="R114" s="13">
        <v>5004.236670970016</v>
      </c>
      <c r="S114" s="57">
        <v>0.006422717952329826</v>
      </c>
      <c r="T114" s="51">
        <v>271952.9654792385</v>
      </c>
      <c r="U114" s="51">
        <v>705870.8004205222</v>
      </c>
      <c r="V114" s="51">
        <v>433917.83494128374</v>
      </c>
    </row>
    <row r="115">
      <c r="A115" s="55">
        <v>45363.95997322917</v>
      </c>
      <c r="B115" s="56">
        <v>12.920822479120208</v>
      </c>
      <c r="C115" s="57">
        <v>0.011088914515495318</v>
      </c>
      <c r="D115" s="58">
        <v>1.3280761223640014</v>
      </c>
      <c r="E115" s="50">
        <v>135.9486343402517</v>
      </c>
      <c r="F115" s="57">
        <v>0.015137620133591767</v>
      </c>
      <c r="G115" s="58">
        <v>1.3691538319814418</v>
      </c>
      <c r="H115" s="51">
        <v>18214.854355542837</v>
      </c>
      <c r="I115" s="57">
        <v>3.1902429899989407E-4</v>
      </c>
      <c r="J115" s="57">
        <v>0.028769659875554007</v>
      </c>
      <c r="K115" s="51">
        <v>614912.3509827539</v>
      </c>
      <c r="L115" s="57">
        <v>0.010769890216495425</v>
      </c>
      <c r="M115" s="57">
        <v>0.9712303401244461</v>
      </c>
      <c r="N115" s="59">
        <v>-0.004048705618096449</v>
      </c>
      <c r="O115" s="57">
        <v>-0.041077709617440394</v>
      </c>
      <c r="P115" s="51">
        <v>57.382780512209735</v>
      </c>
      <c r="Q115" s="35">
        <v>4657.1060342813635</v>
      </c>
      <c r="R115" s="13">
        <v>5004.236670970016</v>
      </c>
      <c r="S115" s="57">
        <v>-0.010349099454488286</v>
      </c>
      <c r="T115" s="51">
        <v>271952.9654792385</v>
      </c>
      <c r="U115" s="51">
        <v>633127.2053382967</v>
      </c>
      <c r="V115" s="51">
        <v>361174.23985905823</v>
      </c>
    </row>
    <row r="116">
      <c r="A116" s="55">
        <v>45362.95999325231</v>
      </c>
      <c r="B116" s="48">
        <v>12.859279003559209</v>
      </c>
      <c r="C116" s="7">
        <v>0.09064511673730635</v>
      </c>
      <c r="D116" s="49">
        <v>1.316987207848506</v>
      </c>
      <c r="E116" s="50">
        <v>135.0799956066486</v>
      </c>
      <c r="F116" s="7">
        <v>0.08861755730129817</v>
      </c>
      <c r="G116" s="49">
        <v>1.35401621184785</v>
      </c>
      <c r="H116" s="51">
        <v>18345.488233756987</v>
      </c>
      <c r="I116" s="7">
        <v>0.0026391024625144906</v>
      </c>
      <c r="J116" s="7">
        <v>0.029114667811204094</v>
      </c>
      <c r="K116" s="51">
        <v>611766.053918105</v>
      </c>
      <c r="L116" s="7">
        <v>0.08800601427479186</v>
      </c>
      <c r="M116" s="7">
        <v>0.9708853321887959</v>
      </c>
      <c r="N116" s="52">
        <v>0.002027559436008186</v>
      </c>
      <c r="O116" s="7">
        <v>-0.037029003999343946</v>
      </c>
      <c r="P116" s="53">
        <v>57.382780512209735</v>
      </c>
      <c r="Q116" s="35">
        <v>4664.728772917195</v>
      </c>
      <c r="R116" s="13">
        <v>5004.236670970016</v>
      </c>
      <c r="S116" s="7">
        <v>-0.008729241521247624</v>
      </c>
      <c r="T116" s="53">
        <v>271952.9654792385</v>
      </c>
      <c r="U116" s="53">
        <v>630111.5421518619</v>
      </c>
      <c r="V116" s="53">
        <v>358158.57667262346</v>
      </c>
    </row>
    <row r="117">
      <c r="A117" s="55">
        <v>45361.95997304398</v>
      </c>
      <c r="B117" s="56">
        <v>12.356198605667158</v>
      </c>
      <c r="C117" s="57">
        <v>-0.032260559896190255</v>
      </c>
      <c r="D117" s="58">
        <v>1.2263420911111997</v>
      </c>
      <c r="E117" s="50">
        <v>129.99487376650004</v>
      </c>
      <c r="F117" s="57">
        <v>-0.04778242627898477</v>
      </c>
      <c r="G117" s="58">
        <v>1.2653986545465519</v>
      </c>
      <c r="H117" s="51">
        <v>17764.082447104884</v>
      </c>
      <c r="I117" s="57">
        <v>-9.465182337257297E-4</v>
      </c>
      <c r="J117" s="57">
        <v>0.02933979561332743</v>
      </c>
      <c r="K117" s="51">
        <v>587696.2514018349</v>
      </c>
      <c r="L117" s="57">
        <v>-0.03131404166246453</v>
      </c>
      <c r="M117" s="57">
        <v>0.9706602043866727</v>
      </c>
      <c r="N117" s="59">
        <v>0.015521866382794514</v>
      </c>
      <c r="O117" s="57">
        <v>-0.03905656343535213</v>
      </c>
      <c r="P117" s="51">
        <v>57.382780512209735</v>
      </c>
      <c r="Q117" s="35">
        <v>4657.570843420198</v>
      </c>
      <c r="R117" s="13">
        <v>5004.236670970016</v>
      </c>
      <c r="S117" s="57">
        <v>-0.010250325928731478</v>
      </c>
      <c r="T117" s="51">
        <v>271952.9654792385</v>
      </c>
      <c r="U117" s="51">
        <v>605460.3338489397</v>
      </c>
      <c r="V117" s="51">
        <v>333507.36836970126</v>
      </c>
    </row>
    <row r="118">
      <c r="A118" s="55">
        <v>45360.95996261574</v>
      </c>
      <c r="B118" s="56">
        <v>12.535244713091014</v>
      </c>
      <c r="C118" s="57">
        <v>0.025100237508298928</v>
      </c>
      <c r="D118" s="58">
        <v>1.25860265100739</v>
      </c>
      <c r="E118" s="50">
        <v>132.73676224600786</v>
      </c>
      <c r="F118" s="57">
        <v>0.015439909369586946</v>
      </c>
      <c r="G118" s="58">
        <v>1.3131810808255366</v>
      </c>
      <c r="H118" s="51">
        <v>17466.981527652366</v>
      </c>
      <c r="I118" s="57">
        <v>7.137761944764555E-4</v>
      </c>
      <c r="J118" s="57">
        <v>0.028437029499838742</v>
      </c>
      <c r="K118" s="51">
        <v>596766.7072530768</v>
      </c>
      <c r="L118" s="57">
        <v>0.024386461313822473</v>
      </c>
      <c r="M118" s="57">
        <v>0.9715629705001613</v>
      </c>
      <c r="N118" s="59">
        <v>0.009660328138711982</v>
      </c>
      <c r="O118" s="57">
        <v>-0.054578429818146645</v>
      </c>
      <c r="P118" s="51">
        <v>57.382780512209735</v>
      </c>
      <c r="Q118" s="35">
        <v>4627.45721974398</v>
      </c>
      <c r="R118" s="13">
        <v>5004.236670970016</v>
      </c>
      <c r="S118" s="57">
        <v>-0.016649573566745846</v>
      </c>
      <c r="T118" s="51">
        <v>271952.9654792385</v>
      </c>
      <c r="U118" s="51">
        <v>614233.6887807292</v>
      </c>
      <c r="V118" s="51">
        <v>342280.7233014907</v>
      </c>
    </row>
    <row r="119">
      <c r="A119" s="55">
        <v>45359.95996136574</v>
      </c>
      <c r="B119" s="56">
        <v>12.395938394919956</v>
      </c>
      <c r="C119" s="57">
        <v>0.002234652639348411</v>
      </c>
      <c r="D119" s="58">
        <v>1.233502413499091</v>
      </c>
      <c r="E119" s="50">
        <v>131.85077731552443</v>
      </c>
      <c r="F119" s="57">
        <v>0.007786864239507363</v>
      </c>
      <c r="G119" s="58">
        <v>1.2977411714559497</v>
      </c>
      <c r="H119" s="51">
        <v>17429.294190114044</v>
      </c>
      <c r="I119" s="57">
        <v>6.412237508872944E-5</v>
      </c>
      <c r="J119" s="57">
        <v>0.02869456038027749</v>
      </c>
      <c r="K119" s="51">
        <v>589978.3105660002</v>
      </c>
      <c r="L119" s="57">
        <v>0.002170530264259682</v>
      </c>
      <c r="M119" s="57">
        <v>0.9713054396197226</v>
      </c>
      <c r="N119" s="59">
        <v>-0.005552211600158952</v>
      </c>
      <c r="O119" s="57">
        <v>-0.06423875795685863</v>
      </c>
      <c r="P119" s="51">
        <v>57.382780512209735</v>
      </c>
      <c r="Q119" s="35">
        <v>4606.780613075662</v>
      </c>
      <c r="R119" s="13">
        <v>5004.236670970016</v>
      </c>
      <c r="S119" s="57">
        <v>-0.021043422935624206</v>
      </c>
      <c r="T119" s="51">
        <v>271952.9654792385</v>
      </c>
      <c r="U119" s="51">
        <v>607407.6047561142</v>
      </c>
      <c r="V119" s="51">
        <v>335454.6392768757</v>
      </c>
    </row>
    <row r="120">
      <c r="A120" s="55">
        <v>45358.959961898145</v>
      </c>
      <c r="B120" s="56">
        <v>12.383536072771571</v>
      </c>
      <c r="C120" s="57">
        <v>0.32199245843895663</v>
      </c>
      <c r="D120" s="58">
        <v>1.2312677608597427</v>
      </c>
      <c r="E120" s="50">
        <v>131.4039453939904</v>
      </c>
      <c r="F120" s="57">
        <v>0.2705158924857116</v>
      </c>
      <c r="G120" s="58">
        <v>1.2899543072164423</v>
      </c>
      <c r="H120" s="51">
        <v>17250.073326211797</v>
      </c>
      <c r="I120" s="57">
        <v>0.009153583680332615</v>
      </c>
      <c r="J120" s="57">
        <v>0.028427944321149222</v>
      </c>
      <c r="K120" s="51">
        <v>589549.8110178156</v>
      </c>
      <c r="L120" s="57">
        <v>0.31283887475862404</v>
      </c>
      <c r="M120" s="57">
        <v>0.9715720556788509</v>
      </c>
      <c r="N120" s="59">
        <v>0.05147656595324501</v>
      </c>
      <c r="O120" s="57">
        <v>-0.058686546356699676</v>
      </c>
      <c r="P120" s="51">
        <v>57.382780512209735</v>
      </c>
      <c r="Q120" s="35">
        <v>4617.8208920946045</v>
      </c>
      <c r="R120" s="13">
        <v>5004.236670970016</v>
      </c>
      <c r="S120" s="57">
        <v>-0.0186973260263112</v>
      </c>
      <c r="T120" s="51">
        <v>271952.9654792385</v>
      </c>
      <c r="U120" s="51">
        <v>606799.8843440274</v>
      </c>
      <c r="V120" s="51">
        <v>334846.9188647889</v>
      </c>
    </row>
    <row r="121">
      <c r="A121" s="55">
        <v>45357.9599545949</v>
      </c>
      <c r="B121" s="56">
        <v>10.596477928435363</v>
      </c>
      <c r="C121" s="57">
        <v>0.005436386237999358</v>
      </c>
      <c r="D121" s="58">
        <v>0.909275302420786</v>
      </c>
      <c r="E121" s="50">
        <v>115.8809913104183</v>
      </c>
      <c r="F121" s="57">
        <v>0.06287922138075075</v>
      </c>
      <c r="G121" s="58">
        <v>1.0194384147307307</v>
      </c>
      <c r="H121" s="51">
        <v>16964.484489763374</v>
      </c>
      <c r="I121" s="57">
        <v>1.776186716419341E-4</v>
      </c>
      <c r="J121" s="57">
        <v>0.03267219506966074</v>
      </c>
      <c r="K121" s="51">
        <v>502268.5959198392</v>
      </c>
      <c r="L121" s="57">
        <v>0.005258767566357423</v>
      </c>
      <c r="M121" s="57">
        <v>0.9673278049303392</v>
      </c>
      <c r="N121" s="59">
        <v>-0.05744283514275139</v>
      </c>
      <c r="O121" s="57">
        <v>-0.11016311230994469</v>
      </c>
      <c r="P121" s="51">
        <v>57.382780512209735</v>
      </c>
      <c r="Q121" s="35">
        <v>4480.744206085515</v>
      </c>
      <c r="R121" s="13">
        <v>5004.236670970016</v>
      </c>
      <c r="S121" s="57">
        <v>-0.04782658886767647</v>
      </c>
      <c r="T121" s="51">
        <v>271952.9654792385</v>
      </c>
      <c r="U121" s="51">
        <v>519233.0804096026</v>
      </c>
      <c r="V121" s="51">
        <v>247280.11493036413</v>
      </c>
    </row>
    <row r="122">
      <c r="A122" s="55">
        <v>45356.95996335648</v>
      </c>
      <c r="B122" s="56">
        <v>10.566305984814466</v>
      </c>
      <c r="C122" s="57">
        <v>-0.09585364969923749</v>
      </c>
      <c r="D122" s="58">
        <v>0.9038389161827867</v>
      </c>
      <c r="E122" s="50">
        <v>112.27280675114802</v>
      </c>
      <c r="F122" s="57">
        <v>-0.1429007168011034</v>
      </c>
      <c r="G122" s="58">
        <v>0.95655919334998</v>
      </c>
      <c r="H122" s="51">
        <v>16306.48399803896</v>
      </c>
      <c r="I122" s="57">
        <v>-0.0030188739744371976</v>
      </c>
      <c r="J122" s="57">
        <v>0.03149461688636372</v>
      </c>
      <c r="K122" s="51">
        <v>501448.15505264926</v>
      </c>
      <c r="L122" s="57">
        <v>-0.09283477572480028</v>
      </c>
      <c r="M122" s="57">
        <v>0.9685053831136362</v>
      </c>
      <c r="N122" s="59">
        <v>0.0470470671018659</v>
      </c>
      <c r="O122" s="57">
        <v>-0.0527202771671933</v>
      </c>
      <c r="P122" s="51">
        <v>57.382780512209735</v>
      </c>
      <c r="Q122" s="35">
        <v>4611.576516460376</v>
      </c>
      <c r="R122" s="13">
        <v>5004.236670970016</v>
      </c>
      <c r="S122" s="57">
        <v>-0.020024277125184335</v>
      </c>
      <c r="T122" s="51">
        <v>271952.9654792385</v>
      </c>
      <c r="U122" s="51">
        <v>517754.63905068825</v>
      </c>
      <c r="V122" s="51">
        <v>245801.67357144976</v>
      </c>
    </row>
    <row r="123">
      <c r="A123" s="55">
        <v>45355.95998083333</v>
      </c>
      <c r="B123" s="56">
        <v>11.098293740645234</v>
      </c>
      <c r="C123" s="57">
        <v>-0.01199560540564959</v>
      </c>
      <c r="D123" s="58">
        <v>0.9996925658820242</v>
      </c>
      <c r="E123" s="50">
        <v>120.47284721838318</v>
      </c>
      <c r="F123" s="57">
        <v>-0.0037433502415220588</v>
      </c>
      <c r="G123" s="58">
        <v>1.0994599101510834</v>
      </c>
      <c r="H123" s="51">
        <v>17469.572370452246</v>
      </c>
      <c r="I123" s="57">
        <v>-3.853429470768196E-4</v>
      </c>
      <c r="J123" s="57">
        <v>0.032123676466994655</v>
      </c>
      <c r="K123" s="51">
        <v>526352.7509679517</v>
      </c>
      <c r="L123" s="57">
        <v>-0.01161026245857277</v>
      </c>
      <c r="M123" s="57">
        <v>0.9678763235330053</v>
      </c>
      <c r="N123" s="59">
        <v>-0.008252255164127531</v>
      </c>
      <c r="O123" s="57">
        <v>-0.0997673442690592</v>
      </c>
      <c r="P123" s="51">
        <v>57.382780512209735</v>
      </c>
      <c r="Q123" s="35">
        <v>4514.0655001919895</v>
      </c>
      <c r="R123" s="13">
        <v>5004.236670970016</v>
      </c>
      <c r="S123" s="57">
        <v>-0.04074570033366583</v>
      </c>
      <c r="T123" s="51">
        <v>271952.9654792385</v>
      </c>
      <c r="U123" s="51">
        <v>543822.323338404</v>
      </c>
      <c r="V123" s="51">
        <v>271869.35785916547</v>
      </c>
    </row>
    <row r="124">
      <c r="A124" s="55">
        <v>45354.95996017361</v>
      </c>
      <c r="B124" s="56">
        <v>11.164869350646589</v>
      </c>
      <c r="C124" s="57">
        <v>0.06325317443844058</v>
      </c>
      <c r="D124" s="58">
        <v>1.0116881712876737</v>
      </c>
      <c r="E124" s="50">
        <v>120.68765106367277</v>
      </c>
      <c r="F124" s="57">
        <v>0.0388287103188758</v>
      </c>
      <c r="G124" s="58">
        <v>1.1032032603926054</v>
      </c>
      <c r="H124" s="51">
        <v>16244.315987993137</v>
      </c>
      <c r="I124" s="57">
        <v>0.001878145758093579</v>
      </c>
      <c r="J124" s="57">
        <v>0.029692513850374937</v>
      </c>
      <c r="K124" s="51">
        <v>530840.2478131959</v>
      </c>
      <c r="L124" s="57">
        <v>0.061375028680347006</v>
      </c>
      <c r="M124" s="57">
        <v>0.970307486149625</v>
      </c>
      <c r="N124" s="59">
        <v>0.02442446411956478</v>
      </c>
      <c r="O124" s="57">
        <v>-0.09151508910493167</v>
      </c>
      <c r="P124" s="51">
        <v>57.382780512209735</v>
      </c>
      <c r="Q124" s="35">
        <v>4533.06165941167</v>
      </c>
      <c r="R124" s="13">
        <v>5004.236670970016</v>
      </c>
      <c r="S124" s="57">
        <v>-0.03670895177344892</v>
      </c>
      <c r="T124" s="51">
        <v>271952.9654792385</v>
      </c>
      <c r="U124" s="51">
        <v>547084.5638011891</v>
      </c>
      <c r="V124" s="51">
        <v>275131.5983219506</v>
      </c>
    </row>
    <row r="125">
      <c r="A125" s="55">
        <v>45353.95997469907</v>
      </c>
      <c r="B125" s="56">
        <v>10.813814232513243</v>
      </c>
      <c r="C125" s="57">
        <v>-0.037111005906038885</v>
      </c>
      <c r="D125" s="58">
        <v>0.9484349968492332</v>
      </c>
      <c r="E125" s="50">
        <v>118.45955170187254</v>
      </c>
      <c r="F125" s="57">
        <v>-0.03682565169990237</v>
      </c>
      <c r="G125" s="58">
        <v>1.0643745500737296</v>
      </c>
      <c r="H125" s="51">
        <v>15971.293012455348</v>
      </c>
      <c r="I125" s="57">
        <v>-0.0011185697830634893</v>
      </c>
      <c r="J125" s="57">
        <v>0.030141187385100496</v>
      </c>
      <c r="K125" s="51">
        <v>513911.3824242243</v>
      </c>
      <c r="L125" s="57">
        <v>-0.035992436122975396</v>
      </c>
      <c r="M125" s="57">
        <v>0.9698588126148995</v>
      </c>
      <c r="N125" s="59">
        <v>-2.853542061365122E-4</v>
      </c>
      <c r="O125" s="57">
        <v>-0.11593955322449645</v>
      </c>
      <c r="P125" s="51">
        <v>57.382780512209735</v>
      </c>
      <c r="Q125" s="35">
        <v>4473.110591961691</v>
      </c>
      <c r="R125" s="13">
        <v>5004.236670970016</v>
      </c>
      <c r="S125" s="57">
        <v>-0.04944875787917173</v>
      </c>
      <c r="T125" s="51">
        <v>271952.9654792385</v>
      </c>
      <c r="U125" s="51">
        <v>529882.6754366796</v>
      </c>
      <c r="V125" s="51">
        <v>257929.70995744114</v>
      </c>
    </row>
    <row r="126">
      <c r="A126" s="55">
        <v>45352.9599661574</v>
      </c>
      <c r="B126" s="56">
        <v>11.01978031529176</v>
      </c>
      <c r="C126" s="57">
        <v>0.13211614092841417</v>
      </c>
      <c r="D126" s="58">
        <v>0.985546002755272</v>
      </c>
      <c r="E126" s="50">
        <v>120.57270999058713</v>
      </c>
      <c r="F126" s="57">
        <v>0.1073114377724016</v>
      </c>
      <c r="G126" s="58">
        <v>1.101200201773632</v>
      </c>
      <c r="H126" s="51">
        <v>15148.029435107033</v>
      </c>
      <c r="I126" s="57">
        <v>0.003706280353247665</v>
      </c>
      <c r="J126" s="57">
        <v>0.028053198702313566</v>
      </c>
      <c r="K126" s="51">
        <v>524827.0941096374</v>
      </c>
      <c r="L126" s="57">
        <v>0.1284098605751665</v>
      </c>
      <c r="M126" s="57">
        <v>0.9719468012976865</v>
      </c>
      <c r="N126" s="59">
        <v>0.024804703156012575</v>
      </c>
      <c r="O126" s="57">
        <v>-0.11565419901835994</v>
      </c>
      <c r="P126" s="51">
        <v>57.382780512209735</v>
      </c>
      <c r="Q126" s="35">
        <v>4478.419068352194</v>
      </c>
      <c r="R126" s="13">
        <v>4996.14961003471</v>
      </c>
      <c r="S126" s="57">
        <v>-0.04832068855850054</v>
      </c>
      <c r="T126" s="51">
        <v>271952.9654792385</v>
      </c>
      <c r="U126" s="51">
        <v>539975.1235447444</v>
      </c>
      <c r="V126" s="51">
        <v>268022.15806550597</v>
      </c>
    </row>
    <row r="127">
      <c r="A127" s="55">
        <v>45351.95995412037</v>
      </c>
      <c r="B127" s="56">
        <v>10.286535733139061</v>
      </c>
      <c r="C127" s="57">
        <v>0.12601398423171983</v>
      </c>
      <c r="D127" s="58">
        <v>0.8534298618268579</v>
      </c>
      <c r="E127" s="50">
        <v>114.41488131044376</v>
      </c>
      <c r="F127" s="57">
        <v>0.13070075907947332</v>
      </c>
      <c r="G127" s="58">
        <v>0.9938887640012304</v>
      </c>
      <c r="H127" s="51">
        <v>14833.34599621989</v>
      </c>
      <c r="I127" s="57">
        <v>0.00370841146609748</v>
      </c>
      <c r="J127" s="57">
        <v>0.02942857087415232</v>
      </c>
      <c r="K127" s="51">
        <v>489212.4012353693</v>
      </c>
      <c r="L127" s="57">
        <v>0.12230557276562236</v>
      </c>
      <c r="M127" s="57">
        <v>0.9705714291258477</v>
      </c>
      <c r="N127" s="59">
        <v>-0.004686774847753483</v>
      </c>
      <c r="O127" s="57">
        <v>-0.1404589021743725</v>
      </c>
      <c r="P127" s="51">
        <v>57.382780512209735</v>
      </c>
      <c r="Q127" s="35">
        <v>4405.421230687236</v>
      </c>
      <c r="R127" s="13">
        <v>4996.14961003471</v>
      </c>
      <c r="S127" s="57">
        <v>-0.06383297778945603</v>
      </c>
      <c r="T127" s="51">
        <v>271952.9654792385</v>
      </c>
      <c r="U127" s="51">
        <v>504045.7472315892</v>
      </c>
      <c r="V127" s="51">
        <v>232092.78175235074</v>
      </c>
    </row>
    <row r="128">
      <c r="A128" s="55">
        <v>45350.959984560184</v>
      </c>
      <c r="B128" s="48">
        <v>9.587158120653015</v>
      </c>
      <c r="C128" s="7">
        <v>0.12333617385722473</v>
      </c>
      <c r="D128" s="49">
        <v>0.727415877595138</v>
      </c>
      <c r="E128" s="50">
        <v>106.91490833940713</v>
      </c>
      <c r="F128" s="7">
        <v>0.11936395362809771</v>
      </c>
      <c r="G128" s="49">
        <v>0.8631880049217571</v>
      </c>
      <c r="H128" s="51">
        <v>15205.30194111745</v>
      </c>
      <c r="I128" s="7">
        <v>0.003992039356244042</v>
      </c>
      <c r="J128" s="7">
        <v>0.03236714121572532</v>
      </c>
      <c r="K128" s="51">
        <v>454570.5685868015</v>
      </c>
      <c r="L128" s="7">
        <v>0.11934413450098068</v>
      </c>
      <c r="M128" s="7">
        <v>0.9676328587842746</v>
      </c>
      <c r="N128" s="52">
        <v>0.0039722202291270214</v>
      </c>
      <c r="O128" s="7">
        <v>-0.13577212732661903</v>
      </c>
      <c r="P128" s="53">
        <v>57.382780512209735</v>
      </c>
      <c r="Q128" s="35">
        <v>4393.922960085138</v>
      </c>
      <c r="R128" s="13">
        <v>4996.14961003471</v>
      </c>
      <c r="S128" s="7">
        <v>-0.06627639947071445</v>
      </c>
      <c r="T128" s="53">
        <v>271952.9654792385</v>
      </c>
      <c r="U128" s="53">
        <v>469775.870527919</v>
      </c>
      <c r="V128" s="53">
        <v>197822.9050486805</v>
      </c>
    </row>
    <row r="129">
      <c r="A129" s="55">
        <v>45349.959973564815</v>
      </c>
      <c r="B129" s="56">
        <v>8.902642355745419</v>
      </c>
      <c r="C129" s="57">
        <v>-0.011992738698549887</v>
      </c>
      <c r="D129" s="58">
        <v>0.6040797037379133</v>
      </c>
      <c r="E129" s="50">
        <v>100.06547278729643</v>
      </c>
      <c r="F129" s="57">
        <v>-0.019127255402693777</v>
      </c>
      <c r="G129" s="58">
        <v>0.7438240512936594</v>
      </c>
      <c r="H129" s="51">
        <v>13774.13359842312</v>
      </c>
      <c r="I129" s="57">
        <v>-3.786717612122132E-4</v>
      </c>
      <c r="J129" s="57">
        <v>0.031575086452771677</v>
      </c>
      <c r="K129" s="51">
        <v>422460.0986981608</v>
      </c>
      <c r="L129" s="57">
        <v>-0.011614066937337676</v>
      </c>
      <c r="M129" s="57">
        <v>0.9684249135472284</v>
      </c>
      <c r="N129" s="59">
        <v>0.0071345167041438895</v>
      </c>
      <c r="O129" s="57">
        <v>-0.13974434755574605</v>
      </c>
      <c r="P129" s="51">
        <v>57.382780512209735</v>
      </c>
      <c r="Q129" s="35">
        <v>4359.4880446311645</v>
      </c>
      <c r="R129" s="13">
        <v>4996.14961003471</v>
      </c>
      <c r="S129" s="57">
        <v>-0.07359393633553522</v>
      </c>
      <c r="T129" s="51">
        <v>271952.9654792385</v>
      </c>
      <c r="U129" s="51">
        <v>436234.2322965839</v>
      </c>
      <c r="V129" s="51">
        <v>164281.2668173454</v>
      </c>
    </row>
    <row r="130">
      <c r="A130" s="55">
        <v>45348.95998271991</v>
      </c>
      <c r="B130" s="56">
        <v>8.96920205552237</v>
      </c>
      <c r="C130" s="57">
        <v>0.09402197472625762</v>
      </c>
      <c r="D130" s="58">
        <v>0.6160724424364632</v>
      </c>
      <c r="E130" s="50">
        <v>101.16304788587018</v>
      </c>
      <c r="F130" s="57">
        <v>0.09605946539159671</v>
      </c>
      <c r="G130" s="58">
        <v>0.7629513066963531</v>
      </c>
      <c r="H130" s="51">
        <v>13188.853969974787</v>
      </c>
      <c r="I130" s="57">
        <v>0.002821511368509375</v>
      </c>
      <c r="J130" s="57">
        <v>0.030009063059185125</v>
      </c>
      <c r="K130" s="51">
        <v>426306.8391798973</v>
      </c>
      <c r="L130" s="57">
        <v>0.09120046335774824</v>
      </c>
      <c r="M130" s="57">
        <v>0.9699909369408148</v>
      </c>
      <c r="N130" s="59">
        <v>-0.0020374906653390923</v>
      </c>
      <c r="O130" s="57">
        <v>-0.14687886425988994</v>
      </c>
      <c r="P130" s="51">
        <v>57.382780512209735</v>
      </c>
      <c r="Q130" s="35">
        <v>4344.429140230146</v>
      </c>
      <c r="R130" s="13">
        <v>4996.14961003471</v>
      </c>
      <c r="S130" s="57">
        <v>-0.07679400483129074</v>
      </c>
      <c r="T130" s="51">
        <v>271952.9654792385</v>
      </c>
      <c r="U130" s="51">
        <v>439495.69314987207</v>
      </c>
      <c r="V130" s="51">
        <v>167542.72767063358</v>
      </c>
    </row>
    <row r="131">
      <c r="A131" s="55">
        <v>45347.95996246528</v>
      </c>
      <c r="B131" s="56">
        <v>8.44738009579164</v>
      </c>
      <c r="C131" s="57">
        <v>-0.006367634464677252</v>
      </c>
      <c r="D131" s="58">
        <v>0.5220504677102056</v>
      </c>
      <c r="E131" s="50">
        <v>95.65088866718398</v>
      </c>
      <c r="F131" s="57">
        <v>-0.009084422503523593</v>
      </c>
      <c r="G131" s="58">
        <v>0.6668918413047564</v>
      </c>
      <c r="H131" s="51">
        <v>12550.802021352847</v>
      </c>
      <c r="I131" s="57">
        <v>-1.9307531492981968E-4</v>
      </c>
      <c r="J131" s="57">
        <v>0.030321356541562382</v>
      </c>
      <c r="K131" s="51">
        <v>401375.3362814995</v>
      </c>
      <c r="L131" s="57">
        <v>-0.006174559149747432</v>
      </c>
      <c r="M131" s="57">
        <v>0.9696786434584376</v>
      </c>
      <c r="N131" s="59">
        <v>0.0027167880388463406</v>
      </c>
      <c r="O131" s="57">
        <v>-0.14484137359455085</v>
      </c>
      <c r="P131" s="51">
        <v>57.382780512209735</v>
      </c>
      <c r="Q131" s="35">
        <v>4327.46777443023</v>
      </c>
      <c r="R131" s="13">
        <v>4996.14961003471</v>
      </c>
      <c r="S131" s="57">
        <v>-0.08039835285661096</v>
      </c>
      <c r="T131" s="51">
        <v>271952.9654792385</v>
      </c>
      <c r="U131" s="51">
        <v>413926.13830285234</v>
      </c>
      <c r="V131" s="51">
        <v>141973.17282361386</v>
      </c>
    </row>
    <row r="132">
      <c r="A132" s="55">
        <v>45346.9599647338</v>
      </c>
      <c r="B132" s="56">
        <v>8.4827204670706</v>
      </c>
      <c r="C132" s="57">
        <v>0.06641721626467056</v>
      </c>
      <c r="D132" s="58">
        <v>0.5284181021748828</v>
      </c>
      <c r="E132" s="50">
        <v>96.17217808978386</v>
      </c>
      <c r="F132" s="57">
        <v>0.06778558091198805</v>
      </c>
      <c r="G132" s="58">
        <v>0.67597626380828</v>
      </c>
      <c r="H132" s="51">
        <v>12496.460175837206</v>
      </c>
      <c r="I132" s="57">
        <v>0.001996786845808936</v>
      </c>
      <c r="J132" s="57">
        <v>0.030064295947782604</v>
      </c>
      <c r="K132" s="51">
        <v>403161.3752027719</v>
      </c>
      <c r="L132" s="57">
        <v>0.06442042941886163</v>
      </c>
      <c r="M132" s="57">
        <v>0.9699357040522174</v>
      </c>
      <c r="N132" s="59">
        <v>-0.0013683646473174882</v>
      </c>
      <c r="O132" s="57">
        <v>-0.1475581616333972</v>
      </c>
      <c r="P132" s="51">
        <v>57.382780512209735</v>
      </c>
      <c r="Q132" s="35">
        <v>4322.0174860817</v>
      </c>
      <c r="R132" s="13">
        <v>4996.14961003471</v>
      </c>
      <c r="S132" s="57">
        <v>-0.08155655770156203</v>
      </c>
      <c r="T132" s="51">
        <v>271952.9654792385</v>
      </c>
      <c r="U132" s="51">
        <v>415657.83537860913</v>
      </c>
      <c r="V132" s="51">
        <v>143704.86989937065</v>
      </c>
    </row>
    <row r="133">
      <c r="A133" s="55">
        <v>45345.959973668985</v>
      </c>
      <c r="B133" s="56">
        <v>8.114104916801677</v>
      </c>
      <c r="C133" s="57">
        <v>-0.0436851413975643</v>
      </c>
      <c r="D133" s="58">
        <v>0.46200088591021227</v>
      </c>
      <c r="E133" s="50">
        <v>92.2824529784186</v>
      </c>
      <c r="F133" s="57">
        <v>-0.04931966817836808</v>
      </c>
      <c r="G133" s="58">
        <v>0.608190682896292</v>
      </c>
      <c r="H133" s="51">
        <v>12299.839669380139</v>
      </c>
      <c r="I133" s="57">
        <v>-0.0013514244173825581</v>
      </c>
      <c r="J133" s="57">
        <v>0.03093556239371376</v>
      </c>
      <c r="K133" s="51">
        <v>385295.63678717584</v>
      </c>
      <c r="L133" s="57">
        <v>-0.042333716980181735</v>
      </c>
      <c r="M133" s="57">
        <v>0.9690644376062861</v>
      </c>
      <c r="N133" s="59">
        <v>0.0056345267808037836</v>
      </c>
      <c r="O133" s="57">
        <v>-0.1461897969860797</v>
      </c>
      <c r="P133" s="51">
        <v>57.382780512209735</v>
      </c>
      <c r="Q133" s="35">
        <v>4308.46237420172</v>
      </c>
      <c r="R133" s="13">
        <v>4996.14961003471</v>
      </c>
      <c r="S133" s="57">
        <v>-0.08443706516269114</v>
      </c>
      <c r="T133" s="51">
        <v>271952.9654792385</v>
      </c>
      <c r="U133" s="51">
        <v>397595.476456556</v>
      </c>
      <c r="V133" s="51">
        <v>125642.51097731752</v>
      </c>
    </row>
    <row r="134">
      <c r="A134" s="55">
        <v>45344.95999284722</v>
      </c>
      <c r="B134" s="56">
        <v>8.35655745155816</v>
      </c>
      <c r="C134" s="57">
        <v>-0.03226802805795481</v>
      </c>
      <c r="D134" s="58">
        <v>0.5056860273077766</v>
      </c>
      <c r="E134" s="50">
        <v>95.11255267243291</v>
      </c>
      <c r="F134" s="57">
        <v>-0.028204910665491356</v>
      </c>
      <c r="G134" s="58">
        <v>0.65751035107466</v>
      </c>
      <c r="H134" s="51">
        <v>12492.63635658705</v>
      </c>
      <c r="I134" s="57">
        <v>-9.844605223497968E-4</v>
      </c>
      <c r="J134" s="57">
        <v>0.03050885292964485</v>
      </c>
      <c r="K134" s="51">
        <v>396983.14385041647</v>
      </c>
      <c r="L134" s="57">
        <v>-0.03128356753560502</v>
      </c>
      <c r="M134" s="57">
        <v>0.9694911470703551</v>
      </c>
      <c r="N134" s="59">
        <v>-0.004063117392463456</v>
      </c>
      <c r="O134" s="57">
        <v>-0.15182432376688348</v>
      </c>
      <c r="P134" s="51">
        <v>57.382780512209735</v>
      </c>
      <c r="Q134" s="35">
        <v>4305.170755086721</v>
      </c>
      <c r="R134" s="13">
        <v>4996.14961003471</v>
      </c>
      <c r="S134" s="57">
        <v>-0.08513654544023525</v>
      </c>
      <c r="T134" s="51">
        <v>271952.9654792385</v>
      </c>
      <c r="U134" s="51">
        <v>409475.7802070035</v>
      </c>
      <c r="V134" s="51">
        <v>137522.81472776504</v>
      </c>
    </row>
    <row r="135">
      <c r="A135" s="55">
        <v>45343.95996530092</v>
      </c>
      <c r="B135" s="56">
        <v>8.53564500727981</v>
      </c>
      <c r="C135" s="57">
        <v>-0.047732625864166156</v>
      </c>
      <c r="D135" s="58">
        <v>0.5379540553657314</v>
      </c>
      <c r="E135" s="50">
        <v>96.73102887051729</v>
      </c>
      <c r="F135" s="57">
        <v>-0.06862406402586396</v>
      </c>
      <c r="G135" s="58">
        <v>0.6857152617401514</v>
      </c>
      <c r="H135" s="51">
        <v>12469.851269352606</v>
      </c>
      <c r="I135" s="57">
        <v>-0.0014231131755896014</v>
      </c>
      <c r="J135" s="57">
        <v>0.029814265396573565</v>
      </c>
      <c r="K135" s="51">
        <v>405781.31485817896</v>
      </c>
      <c r="L135" s="57">
        <v>-0.04630951268857656</v>
      </c>
      <c r="M135" s="57">
        <v>0.9701857346034265</v>
      </c>
      <c r="N135" s="59">
        <v>0.020891438161697806</v>
      </c>
      <c r="O135" s="57">
        <v>-0.14776120637442003</v>
      </c>
      <c r="P135" s="51">
        <v>57.382780512209735</v>
      </c>
      <c r="Q135" s="35">
        <v>4323.857308365822</v>
      </c>
      <c r="R135" s="13">
        <v>4996.14961003471</v>
      </c>
      <c r="S135" s="57">
        <v>-0.08116558919731873</v>
      </c>
      <c r="T135" s="51">
        <v>271952.9654792385</v>
      </c>
      <c r="U135" s="51">
        <v>418251.16612753156</v>
      </c>
      <c r="V135" s="51">
        <v>146298.20064829307</v>
      </c>
    </row>
    <row r="136">
      <c r="A136" s="55">
        <v>45342.95997165509</v>
      </c>
      <c r="B136" s="56">
        <v>8.800561080825931</v>
      </c>
      <c r="C136" s="57">
        <v>-0.07905177246599293</v>
      </c>
      <c r="D136" s="58">
        <v>0.5856866812298975</v>
      </c>
      <c r="E136" s="50">
        <v>100.66886847436928</v>
      </c>
      <c r="F136" s="57">
        <v>-0.05732760729616149</v>
      </c>
      <c r="G136" s="58">
        <v>0.7543393257660154</v>
      </c>
      <c r="H136" s="51">
        <v>12690.788639274624</v>
      </c>
      <c r="I136" s="57">
        <v>-0.002326424944388217</v>
      </c>
      <c r="J136" s="57">
        <v>0.02942913070531107</v>
      </c>
      <c r="K136" s="51">
        <v>418541.40664212796</v>
      </c>
      <c r="L136" s="57">
        <v>-0.07672534752160472</v>
      </c>
      <c r="M136" s="57">
        <v>0.9705708692946889</v>
      </c>
      <c r="N136" s="59">
        <v>-0.021724165169831444</v>
      </c>
      <c r="O136" s="57">
        <v>-0.16865264453611784</v>
      </c>
      <c r="P136" s="51">
        <v>57.382780512209735</v>
      </c>
      <c r="Q136" s="35">
        <v>4283.669835736717</v>
      </c>
      <c r="R136" s="13">
        <v>4996.14961003471</v>
      </c>
      <c r="S136" s="57">
        <v>-0.08970556406267077</v>
      </c>
      <c r="T136" s="51">
        <v>271952.9654792385</v>
      </c>
      <c r="U136" s="51">
        <v>431232.19528140256</v>
      </c>
      <c r="V136" s="51">
        <v>159279.22980216407</v>
      </c>
    </row>
    <row r="137">
      <c r="A137" s="55">
        <v>45341.95995927083</v>
      </c>
      <c r="B137" s="56">
        <v>9.239298418012192</v>
      </c>
      <c r="C137" s="57">
        <v>-0.07806888011638469</v>
      </c>
      <c r="D137" s="58">
        <v>0.6647384536958905</v>
      </c>
      <c r="E137" s="50">
        <v>103.95848598113506</v>
      </c>
      <c r="F137" s="57">
        <v>-0.011927460230911846</v>
      </c>
      <c r="G137" s="58">
        <v>0.8116669330621769</v>
      </c>
      <c r="H137" s="51">
        <v>12656.684015450859</v>
      </c>
      <c r="I137" s="57">
        <v>-0.002182519220160246</v>
      </c>
      <c r="J137" s="57">
        <v>0.027956328013243655</v>
      </c>
      <c r="K137" s="51">
        <v>440073.87521446845</v>
      </c>
      <c r="L137" s="57">
        <v>-0.07588636089622444</v>
      </c>
      <c r="M137" s="57">
        <v>0.9720436719867563</v>
      </c>
      <c r="N137" s="59">
        <v>-0.06614141988547284</v>
      </c>
      <c r="O137" s="57">
        <v>-0.1469284793662864</v>
      </c>
      <c r="P137" s="51">
        <v>57.382780512209735</v>
      </c>
      <c r="Q137" s="35">
        <v>4354.916820470766</v>
      </c>
      <c r="R137" s="13">
        <v>4947.01692070455</v>
      </c>
      <c r="S137" s="57">
        <v>-0.07456533704525346</v>
      </c>
      <c r="T137" s="51">
        <v>271952.9654792385</v>
      </c>
      <c r="U137" s="51">
        <v>452730.55922991934</v>
      </c>
      <c r="V137" s="51">
        <v>180777.59375068086</v>
      </c>
    </row>
    <row r="138">
      <c r="A138" s="55">
        <v>45340.95997149305</v>
      </c>
      <c r="B138" s="48">
        <v>9.672580702658127</v>
      </c>
      <c r="C138" s="7">
        <v>0.05271549264069231</v>
      </c>
      <c r="D138" s="49">
        <v>0.7428073338122752</v>
      </c>
      <c r="E138" s="50">
        <v>104.64291681363359</v>
      </c>
      <c r="F138" s="7">
        <v>0.05696142007241711</v>
      </c>
      <c r="G138" s="49">
        <v>0.8235943932930887</v>
      </c>
      <c r="H138" s="51">
        <v>12691.216496678146</v>
      </c>
      <c r="I138" s="7">
        <v>0.0014115567543973124</v>
      </c>
      <c r="J138" s="7">
        <v>0.02677688633241946</v>
      </c>
      <c r="K138" s="51">
        <v>461270.4061925352</v>
      </c>
      <c r="L138" s="7">
        <v>0.051303935886295</v>
      </c>
      <c r="M138" s="7">
        <v>0.9732231136675806</v>
      </c>
      <c r="N138" s="52">
        <v>-0.004245927431724805</v>
      </c>
      <c r="O138" s="7">
        <v>-0.08078705948081355</v>
      </c>
      <c r="P138" s="53">
        <v>57.382780512209735</v>
      </c>
      <c r="Q138" s="35">
        <v>4529.323504364152</v>
      </c>
      <c r="R138" s="13">
        <v>4947.01692070455</v>
      </c>
      <c r="S138" s="7">
        <v>-0.037503322458145215</v>
      </c>
      <c r="T138" s="53">
        <v>271952.9654792385</v>
      </c>
      <c r="U138" s="53">
        <v>473961.6226892133</v>
      </c>
      <c r="V138" s="53">
        <v>202008.65720997483</v>
      </c>
    </row>
    <row r="139">
      <c r="A139" s="55">
        <v>45339.959971041666</v>
      </c>
      <c r="B139" s="56">
        <v>9.380009718502285</v>
      </c>
      <c r="C139" s="57">
        <v>-0.029272625811176844</v>
      </c>
      <c r="D139" s="58">
        <v>0.6900918411715828</v>
      </c>
      <c r="E139" s="50">
        <v>101.3743121479543</v>
      </c>
      <c r="F139" s="57">
        <v>-0.002136566880720725</v>
      </c>
      <c r="G139" s="58">
        <v>0.7666329732206716</v>
      </c>
      <c r="H139" s="51">
        <v>12604.550376935831</v>
      </c>
      <c r="I139" s="57">
        <v>-8.027585419516271E-4</v>
      </c>
      <c r="J139" s="57">
        <v>0.027423523503829938</v>
      </c>
      <c r="K139" s="51">
        <v>447020.9377619423</v>
      </c>
      <c r="L139" s="57">
        <v>-0.028469867269225218</v>
      </c>
      <c r="M139" s="57">
        <v>0.9725764764961701</v>
      </c>
      <c r="N139" s="59">
        <v>-0.02713605893045612</v>
      </c>
      <c r="O139" s="57">
        <v>-0.07654113204908874</v>
      </c>
      <c r="P139" s="51">
        <v>57.382780512209735</v>
      </c>
      <c r="Q139" s="35">
        <v>4533.944333630215</v>
      </c>
      <c r="R139" s="13">
        <v>4947.01692070455</v>
      </c>
      <c r="S139" s="57">
        <v>-0.03652138049445272</v>
      </c>
      <c r="T139" s="51">
        <v>271952.9654792385</v>
      </c>
      <c r="U139" s="51">
        <v>459625.4881388781</v>
      </c>
      <c r="V139" s="51">
        <v>187672.5226596396</v>
      </c>
    </row>
    <row r="140">
      <c r="A140" s="55">
        <v>45338.959975983795</v>
      </c>
      <c r="B140" s="56">
        <v>9.542472791754316</v>
      </c>
      <c r="C140" s="57">
        <v>-0.02313007365487696</v>
      </c>
      <c r="D140" s="58">
        <v>0.7193644669827597</v>
      </c>
      <c r="E140" s="50">
        <v>101.49691429632036</v>
      </c>
      <c r="F140" s="57">
        <v>-0.046389713034816316</v>
      </c>
      <c r="G140" s="58">
        <v>0.7687695401013923</v>
      </c>
      <c r="H140" s="51">
        <v>12661.166883003778</v>
      </c>
      <c r="I140" s="57">
        <v>-6.263095051030212E-4</v>
      </c>
      <c r="J140" s="57">
        <v>0.02707771338942383</v>
      </c>
      <c r="K140" s="51">
        <v>454925.0986525879</v>
      </c>
      <c r="L140" s="57">
        <v>-0.022503764149773935</v>
      </c>
      <c r="M140" s="57">
        <v>0.9729222866105761</v>
      </c>
      <c r="N140" s="59">
        <v>0.023259639379939356</v>
      </c>
      <c r="O140" s="57">
        <v>-0.049405073118632625</v>
      </c>
      <c r="P140" s="51">
        <v>57.382780512209735</v>
      </c>
      <c r="Q140" s="35">
        <v>4606.901291308946</v>
      </c>
      <c r="R140" s="13">
        <v>4947.01692070455</v>
      </c>
      <c r="S140" s="57">
        <v>-0.021017778399861582</v>
      </c>
      <c r="T140" s="51">
        <v>271952.9654792385</v>
      </c>
      <c r="U140" s="51">
        <v>467586.2655355917</v>
      </c>
      <c r="V140" s="51">
        <v>195633.3000563532</v>
      </c>
    </row>
    <row r="141">
      <c r="A141" s="55">
        <v>45337.95996944445</v>
      </c>
      <c r="B141" s="48">
        <v>9.670844700538883</v>
      </c>
      <c r="C141" s="7">
        <v>-0.08390197811225986</v>
      </c>
      <c r="D141" s="49">
        <v>0.7424945406376366</v>
      </c>
      <c r="E141" s="50">
        <v>104.15888501742161</v>
      </c>
      <c r="F141" s="17">
        <v>-0.08875013381163877</v>
      </c>
      <c r="G141" s="60">
        <v>0.8151592531362086</v>
      </c>
      <c r="H141" s="51">
        <v>12593.412897729748</v>
      </c>
      <c r="I141" s="7">
        <v>-0.0022297204540491487</v>
      </c>
      <c r="J141" s="7">
        <v>0.026575302563973034</v>
      </c>
      <c r="K141" s="51">
        <v>461283.144760059</v>
      </c>
      <c r="L141" s="7">
        <v>-0.0816722576582107</v>
      </c>
      <c r="M141" s="7">
        <v>0.973424697436027</v>
      </c>
      <c r="N141" s="52">
        <v>0.004848155699378909</v>
      </c>
      <c r="O141" s="7">
        <v>-0.07266471249857198</v>
      </c>
      <c r="P141" s="53">
        <v>57.382780512209735</v>
      </c>
      <c r="Q141" s="35">
        <v>4549.554822697345</v>
      </c>
      <c r="R141" s="13">
        <v>4947.01692070455</v>
      </c>
      <c r="S141" s="7">
        <v>-0.03320409837772175</v>
      </c>
      <c r="T141" s="53">
        <v>271952.9654792385</v>
      </c>
      <c r="U141" s="53">
        <v>473876.55765778874</v>
      </c>
      <c r="V141" s="53">
        <v>201923.59217855026</v>
      </c>
    </row>
    <row r="142">
      <c r="A142" s="55">
        <v>45336.95996157407</v>
      </c>
      <c r="B142" s="56">
        <v>10.136500679061925</v>
      </c>
      <c r="C142" s="57">
        <v>0.10606857052651941</v>
      </c>
      <c r="D142" s="58">
        <v>0.8263965187498965</v>
      </c>
      <c r="E142" s="50">
        <v>109.25161446636412</v>
      </c>
      <c r="F142" s="57">
        <v>0.08031196829664267</v>
      </c>
      <c r="G142" s="58">
        <v>0.9039093869478474</v>
      </c>
      <c r="H142" s="51">
        <v>12696.951974686024</v>
      </c>
      <c r="I142" s="57">
        <v>0.0027114232971531442</v>
      </c>
      <c r="J142" s="57">
        <v>0.025562928619606788</v>
      </c>
      <c r="K142" s="51">
        <v>483996.99744030595</v>
      </c>
      <c r="L142" s="57">
        <v>0.10335714722936627</v>
      </c>
      <c r="M142" s="57">
        <v>0.9744370713803933</v>
      </c>
      <c r="N142" s="59">
        <v>0.025756602229876746</v>
      </c>
      <c r="O142" s="57">
        <v>-0.07751286819795089</v>
      </c>
      <c r="P142" s="51">
        <v>57.382780512209735</v>
      </c>
      <c r="Q142" s="35">
        <v>4546.330521897338</v>
      </c>
      <c r="R142" s="13">
        <v>4947.01692070455</v>
      </c>
      <c r="S142" s="57">
        <v>-0.033889273283954864</v>
      </c>
      <c r="T142" s="51">
        <v>271952.9654792385</v>
      </c>
      <c r="U142" s="51">
        <v>496693.94941499195</v>
      </c>
      <c r="V142" s="51">
        <v>224740.98393575347</v>
      </c>
    </row>
    <row r="143">
      <c r="A143" s="55">
        <v>45335.959969166666</v>
      </c>
      <c r="B143" s="56">
        <v>9.547820112639743</v>
      </c>
      <c r="C143" s="57">
        <v>0.009182117080003938</v>
      </c>
      <c r="D143" s="58">
        <v>0.7203279482233771</v>
      </c>
      <c r="E143" s="50">
        <v>104.64309041709433</v>
      </c>
      <c r="F143" s="57">
        <v>0.01910297436322561</v>
      </c>
      <c r="G143" s="58">
        <v>0.8235974186512047</v>
      </c>
      <c r="H143" s="51">
        <v>12138.341040293739</v>
      </c>
      <c r="I143" s="57">
        <v>2.3823036582224522E-4</v>
      </c>
      <c r="J143" s="57">
        <v>0.02594503683045425</v>
      </c>
      <c r="K143" s="51">
        <v>455709.9460758675</v>
      </c>
      <c r="L143" s="57">
        <v>0.008943886714181693</v>
      </c>
      <c r="M143" s="57">
        <v>0.9740549631695458</v>
      </c>
      <c r="N143" s="59">
        <v>-0.009920857283221673</v>
      </c>
      <c r="O143" s="57">
        <v>-0.10326947042782764</v>
      </c>
      <c r="P143" s="51">
        <v>57.382780512209735</v>
      </c>
      <c r="Q143" s="35">
        <v>4470.895166144045</v>
      </c>
      <c r="R143" s="13">
        <v>4947.01692070455</v>
      </c>
      <c r="S143" s="57">
        <v>-0.04991954341409107</v>
      </c>
      <c r="T143" s="51">
        <v>271952.9654792385</v>
      </c>
      <c r="U143" s="51">
        <v>467848.28711616126</v>
      </c>
      <c r="V143" s="51">
        <v>195895.32163692277</v>
      </c>
    </row>
    <row r="144">
      <c r="A144" s="55">
        <v>45334.959980555555</v>
      </c>
      <c r="B144" s="56">
        <v>9.49685936284572</v>
      </c>
      <c r="C144" s="57">
        <v>0.06455019000822793</v>
      </c>
      <c r="D144" s="58">
        <v>0.7111458311433732</v>
      </c>
      <c r="E144" s="50">
        <v>103.54690863207898</v>
      </c>
      <c r="F144" s="57">
        <v>0.06604687894964956</v>
      </c>
      <c r="G144" s="58">
        <v>0.8044944442879791</v>
      </c>
      <c r="H144" s="51">
        <v>12214.611750073705</v>
      </c>
      <c r="I144" s="57">
        <v>0.0016943236374992404</v>
      </c>
      <c r="J144" s="57">
        <v>0.026248158793696387</v>
      </c>
      <c r="K144" s="51">
        <v>453136.5713968028</v>
      </c>
      <c r="L144" s="57">
        <v>0.06285586637072868</v>
      </c>
      <c r="M144" s="57">
        <v>0.9737518412063035</v>
      </c>
      <c r="N144" s="59">
        <v>-0.0014966889414216311</v>
      </c>
      <c r="O144" s="57">
        <v>-0.09334861314460596</v>
      </c>
      <c r="P144" s="51">
        <v>57.382780512209735</v>
      </c>
      <c r="Q144" s="35">
        <v>4494.109860878165</v>
      </c>
      <c r="R144" s="13">
        <v>4947.01692070455</v>
      </c>
      <c r="S144" s="57">
        <v>-0.04498634168314616</v>
      </c>
      <c r="T144" s="51">
        <v>271952.9654792385</v>
      </c>
      <c r="U144" s="51">
        <v>465351.1831468765</v>
      </c>
      <c r="V144" s="51">
        <v>193398.21766763803</v>
      </c>
    </row>
    <row r="145">
      <c r="A145" s="55">
        <v>45333.959963113426</v>
      </c>
      <c r="B145" s="56">
        <v>9.138605808300056</v>
      </c>
      <c r="C145" s="57">
        <v>-0.026444220097585402</v>
      </c>
      <c r="D145" s="58">
        <v>0.6465956411351452</v>
      </c>
      <c r="E145" s="50">
        <v>99.75695507379476</v>
      </c>
      <c r="F145" s="57">
        <v>-0.02935030837692021</v>
      </c>
      <c r="G145" s="58">
        <v>0.7384475653383296</v>
      </c>
      <c r="H145" s="51">
        <v>11711.35755410325</v>
      </c>
      <c r="I145" s="57">
        <v>-6.916035969086297E-4</v>
      </c>
      <c r="J145" s="57">
        <v>0.026153299070891464</v>
      </c>
      <c r="K145" s="51">
        <v>436085.20999778743</v>
      </c>
      <c r="L145" s="57">
        <v>-0.025752616500676773</v>
      </c>
      <c r="M145" s="57">
        <v>0.9738467009291085</v>
      </c>
      <c r="N145" s="59">
        <v>0.0029060882793348064</v>
      </c>
      <c r="O145" s="57">
        <v>-0.09185192420318433</v>
      </c>
      <c r="P145" s="51">
        <v>57.382780512209735</v>
      </c>
      <c r="Q145" s="35">
        <v>4488.875660054331</v>
      </c>
      <c r="R145" s="13">
        <v>4947.01692070455</v>
      </c>
      <c r="S145" s="57">
        <v>-0.046098627192819444</v>
      </c>
      <c r="T145" s="51">
        <v>271952.9654792385</v>
      </c>
      <c r="U145" s="51">
        <v>447796.5675518907</v>
      </c>
      <c r="V145" s="51">
        <v>175843.6020726522</v>
      </c>
    </row>
    <row r="146">
      <c r="A146" s="55">
        <v>45332.95995883102</v>
      </c>
      <c r="B146" s="56">
        <v>9.285371229841655</v>
      </c>
      <c r="C146" s="57">
        <v>0.089690777818348</v>
      </c>
      <c r="D146" s="58">
        <v>0.6730398612327306</v>
      </c>
      <c r="E146" s="50">
        <v>101.44115737735324</v>
      </c>
      <c r="F146" s="57">
        <v>0.02367621477088666</v>
      </c>
      <c r="G146" s="58">
        <v>0.7677978737152498</v>
      </c>
      <c r="H146" s="51">
        <v>11625.171119410516</v>
      </c>
      <c r="I146" s="57">
        <v>0.0022916434993797714</v>
      </c>
      <c r="J146" s="57">
        <v>0.025550491980580986</v>
      </c>
      <c r="K146" s="51">
        <v>443362.9805078042</v>
      </c>
      <c r="L146" s="57">
        <v>0.08739913431896823</v>
      </c>
      <c r="M146" s="57">
        <v>0.974449508019419</v>
      </c>
      <c r="N146" s="59">
        <v>0.06601456304746134</v>
      </c>
      <c r="O146" s="57">
        <v>-0.09475801248251914</v>
      </c>
      <c r="P146" s="51">
        <v>57.382780512209735</v>
      </c>
      <c r="Q146" s="35">
        <v>4485.242118587962</v>
      </c>
      <c r="R146" s="13">
        <v>4947.01692070455</v>
      </c>
      <c r="S146" s="57">
        <v>-0.046870767135069324</v>
      </c>
      <c r="T146" s="51">
        <v>271952.9654792385</v>
      </c>
      <c r="U146" s="51">
        <v>454988.15162721474</v>
      </c>
      <c r="V146" s="51">
        <v>183035.18614797626</v>
      </c>
    </row>
    <row r="147">
      <c r="A147" s="55">
        <v>45331.95997643519</v>
      </c>
      <c r="B147" s="56">
        <v>8.787587412949824</v>
      </c>
      <c r="C147" s="57">
        <v>0.07234754132246768</v>
      </c>
      <c r="D147" s="58">
        <v>0.5833490834143826</v>
      </c>
      <c r="E147" s="50">
        <v>100.08255034179551</v>
      </c>
      <c r="F147" s="57">
        <v>0.08396537600677445</v>
      </c>
      <c r="G147" s="58">
        <v>0.7441216589443631</v>
      </c>
      <c r="H147" s="51">
        <v>11509.289888732083</v>
      </c>
      <c r="I147" s="57">
        <v>0.0019337567006570992</v>
      </c>
      <c r="J147" s="57">
        <v>0.02672871344774459</v>
      </c>
      <c r="K147" s="51">
        <v>419087.18873464345</v>
      </c>
      <c r="L147" s="57">
        <v>0.07041378462181058</v>
      </c>
      <c r="M147" s="57">
        <v>0.9732712865522555</v>
      </c>
      <c r="N147" s="59">
        <v>-0.011617834684306771</v>
      </c>
      <c r="O147" s="57">
        <v>-0.16077257552998048</v>
      </c>
      <c r="P147" s="51">
        <v>57.382780512209735</v>
      </c>
      <c r="Q147" s="35">
        <v>4302.413129489906</v>
      </c>
      <c r="R147" s="13">
        <v>4947.01692070455</v>
      </c>
      <c r="S147" s="57">
        <v>-0.08572255027567735</v>
      </c>
      <c r="T147" s="51">
        <v>271952.9654792385</v>
      </c>
      <c r="U147" s="51">
        <v>430596.47862337553</v>
      </c>
      <c r="V147" s="51">
        <v>158643.51314413705</v>
      </c>
    </row>
    <row r="148">
      <c r="A148" s="55">
        <v>45330.959969664356</v>
      </c>
      <c r="B148" s="56">
        <v>8.386058558610127</v>
      </c>
      <c r="C148" s="57">
        <v>-0.00577552498833267</v>
      </c>
      <c r="D148" s="58">
        <v>0.511001542091915</v>
      </c>
      <c r="E148" s="50">
        <v>95.26438359977361</v>
      </c>
      <c r="F148" s="57">
        <v>0.026795624518619165</v>
      </c>
      <c r="G148" s="58">
        <v>0.6601562829375887</v>
      </c>
      <c r="H148" s="51">
        <v>11011.732762913147</v>
      </c>
      <c r="I148" s="57">
        <v>-1.5477058493961948E-4</v>
      </c>
      <c r="J148" s="57">
        <v>0.026797665191004575</v>
      </c>
      <c r="K148" s="51">
        <v>399909.61745268543</v>
      </c>
      <c r="L148" s="57">
        <v>-0.00562075440339305</v>
      </c>
      <c r="M148" s="57">
        <v>0.9732023348089954</v>
      </c>
      <c r="N148" s="59">
        <v>-0.032571149506951835</v>
      </c>
      <c r="O148" s="57">
        <v>-0.1491547408456737</v>
      </c>
      <c r="P148" s="51">
        <v>57.382780512209735</v>
      </c>
      <c r="Q148" s="35">
        <v>4313.483535903287</v>
      </c>
      <c r="R148" s="13">
        <v>4947.01692070455</v>
      </c>
      <c r="S148" s="57">
        <v>-0.08337005119239256</v>
      </c>
      <c r="T148" s="51">
        <v>271952.9654792385</v>
      </c>
      <c r="U148" s="51">
        <v>410921.3502155986</v>
      </c>
      <c r="V148" s="51">
        <v>138968.3847363601</v>
      </c>
    </row>
    <row r="149">
      <c r="A149" s="55">
        <v>45329.95995611111</v>
      </c>
      <c r="B149" s="48">
        <v>8.418112722295374</v>
      </c>
      <c r="C149" s="7">
        <v>0.07826573107575285</v>
      </c>
      <c r="D149" s="49">
        <v>0.5167770670802476</v>
      </c>
      <c r="E149" s="50">
        <v>93.72677615933411</v>
      </c>
      <c r="F149" s="7">
        <v>0.053310933925727166</v>
      </c>
      <c r="G149" s="49">
        <v>0.6333606584189695</v>
      </c>
      <c r="H149" s="51">
        <v>10769.08768502694</v>
      </c>
      <c r="I149" s="7">
        <v>0.002043313511620703</v>
      </c>
      <c r="J149" s="7">
        <v>0.02610738420935459</v>
      </c>
      <c r="K149" s="51">
        <v>401722.9336783483</v>
      </c>
      <c r="L149" s="7">
        <v>0.07622241756413216</v>
      </c>
      <c r="M149" s="7">
        <v>0.9738926157906455</v>
      </c>
      <c r="N149" s="59">
        <v>0.41287080694427547</v>
      </c>
      <c r="O149" s="57">
        <v>0.2713324184555279</v>
      </c>
      <c r="P149" s="51">
        <v>57.382780512209735</v>
      </c>
      <c r="Q149" s="54">
        <v>4401.005115786176</v>
      </c>
      <c r="R149" s="13">
        <v>4947.01692070455</v>
      </c>
      <c r="S149" s="7">
        <v>-0.0647714172530575</v>
      </c>
      <c r="T149" s="53">
        <v>271952.9654792385</v>
      </c>
      <c r="U149" s="53">
        <v>412492.02136337524</v>
      </c>
      <c r="V149" s="53">
        <v>140539.05588413676</v>
      </c>
    </row>
    <row r="150">
      <c r="A150" s="55">
        <v>45328.95997328704</v>
      </c>
      <c r="B150" s="56">
        <v>7.983737914824946</v>
      </c>
      <c r="C150" s="57">
        <v>0.03896715209632351</v>
      </c>
      <c r="D150" s="58">
        <v>0.43851133600449477</v>
      </c>
      <c r="E150" s="50">
        <v>90.66764653897319</v>
      </c>
      <c r="F150" s="57">
        <v>0.043815217977850596</v>
      </c>
      <c r="G150" s="58">
        <v>0.5800497244932423</v>
      </c>
      <c r="H150" s="51">
        <v>10547.981210027703</v>
      </c>
      <c r="I150" s="57">
        <v>0.0010506569232016621</v>
      </c>
      <c r="J150" s="57">
        <v>0.02696263048950888</v>
      </c>
      <c r="K150" s="51">
        <v>380659.44249189587</v>
      </c>
      <c r="L150" s="57">
        <v>0.037916495173121845</v>
      </c>
      <c r="M150" s="57">
        <v>0.9730373695104911</v>
      </c>
      <c r="N150" s="59">
        <v>-0.004848065881527086</v>
      </c>
      <c r="O150" s="57">
        <v>-0.14153838848874756</v>
      </c>
      <c r="P150" s="51">
        <v>57.382780512209735</v>
      </c>
      <c r="Q150" s="35">
        <v>4314.741130219635</v>
      </c>
      <c r="R150" s="13">
        <v>4947.01692070455</v>
      </c>
      <c r="S150" s="57">
        <v>-0.08310280811513952</v>
      </c>
      <c r="T150" s="51">
        <v>271952.9654792385</v>
      </c>
      <c r="U150" s="51">
        <v>391207.4237019236</v>
      </c>
      <c r="V150" s="51">
        <v>119254.45822268509</v>
      </c>
    </row>
    <row r="151">
      <c r="A151" s="55">
        <v>45327.959965752314</v>
      </c>
      <c r="B151" s="56">
        <v>7.76747022069035</v>
      </c>
      <c r="C151" s="57">
        <v>0.0011816042586212383</v>
      </c>
      <c r="D151" s="58">
        <v>0.39954418390817126</v>
      </c>
      <c r="E151" s="50">
        <v>88.15340750265555</v>
      </c>
      <c r="F151" s="57">
        <v>-0.0019786813320255003</v>
      </c>
      <c r="G151" s="58">
        <v>0.5362345065153917</v>
      </c>
      <c r="H151" s="51">
        <v>10372.408896819776</v>
      </c>
      <c r="I151" s="57">
        <v>3.2201141246790135E-5</v>
      </c>
      <c r="J151" s="57">
        <v>0.027252052463287685</v>
      </c>
      <c r="K151" s="51">
        <v>370237.7822362281</v>
      </c>
      <c r="L151" s="57">
        <v>0.001149403117374448</v>
      </c>
      <c r="M151" s="57">
        <v>0.9727479475367122</v>
      </c>
      <c r="N151" s="59">
        <v>0.0031602855906467386</v>
      </c>
      <c r="O151" s="57">
        <v>-0.13669032260722047</v>
      </c>
      <c r="P151" s="51">
        <v>57.382780512209735</v>
      </c>
      <c r="Q151" s="35">
        <v>4317.58909741047</v>
      </c>
      <c r="R151" s="13">
        <v>4947.01692070455</v>
      </c>
      <c r="S151" s="57">
        <v>-0.0824976053831454</v>
      </c>
      <c r="T151" s="51">
        <v>271952.9654792385</v>
      </c>
      <c r="U151" s="51">
        <v>380610.1911330479</v>
      </c>
      <c r="V151" s="51">
        <v>108657.22565380944</v>
      </c>
    </row>
    <row r="152">
      <c r="A152" s="55">
        <v>45326.959964803245</v>
      </c>
      <c r="B152" s="56">
        <v>7.760912317055002</v>
      </c>
      <c r="C152" s="57">
        <v>-0.05419274564435095</v>
      </c>
      <c r="D152" s="58">
        <v>0.39836257964955</v>
      </c>
      <c r="E152" s="50">
        <v>88.26694973923479</v>
      </c>
      <c r="F152" s="57">
        <v>-0.04173469930889251</v>
      </c>
      <c r="G152" s="58">
        <v>0.5382131878474172</v>
      </c>
      <c r="H152" s="51">
        <v>10310.037782958307</v>
      </c>
      <c r="I152" s="57">
        <v>-0.0014692233407315712</v>
      </c>
      <c r="J152" s="57">
        <v>0.027111070370444003</v>
      </c>
      <c r="K152" s="51">
        <v>369978.8125679346</v>
      </c>
      <c r="L152" s="57">
        <v>-0.052723522303619375</v>
      </c>
      <c r="M152" s="57">
        <v>0.972888929629556</v>
      </c>
      <c r="N152" s="59">
        <v>-0.01245804633545844</v>
      </c>
      <c r="O152" s="57">
        <v>-0.1398506081978672</v>
      </c>
      <c r="P152" s="51">
        <v>57.382780512209735</v>
      </c>
      <c r="Q152" s="35">
        <v>4308.394608337236</v>
      </c>
      <c r="R152" s="13">
        <v>4947.01692070455</v>
      </c>
      <c r="S152" s="57">
        <v>-0.08445146563979422</v>
      </c>
      <c r="T152" s="51">
        <v>271952.9654792385</v>
      </c>
      <c r="U152" s="51">
        <v>380288.8503508929</v>
      </c>
      <c r="V152" s="51">
        <v>108335.88487165445</v>
      </c>
    </row>
    <row r="153">
      <c r="A153" s="55">
        <v>45325.959973715275</v>
      </c>
      <c r="B153" s="56">
        <v>8.06168205538115</v>
      </c>
      <c r="C153" s="57">
        <v>-0.050444298991416</v>
      </c>
      <c r="D153" s="58">
        <v>0.45255532529390097</v>
      </c>
      <c r="E153" s="50">
        <v>90.66180282942004</v>
      </c>
      <c r="F153" s="57">
        <v>-0.03860274662869312</v>
      </c>
      <c r="G153" s="58">
        <v>0.5799478871563097</v>
      </c>
      <c r="H153" s="51">
        <v>10457.062324900491</v>
      </c>
      <c r="I153" s="57">
        <v>-0.0013353505998043766</v>
      </c>
      <c r="J153" s="57">
        <v>0.026471784255176396</v>
      </c>
      <c r="K153" s="51">
        <v>384569.6659114358</v>
      </c>
      <c r="L153" s="57">
        <v>-0.049108948391611625</v>
      </c>
      <c r="M153" s="57">
        <v>0.9735282157448236</v>
      </c>
      <c r="N153" s="59">
        <v>-0.011841552362722885</v>
      </c>
      <c r="O153" s="57">
        <v>-0.12739256186240877</v>
      </c>
      <c r="P153" s="51">
        <v>57.382780512209735</v>
      </c>
      <c r="Q153" s="35">
        <v>4357.146184039359</v>
      </c>
      <c r="R153" s="13">
        <v>4947.01692070455</v>
      </c>
      <c r="S153" s="57">
        <v>-0.07409158969076754</v>
      </c>
      <c r="T153" s="51">
        <v>271952.9654792385</v>
      </c>
      <c r="U153" s="51">
        <v>395026.72823633626</v>
      </c>
      <c r="V153" s="51">
        <v>123073.76275709778</v>
      </c>
    </row>
    <row r="154">
      <c r="A154" s="55">
        <v>45324.95996763889</v>
      </c>
      <c r="B154" s="56">
        <v>8.34164791478351</v>
      </c>
      <c r="C154" s="57">
        <v>0.007866679560159184</v>
      </c>
      <c r="D154" s="58">
        <v>0.502999624285317</v>
      </c>
      <c r="E154" s="50">
        <v>92.87693576638277</v>
      </c>
      <c r="F154" s="57">
        <v>0.05996217523215486</v>
      </c>
      <c r="G154" s="58">
        <v>0.6185506337850029</v>
      </c>
      <c r="H154" s="51">
        <v>10488.178399432232</v>
      </c>
      <c r="I154" s="57">
        <v>2.0185469490832528E-4</v>
      </c>
      <c r="J154" s="57">
        <v>0.025659453059537193</v>
      </c>
      <c r="K154" s="51">
        <v>398257.0265391411</v>
      </c>
      <c r="L154" s="57">
        <v>0.007664824865250859</v>
      </c>
      <c r="M154" s="57">
        <v>0.9743405469404628</v>
      </c>
      <c r="N154" s="59">
        <v>-0.05209549567199567</v>
      </c>
      <c r="O154" s="57">
        <v>-0.11555100949968589</v>
      </c>
      <c r="P154" s="51">
        <v>57.382780512209735</v>
      </c>
      <c r="Q154" s="35">
        <v>4400.933359458662</v>
      </c>
      <c r="R154" s="13">
        <v>4947.01692070455</v>
      </c>
      <c r="S154" s="57">
        <v>-0.06478666571715112</v>
      </c>
      <c r="T154" s="51">
        <v>271952.9654792385</v>
      </c>
      <c r="U154" s="51">
        <v>408745.2049385733</v>
      </c>
      <c r="V154" s="51">
        <v>136792.2394593348</v>
      </c>
    </row>
    <row r="155">
      <c r="A155" s="55">
        <v>45323.95997251157</v>
      </c>
      <c r="B155" s="56">
        <v>8.297987843224625</v>
      </c>
      <c r="C155" s="7">
        <v>3.5826549701889476E-4</v>
      </c>
      <c r="D155" s="49">
        <v>0.4951329447251578</v>
      </c>
      <c r="E155" s="50">
        <v>89.43613942600138</v>
      </c>
      <c r="F155" s="7">
        <v>0.02786092694463216</v>
      </c>
      <c r="G155" s="49">
        <v>0.558588458552848</v>
      </c>
      <c r="H155" s="51">
        <v>8907.985986721009</v>
      </c>
      <c r="I155" s="57">
        <v>-0.007246460261992642</v>
      </c>
      <c r="J155" s="57">
        <v>0.021908160562241725</v>
      </c>
      <c r="K155" s="51">
        <v>397697.852116992</v>
      </c>
      <c r="L155" s="7">
        <v>3.504165589862935E-4</v>
      </c>
      <c r="M155" s="7">
        <v>0.9780918394377582</v>
      </c>
      <c r="N155" s="52">
        <v>-0.027502661447613264</v>
      </c>
      <c r="O155" s="7">
        <v>-0.06345551382769021</v>
      </c>
      <c r="P155" s="51">
        <v>57.382780512209735</v>
      </c>
      <c r="Q155" s="35">
        <v>4546.325911575543</v>
      </c>
      <c r="R155" s="13">
        <v>4931.540019551689</v>
      </c>
      <c r="S155" s="57">
        <v>-0.03389025299304527</v>
      </c>
      <c r="T155" s="51">
        <v>271952.9654792385</v>
      </c>
      <c r="U155" s="51">
        <v>406605.838103713</v>
      </c>
      <c r="V155" s="51">
        <v>134652.87262447452</v>
      </c>
    </row>
    <row r="156">
      <c r="A156" s="55">
        <v>45322.95998472223</v>
      </c>
      <c r="B156" s="48">
        <v>8.29599946971617</v>
      </c>
      <c r="C156" s="7">
        <v>0.1115812202879447</v>
      </c>
      <c r="D156" s="49">
        <v>0.4947746792281389</v>
      </c>
      <c r="E156" s="50">
        <v>87.83740197027083</v>
      </c>
      <c r="F156" s="7">
        <v>-0.1312427085086454</v>
      </c>
      <c r="G156" s="49">
        <v>0.5307275316082158</v>
      </c>
      <c r="H156" s="51">
        <v>8810.554622377842</v>
      </c>
      <c r="I156" s="7">
        <v>0.0024183815632841626</v>
      </c>
      <c r="J156" s="7">
        <v>0.021673732883036465</v>
      </c>
      <c r="K156" s="51">
        <v>397697.852116992</v>
      </c>
      <c r="L156" s="7">
        <v>0.10916283872466054</v>
      </c>
      <c r="M156" s="7">
        <v>0.9783262671169635</v>
      </c>
      <c r="N156" s="52">
        <v>0.2428239287965901</v>
      </c>
      <c r="O156" s="7">
        <v>-0.03595285238007695</v>
      </c>
      <c r="P156" s="53">
        <v>57.382780512209735</v>
      </c>
      <c r="Q156" s="54">
        <v>4627.96482615635</v>
      </c>
      <c r="R156" s="13">
        <v>4931.540019551689</v>
      </c>
      <c r="S156" s="7">
        <v>-0.01654170547453872</v>
      </c>
      <c r="T156" s="53">
        <v>271952.9654792385</v>
      </c>
      <c r="U156" s="53">
        <v>406508.40673936985</v>
      </c>
      <c r="V156" s="53">
        <v>134555.44126013137</v>
      </c>
    </row>
    <row r="157">
      <c r="A157" s="55">
        <v>45321.95997894676</v>
      </c>
      <c r="B157" s="56">
        <v>7.676723697118078</v>
      </c>
      <c r="C157" s="57">
        <v>0.04877102226824537</v>
      </c>
      <c r="D157" s="58">
        <v>0.3831934589401942</v>
      </c>
      <c r="E157" s="50">
        <v>95.36847350645036</v>
      </c>
      <c r="F157" s="57">
        <v>0.04413553220987043</v>
      </c>
      <c r="G157" s="58">
        <v>0.6619702401168612</v>
      </c>
      <c r="H157" s="51">
        <v>9014.756170816427</v>
      </c>
      <c r="I157" s="57">
        <v>0.0011687970797986658</v>
      </c>
      <c r="J157" s="57">
        <v>0.023964990386507956</v>
      </c>
      <c r="K157" s="51">
        <v>367148.80681945465</v>
      </c>
      <c r="L157" s="57">
        <v>0.0476022251884467</v>
      </c>
      <c r="M157" s="57">
        <v>0.976035009613492</v>
      </c>
      <c r="N157" s="59">
        <v>0.004635490058374936</v>
      </c>
      <c r="O157" s="57">
        <v>-0.27877678117666704</v>
      </c>
      <c r="P157" s="51">
        <v>57.382780512209735</v>
      </c>
      <c r="Q157" s="35">
        <v>3944.317751555799</v>
      </c>
      <c r="R157" s="13">
        <v>4931.540019551689</v>
      </c>
      <c r="S157" s="57">
        <v>-0.16181903823300173</v>
      </c>
      <c r="T157" s="51">
        <v>271952.9654792385</v>
      </c>
      <c r="U157" s="51">
        <v>376163.5629902711</v>
      </c>
      <c r="V157" s="51">
        <v>104210.5975110326</v>
      </c>
    </row>
    <row r="158">
      <c r="A158" s="55">
        <v>45320.95997030093</v>
      </c>
      <c r="B158" s="56">
        <v>7.4060445235293155</v>
      </c>
      <c r="C158" s="57">
        <v>0.09496447375994976</v>
      </c>
      <c r="D158" s="58">
        <v>0.3344224366719488</v>
      </c>
      <c r="E158" s="50">
        <v>92.8358539488618</v>
      </c>
      <c r="F158" s="57">
        <v>0.09588924561301893</v>
      </c>
      <c r="G158" s="58">
        <v>0.6178347079069908</v>
      </c>
      <c r="H158" s="51">
        <v>8957.405722759395</v>
      </c>
      <c r="I158" s="57">
        <v>0.002343992822378508</v>
      </c>
      <c r="J158" s="57">
        <v>0.024682839061517147</v>
      </c>
      <c r="K158" s="51">
        <v>353942.7331322084</v>
      </c>
      <c r="L158" s="57">
        <v>0.09262048093757126</v>
      </c>
      <c r="M158" s="57">
        <v>0.9753171609384829</v>
      </c>
      <c r="N158" s="59">
        <v>-9.247718530691618E-4</v>
      </c>
      <c r="O158" s="57">
        <v>-0.283412271235042</v>
      </c>
      <c r="P158" s="51">
        <v>57.382780512209735</v>
      </c>
      <c r="Q158" s="35">
        <v>3909.0515508681556</v>
      </c>
      <c r="R158" s="13">
        <v>4931.540019551689</v>
      </c>
      <c r="S158" s="57">
        <v>-0.16931322604243404</v>
      </c>
      <c r="T158" s="51">
        <v>271952.9654792385</v>
      </c>
      <c r="U158" s="51">
        <v>362900.1388549678</v>
      </c>
      <c r="V158" s="51">
        <v>90947.1733757293</v>
      </c>
    </row>
    <row r="159">
      <c r="A159" s="55">
        <v>45319.95997635416</v>
      </c>
      <c r="B159" s="56">
        <v>6.878991694161595</v>
      </c>
      <c r="C159" s="57">
        <v>0.013058286980032419</v>
      </c>
      <c r="D159" s="58">
        <v>0.23945796291199906</v>
      </c>
      <c r="E159" s="50">
        <v>87.33346241436857</v>
      </c>
      <c r="F159" s="57">
        <v>0.018686116217585536</v>
      </c>
      <c r="G159" s="58">
        <v>0.5219454622939719</v>
      </c>
      <c r="H159" s="51">
        <v>8677.766039964512</v>
      </c>
      <c r="I159" s="57">
        <v>3.36177423942279E-4</v>
      </c>
      <c r="J159" s="57">
        <v>0.025744374009878317</v>
      </c>
      <c r="K159" s="51">
        <v>328396.5025608096</v>
      </c>
      <c r="L159" s="57">
        <v>0.01272210955609014</v>
      </c>
      <c r="M159" s="57">
        <v>0.9742556259901217</v>
      </c>
      <c r="N159" s="59">
        <v>-0.005627829237553117</v>
      </c>
      <c r="O159" s="57">
        <v>-0.2824874993819728</v>
      </c>
      <c r="P159" s="51">
        <v>57.382780512209735</v>
      </c>
      <c r="Q159" s="35">
        <v>3859.6233251519047</v>
      </c>
      <c r="R159" s="13">
        <v>4931.540019551689</v>
      </c>
      <c r="S159" s="57">
        <v>-0.17981689242502755</v>
      </c>
      <c r="T159" s="51">
        <v>271952.9654792385</v>
      </c>
      <c r="U159" s="51">
        <v>337074.2686007741</v>
      </c>
      <c r="V159" s="51">
        <v>65121.30312153563</v>
      </c>
    </row>
    <row r="160">
      <c r="A160" s="55">
        <v>45318.95996543982</v>
      </c>
      <c r="B160" s="56">
        <v>6.806518201422414</v>
      </c>
      <c r="C160" s="57">
        <v>0.043204636256486406</v>
      </c>
      <c r="D160" s="58">
        <v>0.22639967593196664</v>
      </c>
      <c r="E160" s="50">
        <v>86.26120110882921</v>
      </c>
      <c r="F160" s="57">
        <v>0.037633098532087406</v>
      </c>
      <c r="G160" s="58">
        <v>0.5032593460763863</v>
      </c>
      <c r="H160" s="51">
        <v>8729.665164347376</v>
      </c>
      <c r="I160" s="57">
        <v>0.0011308424773543216</v>
      </c>
      <c r="J160" s="57">
        <v>0.026174100173903113</v>
      </c>
      <c r="K160" s="51">
        <v>324793.36356812797</v>
      </c>
      <c r="L160" s="57">
        <v>0.04207379377913208</v>
      </c>
      <c r="M160" s="57">
        <v>0.9738258998260968</v>
      </c>
      <c r="N160" s="59">
        <v>0.0055715377243990005</v>
      </c>
      <c r="O160" s="57">
        <v>-0.2768596701444197</v>
      </c>
      <c r="P160" s="51">
        <v>57.382780512209735</v>
      </c>
      <c r="Q160" s="35">
        <v>3866.43154100874</v>
      </c>
      <c r="R160" s="13">
        <v>4931.540019551689</v>
      </c>
      <c r="S160" s="57">
        <v>-0.17837012335766506</v>
      </c>
      <c r="T160" s="51">
        <v>271952.9654792385</v>
      </c>
      <c r="U160" s="51">
        <v>333523.02873247536</v>
      </c>
      <c r="V160" s="51">
        <v>61570.063253236876</v>
      </c>
    </row>
    <row r="161">
      <c r="A161" s="55">
        <v>45317.959961597226</v>
      </c>
      <c r="B161" s="56">
        <v>6.566732470198915</v>
      </c>
      <c r="C161" s="57">
        <v>0.06153588672851318</v>
      </c>
      <c r="D161" s="58">
        <v>0.18319503967548023</v>
      </c>
      <c r="E161" s="50">
        <v>84.10170927576807</v>
      </c>
      <c r="F161" s="57">
        <v>0.0630400891454106</v>
      </c>
      <c r="G161" s="58">
        <v>0.46562624754429893</v>
      </c>
      <c r="H161" s="51">
        <v>8618.647958596763</v>
      </c>
      <c r="I161" s="57">
        <v>0.001648228675507774</v>
      </c>
      <c r="J161" s="57">
        <v>0.026784836672290174</v>
      </c>
      <c r="K161" s="51">
        <v>313154.75182147534</v>
      </c>
      <c r="L161" s="57">
        <v>0.05988765805300541</v>
      </c>
      <c r="M161" s="57">
        <v>0.9732151633277099</v>
      </c>
      <c r="N161" s="59">
        <v>-0.0015042024168974155</v>
      </c>
      <c r="O161" s="57">
        <v>-0.2824312078688187</v>
      </c>
      <c r="P161" s="51">
        <v>57.382780512209735</v>
      </c>
      <c r="Q161" s="35">
        <v>3826.003092576663</v>
      </c>
      <c r="R161" s="13">
        <v>4931.540019551689</v>
      </c>
      <c r="S161" s="57">
        <v>-0.18696130640223077</v>
      </c>
      <c r="T161" s="51">
        <v>271952.9654792385</v>
      </c>
      <c r="U161" s="51">
        <v>321773.3997800721</v>
      </c>
      <c r="V161" s="51">
        <v>49820.434300833615</v>
      </c>
    </row>
    <row r="162">
      <c r="A162" s="55">
        <v>45316.959966678245</v>
      </c>
      <c r="B162" s="56">
        <v>6.225208298855667</v>
      </c>
      <c r="C162" s="57">
        <v>0.00421424922898761</v>
      </c>
      <c r="D162" s="58">
        <v>0.12165915294696705</v>
      </c>
      <c r="E162" s="50">
        <v>80.48429367686684</v>
      </c>
      <c r="F162" s="57">
        <v>0.0026711487688149127</v>
      </c>
      <c r="G162" s="58">
        <v>0.40258615839888834</v>
      </c>
      <c r="H162" s="51">
        <v>8296.490297829407</v>
      </c>
      <c r="I162" s="57">
        <v>1.14619872802412E-4</v>
      </c>
      <c r="J162" s="57">
        <v>0.027198171388156642</v>
      </c>
      <c r="K162" s="51">
        <v>296742.04260302905</v>
      </c>
      <c r="L162" s="57">
        <v>0.004099629356185198</v>
      </c>
      <c r="M162" s="57">
        <v>0.9728018286118434</v>
      </c>
      <c r="N162" s="59">
        <v>0.0015431004601726972</v>
      </c>
      <c r="O162" s="57">
        <v>-0.2809270054519213</v>
      </c>
      <c r="P162" s="51">
        <v>57.382780512209735</v>
      </c>
      <c r="Q162" s="35">
        <v>3790.038018169674</v>
      </c>
      <c r="R162" s="13">
        <v>4931.540019551689</v>
      </c>
      <c r="S162" s="57">
        <v>-0.19460400725831198</v>
      </c>
      <c r="T162" s="51">
        <v>271952.9654792385</v>
      </c>
      <c r="U162" s="51">
        <v>305038.53290085844</v>
      </c>
      <c r="V162" s="51">
        <v>33085.567421619955</v>
      </c>
    </row>
    <row r="163">
      <c r="A163" s="55">
        <v>45315.959976388884</v>
      </c>
      <c r="B163" s="56">
        <v>6.201819215634786</v>
      </c>
      <c r="C163" s="57">
        <v>0.06918447880636447</v>
      </c>
      <c r="D163" s="58">
        <v>0.11744490371797944</v>
      </c>
      <c r="E163" s="50">
        <v>80.33101573335048</v>
      </c>
      <c r="F163" s="57">
        <v>0.07421027173939865</v>
      </c>
      <c r="G163" s="58">
        <v>0.3999150096300734</v>
      </c>
      <c r="H163" s="51">
        <v>8261.954037003417</v>
      </c>
      <c r="I163" s="57">
        <v>0.0018809252219160152</v>
      </c>
      <c r="J163" s="57">
        <v>0.02718709823890418</v>
      </c>
      <c r="K163" s="51">
        <v>295630.50128876325</v>
      </c>
      <c r="L163" s="57">
        <v>0.06730355358444846</v>
      </c>
      <c r="M163" s="57">
        <v>0.9728129017610959</v>
      </c>
      <c r="N163" s="59">
        <v>-0.005025792933034179</v>
      </c>
      <c r="O163" s="57">
        <v>-0.282470105912094</v>
      </c>
      <c r="P163" s="51">
        <v>57.382780512209735</v>
      </c>
      <c r="Q163" s="35">
        <v>3783.002773604936</v>
      </c>
      <c r="R163" s="13">
        <v>4931.540019551689</v>
      </c>
      <c r="S163" s="57">
        <v>-0.19609902069966373</v>
      </c>
      <c r="T163" s="51">
        <v>271952.9654792385</v>
      </c>
      <c r="U163" s="51">
        <v>303892.45532576664</v>
      </c>
      <c r="V163" s="51">
        <v>31939.48984652816</v>
      </c>
    </row>
    <row r="164">
      <c r="A164" s="55">
        <v>45314.95996881944</v>
      </c>
      <c r="B164" s="56">
        <v>5.817845358259463</v>
      </c>
      <c r="C164" s="57">
        <v>-0.011834997369033706</v>
      </c>
      <c r="D164" s="58">
        <v>0.048260424911614974</v>
      </c>
      <c r="E164" s="50">
        <v>76.07262399837713</v>
      </c>
      <c r="F164" s="57">
        <v>-0.01806071788432284</v>
      </c>
      <c r="G164" s="58">
        <v>0.3257047378906748</v>
      </c>
      <c r="H164" s="51">
        <v>8200.746969488911</v>
      </c>
      <c r="I164" s="57">
        <v>-3.404541158215761E-4</v>
      </c>
      <c r="J164" s="57">
        <v>0.02876672509555219</v>
      </c>
      <c r="K164" s="51">
        <v>276876.78417975135</v>
      </c>
      <c r="L164" s="57">
        <v>-0.01149454325321213</v>
      </c>
      <c r="M164" s="57">
        <v>0.9712332749044478</v>
      </c>
      <c r="N164" s="59">
        <v>0.006225720515289135</v>
      </c>
      <c r="O164" s="57">
        <v>-0.2774443129790598</v>
      </c>
      <c r="P164" s="51">
        <v>57.382780512209735</v>
      </c>
      <c r="Q164" s="35">
        <v>3747.4391728004794</v>
      </c>
      <c r="R164" s="13">
        <v>4931.540019551689</v>
      </c>
      <c r="S164" s="57">
        <v>-0.20365640704725688</v>
      </c>
      <c r="T164" s="51">
        <v>271952.9654792385</v>
      </c>
      <c r="U164" s="51">
        <v>285077.53114924027</v>
      </c>
      <c r="V164" s="51">
        <v>13124.565670001786</v>
      </c>
    </row>
    <row r="165">
      <c r="A165" s="55">
        <v>45313.9599990625</v>
      </c>
      <c r="B165" s="56">
        <v>5.8835295936576</v>
      </c>
      <c r="C165" s="57">
        <v>-0.11239887388709224</v>
      </c>
      <c r="D165" s="58">
        <v>0.06009542228064868</v>
      </c>
      <c r="E165" s="50">
        <v>77.10899820862616</v>
      </c>
      <c r="F165" s="57">
        <v>-0.11906637569222744</v>
      </c>
      <c r="G165" s="58">
        <v>0.3437654557749976</v>
      </c>
      <c r="H165" s="51">
        <v>8245.562843072537</v>
      </c>
      <c r="I165" s="57">
        <v>-0.003214722634546823</v>
      </c>
      <c r="J165" s="57">
        <v>0.028601021730663423</v>
      </c>
      <c r="K165" s="51">
        <v>280050.5309371155</v>
      </c>
      <c r="L165" s="57">
        <v>-0.10918415125254542</v>
      </c>
      <c r="M165" s="57">
        <v>0.9713989782693366</v>
      </c>
      <c r="N165" s="59">
        <v>0.006667501805135201</v>
      </c>
      <c r="O165" s="57">
        <v>-0.28367003349434894</v>
      </c>
      <c r="P165" s="51">
        <v>57.382780512209735</v>
      </c>
      <c r="Q165" s="35">
        <v>3738.8125961664537</v>
      </c>
      <c r="R165" s="13">
        <v>4931.540019551689</v>
      </c>
      <c r="S165" s="57">
        <v>-0.2054895839755133</v>
      </c>
      <c r="T165" s="51">
        <v>271952.9654792385</v>
      </c>
      <c r="U165" s="51">
        <v>288296.093780188</v>
      </c>
      <c r="V165" s="51">
        <v>16343.128300949524</v>
      </c>
    </row>
    <row r="166">
      <c r="A166" s="55">
        <v>45312.95995819445</v>
      </c>
      <c r="B166" s="56">
        <v>6.507343343730962</v>
      </c>
      <c r="C166" s="57">
        <v>-0.12264783151837788</v>
      </c>
      <c r="D166" s="58">
        <v>0.17249429616774092</v>
      </c>
      <c r="E166" s="50">
        <v>83.94135791135756</v>
      </c>
      <c r="F166" s="57">
        <v>-0.02344836871440603</v>
      </c>
      <c r="G166" s="58">
        <v>0.46283183146722506</v>
      </c>
      <c r="H166" s="51">
        <v>8592.579334331895</v>
      </c>
      <c r="I166" s="57">
        <v>-0.003305056491904563</v>
      </c>
      <c r="J166" s="57">
        <v>0.026947533038195824</v>
      </c>
      <c r="K166" s="51">
        <v>310270.72151597776</v>
      </c>
      <c r="L166" s="57">
        <v>-0.11934277502647331</v>
      </c>
      <c r="M166" s="57">
        <v>0.9730524669618041</v>
      </c>
      <c r="N166" s="59">
        <v>-0.09919946280397185</v>
      </c>
      <c r="O166" s="57">
        <v>-0.29033753529948414</v>
      </c>
      <c r="P166" s="51">
        <v>57.382780512209735</v>
      </c>
      <c r="Q166" s="35">
        <v>3798.643586240655</v>
      </c>
      <c r="R166" s="13">
        <v>4931.540019551689</v>
      </c>
      <c r="S166" s="57">
        <v>-0.1927752947212855</v>
      </c>
      <c r="T166" s="51">
        <v>271952.9654792385</v>
      </c>
      <c r="U166" s="51">
        <v>318863.30085030966</v>
      </c>
      <c r="V166" s="51">
        <v>46910.33537107118</v>
      </c>
    </row>
    <row r="167">
      <c r="A167" s="55">
        <v>45311.95995650463</v>
      </c>
      <c r="B167" s="56">
        <v>7.188038808657959</v>
      </c>
      <c r="C167" s="57">
        <v>0.09477789402929182</v>
      </c>
      <c r="D167" s="58">
        <v>0.2951421276861188</v>
      </c>
      <c r="E167" s="50">
        <v>85.28689050666569</v>
      </c>
      <c r="F167" s="57">
        <v>-0.008321516843452281</v>
      </c>
      <c r="G167" s="58">
        <v>0.4862802001816311</v>
      </c>
      <c r="H167" s="51">
        <v>8613.764146448506</v>
      </c>
      <c r="I167" s="57">
        <v>0.0023178685435847534</v>
      </c>
      <c r="J167" s="57">
        <v>0.02445579285469667</v>
      </c>
      <c r="K167" s="51">
        <v>343603.97819488205</v>
      </c>
      <c r="L167" s="57">
        <v>0.09246002548570707</v>
      </c>
      <c r="M167" s="57">
        <v>0.9755442071453033</v>
      </c>
      <c r="N167" s="59">
        <v>0.1030994108727441</v>
      </c>
      <c r="O167" s="57">
        <v>-0.1911380724955123</v>
      </c>
      <c r="P167" s="51">
        <v>57.382780512209735</v>
      </c>
      <c r="Q167" s="35">
        <v>4129.799319085301</v>
      </c>
      <c r="R167" s="13">
        <v>4931.540019551689</v>
      </c>
      <c r="S167" s="57">
        <v>-0.12240357313752202</v>
      </c>
      <c r="T167" s="51">
        <v>271952.9654792385</v>
      </c>
      <c r="U167" s="51">
        <v>352217.74234133057</v>
      </c>
      <c r="V167" s="51">
        <v>80264.77686209208</v>
      </c>
    </row>
    <row r="168">
      <c r="A168" s="55">
        <v>45310.959958680556</v>
      </c>
      <c r="B168" s="56">
        <v>6.66202149679539</v>
      </c>
      <c r="C168" s="57">
        <v>-0.01981205695528998</v>
      </c>
      <c r="D168" s="58">
        <v>0.20036423365682698</v>
      </c>
      <c r="E168" s="50">
        <v>85.76440228122216</v>
      </c>
      <c r="F168" s="57">
        <v>-0.021598938328959205</v>
      </c>
      <c r="G168" s="58">
        <v>0.4946017170250834</v>
      </c>
      <c r="H168" s="51">
        <v>8608.217117636188</v>
      </c>
      <c r="I168" s="57">
        <v>-5.224394151601071E-4</v>
      </c>
      <c r="J168" s="57">
        <v>0.02636977151535048</v>
      </c>
      <c r="K168" s="51">
        <v>317834.3958805514</v>
      </c>
      <c r="L168" s="57">
        <v>-0.019289617540129873</v>
      </c>
      <c r="M168" s="57">
        <v>0.9736302284846495</v>
      </c>
      <c r="N168" s="59">
        <v>0.0017868813736692246</v>
      </c>
      <c r="O168" s="57">
        <v>-0.2942374833682564</v>
      </c>
      <c r="P168" s="51">
        <v>57.382780512209735</v>
      </c>
      <c r="Q168" s="35">
        <v>3806.271650186282</v>
      </c>
      <c r="R168" s="13">
        <v>4931.540019551689</v>
      </c>
      <c r="S168" s="57">
        <v>-0.19115430514156825</v>
      </c>
      <c r="T168" s="51">
        <v>271952.9654792385</v>
      </c>
      <c r="U168" s="51">
        <v>326442.6129981876</v>
      </c>
      <c r="V168" s="51">
        <v>54489.64751894912</v>
      </c>
    </row>
    <row r="169">
      <c r="A169" s="55">
        <v>45309.95996952546</v>
      </c>
      <c r="B169" s="56">
        <v>6.771978412897249</v>
      </c>
      <c r="C169" s="57">
        <v>-0.09559516280529445</v>
      </c>
      <c r="D169" s="58">
        <v>0.22017629061211696</v>
      </c>
      <c r="E169" s="50">
        <v>87.00380941864958</v>
      </c>
      <c r="F169" s="57">
        <v>-0.10153907495815528</v>
      </c>
      <c r="G169" s="58">
        <v>0.5162006553540426</v>
      </c>
      <c r="H169" s="51">
        <v>8557.883664460827</v>
      </c>
      <c r="I169" s="57">
        <v>-0.002465391616120216</v>
      </c>
      <c r="J169" s="57">
        <v>0.025789920156751616</v>
      </c>
      <c r="K169" s="51">
        <v>323272.6769749615</v>
      </c>
      <c r="L169" s="57">
        <v>-0.09312977118917423</v>
      </c>
      <c r="M169" s="57">
        <v>0.9742100798432483</v>
      </c>
      <c r="N169" s="59">
        <v>0.005943912152860831</v>
      </c>
      <c r="O169" s="57">
        <v>-0.2960243647419256</v>
      </c>
      <c r="P169" s="51">
        <v>57.382780512209735</v>
      </c>
      <c r="Q169" s="35">
        <v>3813.977374745769</v>
      </c>
      <c r="R169" s="13">
        <v>4931.540019551689</v>
      </c>
      <c r="S169" s="57">
        <v>-0.18951681241679103</v>
      </c>
      <c r="T169" s="51">
        <v>271952.9654792385</v>
      </c>
      <c r="U169" s="51">
        <v>331830.5606394223</v>
      </c>
      <c r="V169" s="51">
        <v>59877.595160183846</v>
      </c>
    </row>
    <row r="170">
      <c r="A170" s="55">
        <v>45308.95997082176</v>
      </c>
      <c r="B170" s="56">
        <v>7.302531566466633</v>
      </c>
      <c r="C170" s="57">
        <v>0.040894665892300175</v>
      </c>
      <c r="D170" s="58">
        <v>0.3157714534174114</v>
      </c>
      <c r="E170" s="50">
        <v>92.83040387038622</v>
      </c>
      <c r="F170" s="57">
        <v>0.04516328037601536</v>
      </c>
      <c r="G170" s="58">
        <v>0.6177397303121979</v>
      </c>
      <c r="H170" s="51">
        <v>8813.268296630253</v>
      </c>
      <c r="I170" s="57">
        <v>0.0010072317262244809</v>
      </c>
      <c r="J170" s="57">
        <v>0.024629904762570192</v>
      </c>
      <c r="K170" s="51">
        <v>349014.6803531625</v>
      </c>
      <c r="L170" s="57">
        <v>0.0398874341660757</v>
      </c>
      <c r="M170" s="57">
        <v>0.9753700952374299</v>
      </c>
      <c r="N170" s="59">
        <v>-0.004268614483715183</v>
      </c>
      <c r="O170" s="57">
        <v>-0.30196827689478645</v>
      </c>
      <c r="P170" s="51">
        <v>57.382780512209735</v>
      </c>
      <c r="Q170" s="35">
        <v>3854.641730842919</v>
      </c>
      <c r="R170" s="13">
        <v>4931.540019551689</v>
      </c>
      <c r="S170" s="57">
        <v>-0.18087549818958382</v>
      </c>
      <c r="T170" s="51">
        <v>271952.9654792385</v>
      </c>
      <c r="U170" s="51">
        <v>357827.94864979276</v>
      </c>
      <c r="V170" s="51">
        <v>85874.98317055427</v>
      </c>
    </row>
    <row r="171">
      <c r="A171" s="55">
        <v>45307.95998818287</v>
      </c>
      <c r="B171" s="56">
        <v>7.075566170764367</v>
      </c>
      <c r="C171" s="57">
        <v>0.07378635258355093</v>
      </c>
      <c r="D171" s="58">
        <v>0.27487678752511124</v>
      </c>
      <c r="E171" s="50">
        <v>90.23880926535794</v>
      </c>
      <c r="F171" s="57">
        <v>0.07617268870889671</v>
      </c>
      <c r="G171" s="58">
        <v>0.5725764499361825</v>
      </c>
      <c r="H171" s="51">
        <v>8968.885507529998</v>
      </c>
      <c r="I171" s="57">
        <v>0.0019087652076359254</v>
      </c>
      <c r="J171" s="57">
        <v>0.025868810976590315</v>
      </c>
      <c r="K171" s="51">
        <v>337737.637480569</v>
      </c>
      <c r="L171" s="57">
        <v>0.071877587375915</v>
      </c>
      <c r="M171" s="57">
        <v>0.9741311890234097</v>
      </c>
      <c r="N171" s="59">
        <v>-0.002386336125345778</v>
      </c>
      <c r="O171" s="57">
        <v>-0.29769966241107126</v>
      </c>
      <c r="P171" s="51">
        <v>57.382780512209735</v>
      </c>
      <c r="Q171" s="35">
        <v>3842.09993250872</v>
      </c>
      <c r="R171" s="13">
        <v>4931.540019551689</v>
      </c>
      <c r="S171" s="57">
        <v>-0.18354067306954885</v>
      </c>
      <c r="T171" s="51">
        <v>271952.9654792385</v>
      </c>
      <c r="U171" s="51">
        <v>346706.522988099</v>
      </c>
      <c r="V171" s="51">
        <v>74753.55750886054</v>
      </c>
    </row>
    <row r="172">
      <c r="A172" s="55">
        <v>45306.95997539352</v>
      </c>
      <c r="B172" s="56">
        <v>6.666051913925659</v>
      </c>
      <c r="C172" s="57">
        <v>-0.035233809703312025</v>
      </c>
      <c r="D172" s="58">
        <v>0.20109043494156031</v>
      </c>
      <c r="E172" s="50">
        <v>85.86780858815044</v>
      </c>
      <c r="F172" s="57">
        <v>-0.040148659570586</v>
      </c>
      <c r="G172" s="58">
        <v>0.4964037612272858</v>
      </c>
      <c r="H172" s="51">
        <v>8776.882630951563</v>
      </c>
      <c r="I172" s="57">
        <v>-9.46739261694852E-4</v>
      </c>
      <c r="J172" s="57">
        <v>0.026870192853594748</v>
      </c>
      <c r="K172" s="51">
        <v>317863.2229601541</v>
      </c>
      <c r="L172" s="57">
        <v>-0.03428707044161717</v>
      </c>
      <c r="M172" s="57">
        <v>0.9731298071464052</v>
      </c>
      <c r="N172" s="59">
        <v>0.004914849867273974</v>
      </c>
      <c r="O172" s="57">
        <v>-0.2953133262857255</v>
      </c>
      <c r="P172" s="51">
        <v>57.382780512209735</v>
      </c>
      <c r="Q172" s="35">
        <v>3803.9879084113636</v>
      </c>
      <c r="R172" s="13">
        <v>4931.540019551689</v>
      </c>
      <c r="S172" s="57">
        <v>-0.19163960805018243</v>
      </c>
      <c r="T172" s="51">
        <v>271952.9654792385</v>
      </c>
      <c r="U172" s="51">
        <v>326640.1055911057</v>
      </c>
      <c r="V172" s="51">
        <v>54687.14011186722</v>
      </c>
    </row>
    <row r="173">
      <c r="A173" s="55">
        <v>45305.959976805556</v>
      </c>
      <c r="B173" s="56">
        <v>6.861599557779042</v>
      </c>
      <c r="C173" s="57">
        <v>0.003272448116985016</v>
      </c>
      <c r="D173" s="58">
        <v>0.23632424464487234</v>
      </c>
      <c r="E173" s="50">
        <v>88.17165030814881</v>
      </c>
      <c r="F173" s="57">
        <v>0.007342859484170239</v>
      </c>
      <c r="G173" s="58">
        <v>0.5365524207978718</v>
      </c>
      <c r="H173" s="51">
        <v>8686.009760876464</v>
      </c>
      <c r="I173" s="57">
        <v>8.454090604853722E-5</v>
      </c>
      <c r="J173" s="57">
        <v>0.025834147105264653</v>
      </c>
      <c r="K173" s="51">
        <v>327536.03486417606</v>
      </c>
      <c r="L173" s="57">
        <v>0.003187907210936479</v>
      </c>
      <c r="M173" s="57">
        <v>0.9741658528947353</v>
      </c>
      <c r="N173" s="59">
        <v>-0.004070411367185223</v>
      </c>
      <c r="O173" s="57">
        <v>-0.30022817615299946</v>
      </c>
      <c r="P173" s="51">
        <v>57.382780512209735</v>
      </c>
      <c r="Q173" s="35">
        <v>3813.2670019218062</v>
      </c>
      <c r="R173" s="13">
        <v>4931.540019551689</v>
      </c>
      <c r="S173" s="57">
        <v>-0.18966776906235217</v>
      </c>
      <c r="T173" s="51">
        <v>271952.9654792385</v>
      </c>
      <c r="U173" s="51">
        <v>336222.04462505254</v>
      </c>
      <c r="V173" s="51">
        <v>64269.07914581406</v>
      </c>
    </row>
    <row r="174">
      <c r="A174" s="55">
        <v>45304.959967835646</v>
      </c>
      <c r="B174" s="56">
        <v>6.843437470729774</v>
      </c>
      <c r="C174" s="57">
        <v>0.09516687278073688</v>
      </c>
      <c r="D174" s="58">
        <v>0.23305179652788732</v>
      </c>
      <c r="E174" s="50">
        <v>87.75029661403667</v>
      </c>
      <c r="F174" s="57">
        <v>0.1001773234415213</v>
      </c>
      <c r="G174" s="58">
        <v>0.5292095613137016</v>
      </c>
      <c r="H174" s="51">
        <v>8829.34877407795</v>
      </c>
      <c r="I174" s="57">
        <v>0.0025057593052486716</v>
      </c>
      <c r="J174" s="57">
        <v>0.02633016334393908</v>
      </c>
      <c r="K174" s="51">
        <v>326502.74388118356</v>
      </c>
      <c r="L174" s="57">
        <v>0.09266111347548821</v>
      </c>
      <c r="M174" s="57">
        <v>0.9736698366560609</v>
      </c>
      <c r="N174" s="59">
        <v>-0.005010450660784427</v>
      </c>
      <c r="O174" s="57">
        <v>-0.29615776478581424</v>
      </c>
      <c r="P174" s="51">
        <v>57.382780512209735</v>
      </c>
      <c r="Q174" s="35">
        <v>3821.435432066919</v>
      </c>
      <c r="R174" s="13">
        <v>4931.540019551689</v>
      </c>
      <c r="S174" s="57">
        <v>-0.18793194982404243</v>
      </c>
      <c r="T174" s="51">
        <v>271952.9654792385</v>
      </c>
      <c r="U174" s="51">
        <v>335332.0926552615</v>
      </c>
      <c r="V174" s="51">
        <v>63379.12717602303</v>
      </c>
    </row>
    <row r="175">
      <c r="A175" s="55">
        <v>45303.959954895836</v>
      </c>
      <c r="B175" s="56">
        <v>6.315261326796684</v>
      </c>
      <c r="C175" s="57">
        <v>-0.15723598492403257</v>
      </c>
      <c r="D175" s="58">
        <v>0.13788492374715045</v>
      </c>
      <c r="E175" s="50">
        <v>82.00184325069121</v>
      </c>
      <c r="F175" s="57">
        <v>-0.16563990897990788</v>
      </c>
      <c r="G175" s="58">
        <v>0.42903223787218026</v>
      </c>
      <c r="H175" s="51">
        <v>8746.41668325299</v>
      </c>
      <c r="I175" s="57">
        <v>-0.0044441628707664275</v>
      </c>
      <c r="J175" s="57">
        <v>0.02826428614870567</v>
      </c>
      <c r="K175" s="51">
        <v>300704.7627039017</v>
      </c>
      <c r="L175" s="57">
        <v>-0.1527918220532661</v>
      </c>
      <c r="M175" s="57">
        <v>0.9717357138512942</v>
      </c>
      <c r="N175" s="59">
        <v>0.008403924055875311</v>
      </c>
      <c r="O175" s="57">
        <v>-0.2911473141250298</v>
      </c>
      <c r="P175" s="51">
        <v>57.382780512209735</v>
      </c>
      <c r="Q175" s="35">
        <v>3773.7100426037837</v>
      </c>
      <c r="R175" s="13">
        <v>4931.540019551689</v>
      </c>
      <c r="S175" s="57">
        <v>-0.19807375770073712</v>
      </c>
      <c r="T175" s="51">
        <v>271952.9654792385</v>
      </c>
      <c r="U175" s="51">
        <v>309451.1793871547</v>
      </c>
      <c r="V175" s="51">
        <v>37498.213907916215</v>
      </c>
    </row>
    <row r="176">
      <c r="A176" s="55">
        <v>45302.95996951389</v>
      </c>
      <c r="B176" s="56">
        <v>7.1879210431250655</v>
      </c>
      <c r="C176" s="57">
        <v>-0.04306468924231388</v>
      </c>
      <c r="D176" s="58">
        <v>0.295120908671183</v>
      </c>
      <c r="E176" s="50">
        <v>91.50672179174767</v>
      </c>
      <c r="F176" s="57">
        <v>-0.04599741464977991</v>
      </c>
      <c r="G176" s="58">
        <v>0.5946721468520881</v>
      </c>
      <c r="H176" s="51">
        <v>9539.349708698026</v>
      </c>
      <c r="I176" s="57">
        <v>-0.0011663690155604895</v>
      </c>
      <c r="J176" s="57">
        <v>0.0270841154570426</v>
      </c>
      <c r="K176" s="51">
        <v>342672.6220585962</v>
      </c>
      <c r="L176" s="57">
        <v>-0.04189832022675339</v>
      </c>
      <c r="M176" s="57">
        <v>0.9729158845429573</v>
      </c>
      <c r="N176" s="59">
        <v>0.0029327254074660303</v>
      </c>
      <c r="O176" s="57">
        <v>-0.2995512381809051</v>
      </c>
      <c r="P176" s="51">
        <v>57.382780512209735</v>
      </c>
      <c r="Q176" s="35">
        <v>3849.0284087420746</v>
      </c>
      <c r="R176" s="13">
        <v>4931.540019551689</v>
      </c>
      <c r="S176" s="57">
        <v>-0.18206834826241022</v>
      </c>
      <c r="T176" s="51">
        <v>271952.9654792385</v>
      </c>
      <c r="U176" s="51">
        <v>352211.9717672942</v>
      </c>
      <c r="V176" s="51">
        <v>80259.00628805574</v>
      </c>
    </row>
    <row r="177">
      <c r="A177" s="55">
        <v>45301.95996719907</v>
      </c>
      <c r="B177" s="56">
        <v>7.4269300684199075</v>
      </c>
      <c r="C177" s="57">
        <v>0.0547109499221321</v>
      </c>
      <c r="D177" s="58">
        <v>0.3381855979134969</v>
      </c>
      <c r="E177" s="50">
        <v>94.14618134072508</v>
      </c>
      <c r="F177" s="57">
        <v>0.05684145091970749</v>
      </c>
      <c r="G177" s="58">
        <v>0.640669561501868</v>
      </c>
      <c r="H177" s="51">
        <v>9617.852994761106</v>
      </c>
      <c r="I177" s="57">
        <v>0.0014459132571535292</v>
      </c>
      <c r="J177" s="57">
        <v>0.026428224317279075</v>
      </c>
      <c r="K177" s="51">
        <v>354305.68871942227</v>
      </c>
      <c r="L177" s="57">
        <v>0.05326503666497858</v>
      </c>
      <c r="M177" s="57">
        <v>0.973571775682721</v>
      </c>
      <c r="N177" s="59">
        <v>-0.002130500997575391</v>
      </c>
      <c r="O177" s="57">
        <v>-0.30248396358837115</v>
      </c>
      <c r="P177" s="51">
        <v>57.382780512209735</v>
      </c>
      <c r="Q177" s="35">
        <v>3865.5156962458755</v>
      </c>
      <c r="R177" s="13">
        <v>4931.540019551689</v>
      </c>
      <c r="S177" s="57">
        <v>-0.178564743490352</v>
      </c>
      <c r="T177" s="51">
        <v>271952.9654792385</v>
      </c>
      <c r="U177" s="51">
        <v>363923.54171418335</v>
      </c>
      <c r="V177" s="51">
        <v>91970.57623494486</v>
      </c>
    </row>
    <row r="178">
      <c r="A178" s="55">
        <v>45300.959966180555</v>
      </c>
      <c r="B178" s="56">
        <v>7.123284296352074</v>
      </c>
      <c r="C178" s="57">
        <v>0.02180554224554876</v>
      </c>
      <c r="D178" s="58">
        <v>0.2834746479913648</v>
      </c>
      <c r="E178" s="50">
        <v>90.88446083860397</v>
      </c>
      <c r="F178" s="57">
        <v>0.023690926772877985</v>
      </c>
      <c r="G178" s="58">
        <v>0.5838281105821606</v>
      </c>
      <c r="H178" s="51">
        <v>9509.920273112124</v>
      </c>
      <c r="I178" s="57">
        <v>5.941042694530377E-4</v>
      </c>
      <c r="J178" s="57">
        <v>0.02724556274560493</v>
      </c>
      <c r="K178" s="51">
        <v>339534.8163655613</v>
      </c>
      <c r="L178" s="57">
        <v>0.02121143797609572</v>
      </c>
      <c r="M178" s="57">
        <v>0.972754437254395</v>
      </c>
      <c r="N178" s="59">
        <v>-0.0018853845273292258</v>
      </c>
      <c r="O178" s="57">
        <v>-0.30035346259079576</v>
      </c>
      <c r="P178" s="51">
        <v>57.382780512209735</v>
      </c>
      <c r="Q178" s="35">
        <v>3840.5326215063333</v>
      </c>
      <c r="R178" s="13">
        <v>4931.540019551689</v>
      </c>
      <c r="S178" s="57">
        <v>-0.1838737319978896</v>
      </c>
      <c r="T178" s="51">
        <v>271952.9654792385</v>
      </c>
      <c r="U178" s="51">
        <v>349044.7366386734</v>
      </c>
      <c r="V178" s="51">
        <v>77091.77115943492</v>
      </c>
    </row>
    <row r="179">
      <c r="A179" s="55">
        <v>45299.95997851852</v>
      </c>
      <c r="B179" s="56">
        <v>7.002263536889279</v>
      </c>
      <c r="C179" s="57">
        <v>0.1374731329561485</v>
      </c>
      <c r="D179" s="58">
        <v>0.26166910574581603</v>
      </c>
      <c r="E179" s="50">
        <v>89.52500958746508</v>
      </c>
      <c r="F179" s="57">
        <v>0.14462010848491058</v>
      </c>
      <c r="G179" s="58">
        <v>0.5601371838092826</v>
      </c>
      <c r="H179" s="51">
        <v>9689.828128913658</v>
      </c>
      <c r="I179" s="57">
        <v>0.003882349565091632</v>
      </c>
      <c r="J179" s="57">
        <v>0.02824078772053615</v>
      </c>
      <c r="K179" s="51">
        <v>333424.8266321999</v>
      </c>
      <c r="L179" s="57">
        <v>0.13359078339105684</v>
      </c>
      <c r="M179" s="57">
        <v>0.9717592122794638</v>
      </c>
      <c r="N179" s="59">
        <v>-0.0071469755287620895</v>
      </c>
      <c r="O179" s="57">
        <v>-0.29846807806346654</v>
      </c>
      <c r="P179" s="51">
        <v>57.382780512209735</v>
      </c>
      <c r="Q179" s="35">
        <v>3832.6123207604223</v>
      </c>
      <c r="R179" s="13">
        <v>4931.540019551689</v>
      </c>
      <c r="S179" s="57">
        <v>-0.18555682289341213</v>
      </c>
      <c r="T179" s="51">
        <v>271952.9654792385</v>
      </c>
      <c r="U179" s="51">
        <v>343114.6547611136</v>
      </c>
      <c r="V179" s="51">
        <v>71161.6892818751</v>
      </c>
    </row>
    <row r="180">
      <c r="A180" s="55">
        <v>45298.959965057875</v>
      </c>
      <c r="B180" s="56">
        <v>6.239287648982654</v>
      </c>
      <c r="C180" s="57">
        <v>-0.06693581289465156</v>
      </c>
      <c r="D180" s="58">
        <v>0.12419597278966754</v>
      </c>
      <c r="E180" s="50">
        <v>81.2263056446235</v>
      </c>
      <c r="F180" s="57">
        <v>-0.07189767762979415</v>
      </c>
      <c r="G180" s="58">
        <v>0.415517075324372</v>
      </c>
      <c r="H180" s="51">
        <v>9018.551001242182</v>
      </c>
      <c r="I180" s="57">
        <v>-0.0019745106636104757</v>
      </c>
      <c r="J180" s="57">
        <v>0.029498568527405556</v>
      </c>
      <c r="K180" s="51">
        <v>296709.87757872517</v>
      </c>
      <c r="L180" s="57">
        <v>-0.06496130223104107</v>
      </c>
      <c r="M180" s="57">
        <v>0.9705014314725944</v>
      </c>
      <c r="N180" s="59">
        <v>0.004961864735142596</v>
      </c>
      <c r="O180" s="57">
        <v>-0.29132110253470445</v>
      </c>
      <c r="P180" s="51">
        <v>57.382780512209735</v>
      </c>
      <c r="Q180" s="35">
        <v>3763.909070511864</v>
      </c>
      <c r="R180" s="13">
        <v>4931.540019551689</v>
      </c>
      <c r="S180" s="57">
        <v>-0.20015649766533977</v>
      </c>
      <c r="T180" s="51">
        <v>271952.9654792385</v>
      </c>
      <c r="U180" s="51">
        <v>305728.42857996735</v>
      </c>
      <c r="V180" s="51">
        <v>33775.46310072887</v>
      </c>
    </row>
    <row r="181">
      <c r="A181" s="55">
        <v>45297.95996277778</v>
      </c>
      <c r="B181" s="56">
        <v>6.610781410547971</v>
      </c>
      <c r="C181" s="57">
        <v>-0.08703801517542642</v>
      </c>
      <c r="D181" s="58">
        <v>0.1911317856843191</v>
      </c>
      <c r="E181" s="50">
        <v>85.35199429939158</v>
      </c>
      <c r="F181" s="57">
        <v>-0.09424007286956249</v>
      </c>
      <c r="G181" s="58">
        <v>0.48741475295416614</v>
      </c>
      <c r="H181" s="51">
        <v>9058.062667517459</v>
      </c>
      <c r="I181" s="57">
        <v>-0.002433832503778016</v>
      </c>
      <c r="J181" s="57">
        <v>0.027962867706399212</v>
      </c>
      <c r="K181" s="51">
        <v>314873.7587259139</v>
      </c>
      <c r="L181" s="57">
        <v>-0.0846041826716484</v>
      </c>
      <c r="M181" s="57">
        <v>0.9720371322936008</v>
      </c>
      <c r="N181" s="59">
        <v>0.007202057694136066</v>
      </c>
      <c r="O181" s="57">
        <v>-0.29628296726984704</v>
      </c>
      <c r="P181" s="51">
        <v>57.382780512209735</v>
      </c>
      <c r="Q181" s="35">
        <v>3795.2460754129147</v>
      </c>
      <c r="R181" s="13">
        <v>4931.540019551689</v>
      </c>
      <c r="S181" s="57">
        <v>-0.19349727734859434</v>
      </c>
      <c r="T181" s="51">
        <v>271952.9654792385</v>
      </c>
      <c r="U181" s="51">
        <v>323931.82139343134</v>
      </c>
      <c r="V181" s="51">
        <v>51978.855914192856</v>
      </c>
    </row>
    <row r="182">
      <c r="A182" s="55">
        <v>45296.95996847222</v>
      </c>
      <c r="B182" s="56">
        <v>7.093842394771587</v>
      </c>
      <c r="C182" s="57">
        <v>-0.07847108235915567</v>
      </c>
      <c r="D182" s="58">
        <v>0.2781698008597455</v>
      </c>
      <c r="E182" s="50">
        <v>90.75975171632034</v>
      </c>
      <c r="F182" s="57">
        <v>-0.08912203474286473</v>
      </c>
      <c r="G182" s="58">
        <v>0.5816548258237286</v>
      </c>
      <c r="H182" s="51">
        <v>9063.702110095262</v>
      </c>
      <c r="I182" s="57">
        <v>-0.002046128549824884</v>
      </c>
      <c r="J182" s="57">
        <v>0.026074937267462708</v>
      </c>
      <c r="K182" s="51">
        <v>338538.36561972025</v>
      </c>
      <c r="L182" s="57">
        <v>-0.07642495380933079</v>
      </c>
      <c r="M182" s="57">
        <v>0.9739250627325373</v>
      </c>
      <c r="N182" s="59">
        <v>0.010650952383709056</v>
      </c>
      <c r="O182" s="57">
        <v>-0.3034850249639831</v>
      </c>
      <c r="P182" s="51">
        <v>57.382780512209735</v>
      </c>
      <c r="Q182" s="35">
        <v>3829.9142643788214</v>
      </c>
      <c r="R182" s="13">
        <v>4931.540019551689</v>
      </c>
      <c r="S182" s="57">
        <v>-0.1861301690676497</v>
      </c>
      <c r="T182" s="51">
        <v>271952.9654792385</v>
      </c>
      <c r="U182" s="51">
        <v>347602.0677298155</v>
      </c>
      <c r="V182" s="51">
        <v>75649.10225057701</v>
      </c>
    </row>
    <row r="183">
      <c r="A183" s="55">
        <v>45295.95998180556</v>
      </c>
      <c r="B183" s="56">
        <v>7.529356901864902</v>
      </c>
      <c r="C183" s="57">
        <v>0.09830274923785787</v>
      </c>
      <c r="D183" s="58">
        <v>0.3566408832189012</v>
      </c>
      <c r="E183" s="50">
        <v>95.87382187477168</v>
      </c>
      <c r="F183" s="57">
        <v>0.09481962614700512</v>
      </c>
      <c r="G183" s="58">
        <v>0.6707768605665934</v>
      </c>
      <c r="H183" s="51">
        <v>9139.771982124572</v>
      </c>
      <c r="I183" s="57">
        <v>0.0024352431226442564</v>
      </c>
      <c r="J183" s="57">
        <v>0.02477288927852699</v>
      </c>
      <c r="K183" s="51">
        <v>359802.7392996288</v>
      </c>
      <c r="L183" s="57">
        <v>0.09586750611521361</v>
      </c>
      <c r="M183" s="57">
        <v>0.975227110721473</v>
      </c>
      <c r="N183" s="59">
        <v>0.0034831230908527466</v>
      </c>
      <c r="O183" s="57">
        <v>-0.31413597734769216</v>
      </c>
      <c r="P183" s="51">
        <v>57.382780512209735</v>
      </c>
      <c r="Q183" s="35">
        <v>3848.2090738351726</v>
      </c>
      <c r="R183" s="13">
        <v>4931.540019551689</v>
      </c>
      <c r="S183" s="57">
        <v>-0.1822424597218649</v>
      </c>
      <c r="T183" s="51">
        <v>271952.9654792385</v>
      </c>
      <c r="U183" s="51">
        <v>368942.5112817534</v>
      </c>
      <c r="V183" s="51">
        <v>96989.54580251494</v>
      </c>
    </row>
    <row r="184">
      <c r="A184" s="55">
        <v>45294.95997739583</v>
      </c>
      <c r="B184" s="56">
        <v>6.983776643594791</v>
      </c>
      <c r="C184" s="57">
        <v>-0.13238961113032088</v>
      </c>
      <c r="D184" s="58">
        <v>0.2583381339810433</v>
      </c>
      <c r="E184" s="50">
        <v>90.4328080793283</v>
      </c>
      <c r="F184" s="57">
        <v>-0.14407684286607836</v>
      </c>
      <c r="G184" s="58">
        <v>0.5759572344195882</v>
      </c>
      <c r="H184" s="51">
        <v>8858.762037273062</v>
      </c>
      <c r="I184" s="57">
        <v>-0.0034271710878879995</v>
      </c>
      <c r="J184" s="57">
        <v>0.025887009249648613</v>
      </c>
      <c r="K184" s="51">
        <v>333350.02507448295</v>
      </c>
      <c r="L184" s="57">
        <v>-0.12896244004243287</v>
      </c>
      <c r="M184" s="57">
        <v>0.9741129907503513</v>
      </c>
      <c r="N184" s="59">
        <v>0.011687231735757475</v>
      </c>
      <c r="O184" s="57">
        <v>-0.3176191004385449</v>
      </c>
      <c r="P184" s="51">
        <v>57.382780512209735</v>
      </c>
      <c r="Q184" s="35">
        <v>3784.122094401493</v>
      </c>
      <c r="R184" s="13">
        <v>4931.540019551689</v>
      </c>
      <c r="S184" s="57">
        <v>-0.19586116121650876</v>
      </c>
      <c r="T184" s="51">
        <v>271952.9654792385</v>
      </c>
      <c r="U184" s="51">
        <v>342208.78711175604</v>
      </c>
      <c r="V184" s="51">
        <v>70255.82163251756</v>
      </c>
    </row>
    <row r="185">
      <c r="A185" s="55">
        <v>45293.95996133102</v>
      </c>
      <c r="B185" s="56">
        <v>7.718538985368071</v>
      </c>
      <c r="C185" s="57">
        <v>0.016677204288559677</v>
      </c>
      <c r="D185" s="58">
        <v>0.3907277451113642</v>
      </c>
      <c r="E185" s="50">
        <v>98.7003379304046</v>
      </c>
      <c r="F185" s="57">
        <v>0.015221359524720812</v>
      </c>
      <c r="G185" s="58">
        <v>0.7200340772856666</v>
      </c>
      <c r="H185" s="51">
        <v>9274.141423105717</v>
      </c>
      <c r="I185" s="57">
        <v>4.0894136767853076E-4</v>
      </c>
      <c r="J185" s="57">
        <v>0.024520978492723666</v>
      </c>
      <c r="K185" s="51">
        <v>368938.3930341843</v>
      </c>
      <c r="L185" s="57">
        <v>0.016268262920881144</v>
      </c>
      <c r="M185" s="57">
        <v>0.9754790215072763</v>
      </c>
      <c r="N185" s="59">
        <v>0.001455844763838865</v>
      </c>
      <c r="O185" s="57">
        <v>-0.3293063321743024</v>
      </c>
      <c r="P185" s="51">
        <v>57.382780512209735</v>
      </c>
      <c r="Q185" s="35">
        <v>3831.927452203604</v>
      </c>
      <c r="R185" s="13">
        <v>4931.540019551689</v>
      </c>
      <c r="S185" s="57">
        <v>-0.18570235979530386</v>
      </c>
      <c r="T185" s="51">
        <v>271952.9654792385</v>
      </c>
      <c r="U185" s="51">
        <v>378212.53445729</v>
      </c>
      <c r="V185" s="51">
        <v>106259.56897805154</v>
      </c>
    </row>
    <row r="186">
      <c r="A186" s="55">
        <v>45292.9599590162</v>
      </c>
      <c r="B186" s="56">
        <v>7.6259805015665645</v>
      </c>
      <c r="C186" s="57">
        <v>0.1090660367930898</v>
      </c>
      <c r="D186" s="58">
        <v>0.37405054082280453</v>
      </c>
      <c r="E186" s="50">
        <v>97.82689399770011</v>
      </c>
      <c r="F186" s="57">
        <v>0.11624082704565963</v>
      </c>
      <c r="G186" s="58">
        <v>0.7048127177609458</v>
      </c>
      <c r="H186" s="51">
        <v>8871.454819150795</v>
      </c>
      <c r="I186" s="57">
        <v>0.002589332789599002</v>
      </c>
      <c r="J186" s="57">
        <v>0.023740963417523363</v>
      </c>
      <c r="K186" s="51">
        <v>364805.66447596235</v>
      </c>
      <c r="L186" s="57">
        <v>0.10647670400349078</v>
      </c>
      <c r="M186" s="57">
        <v>0.9762590365824766</v>
      </c>
      <c r="N186" s="59">
        <v>-0.00717479025256984</v>
      </c>
      <c r="O186" s="57">
        <v>-0.33076217693814125</v>
      </c>
      <c r="P186" s="51">
        <v>57.382780512209735</v>
      </c>
      <c r="Q186" s="35">
        <v>3819.779040556048</v>
      </c>
      <c r="R186" s="13">
        <v>4931.540019551689</v>
      </c>
      <c r="S186" s="57">
        <v>-0.18828393866396204</v>
      </c>
      <c r="T186" s="51">
        <v>271952.9654792385</v>
      </c>
      <c r="U186" s="51">
        <v>373677.11929511314</v>
      </c>
      <c r="V186" s="51">
        <v>101724.15381587466</v>
      </c>
    </row>
    <row r="187">
      <c r="A187" s="55">
        <v>45291.959956481485</v>
      </c>
      <c r="B187" s="56">
        <v>7.020663997364917</v>
      </c>
      <c r="C187" s="57">
        <v>-0.015285333760548081</v>
      </c>
      <c r="D187" s="58">
        <v>0.26498450402971474</v>
      </c>
      <c r="E187" s="50">
        <v>91.1566721327813</v>
      </c>
      <c r="F187" s="57">
        <v>-0.017377849931819345</v>
      </c>
      <c r="G187" s="58">
        <v>0.5885718907152862</v>
      </c>
      <c r="H187" s="51">
        <v>8639.194564099631</v>
      </c>
      <c r="I187" s="57">
        <v>-3.838567453483116E-4</v>
      </c>
      <c r="J187" s="57">
        <v>0.025112748688488423</v>
      </c>
      <c r="K187" s="51">
        <v>335377.092592065</v>
      </c>
      <c r="L187" s="57">
        <v>-0.014901477015199768</v>
      </c>
      <c r="M187" s="57">
        <v>0.9748872513115115</v>
      </c>
      <c r="N187" s="59">
        <v>0.0020925161712712637</v>
      </c>
      <c r="O187" s="57">
        <v>-0.3235873866855714</v>
      </c>
      <c r="P187" s="51">
        <v>57.382780512209735</v>
      </c>
      <c r="Q187" s="35">
        <v>3773.901340486203</v>
      </c>
      <c r="R187" s="13">
        <v>4931.540019551689</v>
      </c>
      <c r="S187" s="57">
        <v>-0.1980331062489095</v>
      </c>
      <c r="T187" s="51">
        <v>271952.9654792385</v>
      </c>
      <c r="U187" s="51">
        <v>344016.28715616465</v>
      </c>
      <c r="V187" s="51">
        <v>72063.32167692616</v>
      </c>
    </row>
    <row r="188">
      <c r="A188" s="55">
        <v>45290.95996046296</v>
      </c>
      <c r="B188" s="56">
        <v>7.105497599735958</v>
      </c>
      <c r="C188" s="57">
        <v>-0.044714312737973216</v>
      </c>
      <c r="D188" s="58">
        <v>0.2802698377902628</v>
      </c>
      <c r="E188" s="50">
        <v>92.153861481193</v>
      </c>
      <c r="F188" s="57">
        <v>-0.050585723427557516</v>
      </c>
      <c r="G188" s="58">
        <v>0.6059497406471055</v>
      </c>
      <c r="H188" s="51">
        <v>8606.412468752615</v>
      </c>
      <c r="I188" s="57">
        <v>-0.0011052827784848952</v>
      </c>
      <c r="J188" s="57">
        <v>0.024718769244243446</v>
      </c>
      <c r="K188" s="51">
        <v>339566.766531933</v>
      </c>
      <c r="L188" s="57">
        <v>-0.04360902995948832</v>
      </c>
      <c r="M188" s="57">
        <v>0.9752812307557566</v>
      </c>
      <c r="N188" s="59">
        <v>0.0058714106895843</v>
      </c>
      <c r="O188" s="57">
        <v>-0.3256799028568427</v>
      </c>
      <c r="P188" s="51">
        <v>57.382780512209735</v>
      </c>
      <c r="Q188" s="35">
        <v>3778.172432543607</v>
      </c>
      <c r="R188" s="13">
        <v>4931.540019551689</v>
      </c>
      <c r="S188" s="57">
        <v>-0.1971254846337244</v>
      </c>
      <c r="T188" s="51">
        <v>271952.9654792385</v>
      </c>
      <c r="U188" s="51">
        <v>348173.1790006856</v>
      </c>
      <c r="V188" s="51">
        <v>76220.21352144709</v>
      </c>
    </row>
    <row r="189">
      <c r="A189" s="55">
        <v>45289.95997783565</v>
      </c>
      <c r="B189" s="56">
        <v>7.35366203543171</v>
      </c>
      <c r="C189" s="57">
        <v>0.011434255538591565</v>
      </c>
      <c r="D189" s="58">
        <v>0.32498415052823604</v>
      </c>
      <c r="E189" s="50">
        <v>95.05661094568788</v>
      </c>
      <c r="F189" s="57">
        <v>0.02467968105439522</v>
      </c>
      <c r="G189" s="58">
        <v>0.656535464074663</v>
      </c>
      <c r="H189" s="51">
        <v>8540.893704699612</v>
      </c>
      <c r="I189" s="57">
        <v>2.71023362150139E-4</v>
      </c>
      <c r="J189" s="57">
        <v>0.023702755394560893</v>
      </c>
      <c r="K189" s="51">
        <v>351792.4752444439</v>
      </c>
      <c r="L189" s="57">
        <v>0.011163232176441426</v>
      </c>
      <c r="M189" s="57">
        <v>0.9762972446054392</v>
      </c>
      <c r="N189" s="59">
        <v>-0.013245425515803655</v>
      </c>
      <c r="O189" s="57">
        <v>-0.331551313546427</v>
      </c>
      <c r="P189" s="51">
        <v>57.382780512209735</v>
      </c>
      <c r="Q189" s="35">
        <v>3790.7239208751694</v>
      </c>
      <c r="R189" s="13">
        <v>4931.540019551689</v>
      </c>
      <c r="S189" s="57">
        <v>-0.19445825059630273</v>
      </c>
      <c r="T189" s="51">
        <v>271952.9654792385</v>
      </c>
      <c r="U189" s="51">
        <v>360333.3689491435</v>
      </c>
      <c r="V189" s="51">
        <v>88380.40346990502</v>
      </c>
    </row>
    <row r="190">
      <c r="A190" s="55">
        <v>45288.95997354167</v>
      </c>
      <c r="B190" s="56">
        <v>7.290201917192527</v>
      </c>
      <c r="C190" s="57">
        <v>-0.10275298513331288</v>
      </c>
      <c r="D190" s="58">
        <v>0.3135498949896445</v>
      </c>
      <c r="E190" s="50">
        <v>93.64042222463218</v>
      </c>
      <c r="F190" s="57">
        <v>-0.07956122729315318</v>
      </c>
      <c r="G190" s="58">
        <v>0.6318557830202678</v>
      </c>
      <c r="H190" s="51">
        <v>8742.124872480208</v>
      </c>
      <c r="I190" s="57">
        <v>-0.002514612559673254</v>
      </c>
      <c r="J190" s="57">
        <v>0.024472403954111578</v>
      </c>
      <c r="K190" s="51">
        <v>348481.66437489586</v>
      </c>
      <c r="L190" s="57">
        <v>-0.10023837257363961</v>
      </c>
      <c r="M190" s="57">
        <v>0.9755275960458883</v>
      </c>
      <c r="N190" s="59">
        <v>-0.0231917578401597</v>
      </c>
      <c r="O190" s="57">
        <v>-0.3183058880306233</v>
      </c>
      <c r="P190" s="51">
        <v>57.382780512209735</v>
      </c>
      <c r="Q190" s="35">
        <v>3814.8459902331383</v>
      </c>
      <c r="R190" s="13">
        <v>4931.540019551689</v>
      </c>
      <c r="S190" s="57">
        <v>-0.1893322286660722</v>
      </c>
      <c r="T190" s="51">
        <v>271952.9654792385</v>
      </c>
      <c r="U190" s="51">
        <v>357223.7892473761</v>
      </c>
      <c r="V190" s="51">
        <v>85270.8237681376</v>
      </c>
    </row>
    <row r="191">
      <c r="A191" s="55">
        <v>45287.959982175926</v>
      </c>
      <c r="B191" s="56">
        <v>7.860480984682413</v>
      </c>
      <c r="C191" s="57">
        <v>-0.07077863424445563</v>
      </c>
      <c r="D191" s="58">
        <v>0.41630288012295735</v>
      </c>
      <c r="E191" s="50">
        <v>96.6657660091867</v>
      </c>
      <c r="F191" s="57">
        <v>-0.07762549113215766</v>
      </c>
      <c r="G191" s="58">
        <v>0.711417010313421</v>
      </c>
      <c r="H191" s="51">
        <v>8845.19129988403</v>
      </c>
      <c r="I191" s="57">
        <v>-0.0016874462594184774</v>
      </c>
      <c r="J191" s="57">
        <v>0.02384118141627834</v>
      </c>
      <c r="K191" s="51">
        <v>362159.5481651111</v>
      </c>
      <c r="L191" s="57">
        <v>-0.06909118798503715</v>
      </c>
      <c r="M191" s="57">
        <v>0.9761588185837216</v>
      </c>
      <c r="N191" s="59">
        <v>0.006846856887702035</v>
      </c>
      <c r="O191" s="57">
        <v>-0.2951141301904636</v>
      </c>
      <c r="P191" s="51">
        <v>56.48288256261037</v>
      </c>
      <c r="Q191" s="35">
        <v>3838.015822786078</v>
      </c>
      <c r="R191" s="13">
        <v>4830.01419529805</v>
      </c>
      <c r="S191" s="57">
        <v>-0.1663386610432164</v>
      </c>
      <c r="T191" s="51">
        <v>261952.96547923854</v>
      </c>
      <c r="U191" s="51">
        <v>371004.73946499516</v>
      </c>
      <c r="V191" s="51">
        <v>109051.77398575662</v>
      </c>
    </row>
    <row r="192">
      <c r="A192" s="55">
        <v>45286.95997287037</v>
      </c>
      <c r="B192" s="56">
        <v>8.253302404739141</v>
      </c>
      <c r="C192" s="57">
        <v>-0.12830537134661624</v>
      </c>
      <c r="D192" s="58">
        <v>0.487081514367413</v>
      </c>
      <c r="E192" s="50">
        <v>101.05027750866931</v>
      </c>
      <c r="F192" s="57">
        <v>-0.13648498423806</v>
      </c>
      <c r="G192" s="58">
        <v>0.7890425014455786</v>
      </c>
      <c r="H192" s="51">
        <v>8725.145440503382</v>
      </c>
      <c r="I192" s="57">
        <v>-0.00287381904546411</v>
      </c>
      <c r="J192" s="57">
        <v>0.022398275421381262</v>
      </c>
      <c r="K192" s="51">
        <v>380820.26715739735</v>
      </c>
      <c r="L192" s="57">
        <v>-0.12543155230115213</v>
      </c>
      <c r="M192" s="57">
        <v>0.9776017245786187</v>
      </c>
      <c r="N192" s="59">
        <v>0.008179612891443755</v>
      </c>
      <c r="O192" s="57">
        <v>-0.30196098707816565</v>
      </c>
      <c r="P192" s="51">
        <v>56.48288256261037</v>
      </c>
      <c r="Q192" s="35">
        <v>3854.966282150792</v>
      </c>
      <c r="R192" s="13">
        <v>4830.01419529805</v>
      </c>
      <c r="S192" s="57">
        <v>-0.16265682560991115</v>
      </c>
      <c r="T192" s="51">
        <v>261952.96547923854</v>
      </c>
      <c r="U192" s="51">
        <v>389545.4125979007</v>
      </c>
      <c r="V192" s="51">
        <v>127592.44711866218</v>
      </c>
    </row>
    <row r="193">
      <c r="A193" s="55">
        <v>45285.95996679398</v>
      </c>
      <c r="B193" s="56">
        <v>8.965397215712862</v>
      </c>
      <c r="C193" s="57">
        <v>0.12355615894466765</v>
      </c>
      <c r="D193" s="58">
        <v>0.6153868857140292</v>
      </c>
      <c r="E193" s="50">
        <v>108.75934284494738</v>
      </c>
      <c r="F193" s="57">
        <v>0.13110856989503294</v>
      </c>
      <c r="G193" s="58">
        <v>0.9255274856836386</v>
      </c>
      <c r="H193" s="51">
        <v>8981.801404755983</v>
      </c>
      <c r="I193" s="57">
        <v>0.0026225753494533615</v>
      </c>
      <c r="J193" s="57">
        <v>0.021225775969839218</v>
      </c>
      <c r="K193" s="51">
        <v>414173.58370430575</v>
      </c>
      <c r="L193" s="57">
        <v>0.12093358359521429</v>
      </c>
      <c r="M193" s="57">
        <v>0.9787742240301608</v>
      </c>
      <c r="N193" s="59">
        <v>-0.007552410950365296</v>
      </c>
      <c r="O193" s="57">
        <v>-0.3101405999696094</v>
      </c>
      <c r="P193" s="51">
        <v>56.48288256261037</v>
      </c>
      <c r="Q193" s="35">
        <v>3890.749741953964</v>
      </c>
      <c r="R193" s="13">
        <v>4830.01419529805</v>
      </c>
      <c r="S193" s="57">
        <v>-0.15488424509189655</v>
      </c>
      <c r="T193" s="51">
        <v>261952.96547923854</v>
      </c>
      <c r="U193" s="51">
        <v>423155.3851090617</v>
      </c>
      <c r="V193" s="51">
        <v>161202.41962982318</v>
      </c>
    </row>
    <row r="194">
      <c r="A194" s="55">
        <v>45284.96001060185</v>
      </c>
      <c r="B194" s="56">
        <v>8.279660533569956</v>
      </c>
      <c r="C194" s="57">
        <v>0.05144158643293384</v>
      </c>
      <c r="D194" s="58">
        <v>0.49183072676936157</v>
      </c>
      <c r="E194" s="50">
        <v>101.35395288861444</v>
      </c>
      <c r="F194" s="57">
        <v>0.04834678533159287</v>
      </c>
      <c r="G194" s="58">
        <v>0.7944189157886057</v>
      </c>
      <c r="H194" s="51">
        <v>8859.854191951816</v>
      </c>
      <c r="I194" s="57">
        <v>0.0011662671980089251</v>
      </c>
      <c r="J194" s="57">
        <v>0.022671680227619492</v>
      </c>
      <c r="K194" s="51">
        <v>381929.62867833005</v>
      </c>
      <c r="L194" s="57">
        <v>0.05027531923492492</v>
      </c>
      <c r="M194" s="57">
        <v>0.9773283197723805</v>
      </c>
      <c r="N194" s="59">
        <v>0.0030948011013409715</v>
      </c>
      <c r="O194" s="57">
        <v>-0.3025881890192441</v>
      </c>
      <c r="P194" s="51">
        <v>56.48288256261037</v>
      </c>
      <c r="Q194" s="35">
        <v>3855.6905945222493</v>
      </c>
      <c r="R194" s="13">
        <v>4830.01419529805</v>
      </c>
      <c r="S194" s="57">
        <v>-0.16249949660208704</v>
      </c>
      <c r="T194" s="51">
        <v>261952.96547923854</v>
      </c>
      <c r="U194" s="51">
        <v>390789.48287028185</v>
      </c>
      <c r="V194" s="51">
        <v>128836.51739104331</v>
      </c>
    </row>
    <row r="195">
      <c r="A195" s="55">
        <v>45283.959965671296</v>
      </c>
      <c r="B195" s="56">
        <v>7.9941597288671735</v>
      </c>
      <c r="C195" s="57">
        <v>0.17545195381205403</v>
      </c>
      <c r="D195" s="58">
        <v>0.44038914033642773</v>
      </c>
      <c r="E195" s="50">
        <v>98.62318709045034</v>
      </c>
      <c r="F195" s="57">
        <v>0.18513946981252616</v>
      </c>
      <c r="G195" s="58">
        <v>0.7460721304570128</v>
      </c>
      <c r="H195" s="51">
        <v>8977.078809909975</v>
      </c>
      <c r="I195" s="57">
        <v>0.004174361814436797</v>
      </c>
      <c r="J195" s="57">
        <v>0.02379205089336547</v>
      </c>
      <c r="K195" s="51">
        <v>368337.12794530834</v>
      </c>
      <c r="L195" s="57">
        <v>0.17127759199761722</v>
      </c>
      <c r="M195" s="57">
        <v>0.9762079491066344</v>
      </c>
      <c r="N195" s="59">
        <v>-0.00968751600047213</v>
      </c>
      <c r="O195" s="57">
        <v>-0.3056829901205851</v>
      </c>
      <c r="P195" s="51">
        <v>56.48288256261037</v>
      </c>
      <c r="Q195" s="35">
        <v>3825.816401665989</v>
      </c>
      <c r="R195" s="13">
        <v>4830.01419529805</v>
      </c>
      <c r="S195" s="57">
        <v>-0.16898851612851626</v>
      </c>
      <c r="T195" s="51">
        <v>261952.96547923854</v>
      </c>
      <c r="U195" s="51">
        <v>377314.2067552183</v>
      </c>
      <c r="V195" s="51">
        <v>115361.24127597979</v>
      </c>
    </row>
    <row r="196">
      <c r="A196" s="55">
        <v>45282.95998450232</v>
      </c>
      <c r="B196" s="56">
        <v>7.020401385210274</v>
      </c>
      <c r="C196" s="57">
        <v>0.036346900962776596</v>
      </c>
      <c r="D196" s="58">
        <v>0.2649371865243737</v>
      </c>
      <c r="E196" s="50">
        <v>88.16597615932548</v>
      </c>
      <c r="F196" s="57">
        <v>0.03747980676760698</v>
      </c>
      <c r="G196" s="58">
        <v>0.5609326606444867</v>
      </c>
      <c r="H196" s="51">
        <v>8957.177370550044</v>
      </c>
      <c r="I196" s="57">
        <v>9.825310467419456E-4</v>
      </c>
      <c r="J196" s="57">
        <v>0.027032044568205977</v>
      </c>
      <c r="K196" s="51">
        <v>322396.8697844743</v>
      </c>
      <c r="L196" s="57">
        <v>0.03536436991603465</v>
      </c>
      <c r="M196" s="57">
        <v>0.972967955431794</v>
      </c>
      <c r="N196" s="59">
        <v>-0.0011329058048303864</v>
      </c>
      <c r="O196" s="57">
        <v>-0.29599547412011296</v>
      </c>
      <c r="P196" s="51">
        <v>56.48288256261037</v>
      </c>
      <c r="Q196" s="35">
        <v>3758.298400238111</v>
      </c>
      <c r="R196" s="13">
        <v>4830.01419529805</v>
      </c>
      <c r="S196" s="57">
        <v>-0.18365420539948732</v>
      </c>
      <c r="T196" s="51">
        <v>261952.96547923854</v>
      </c>
      <c r="U196" s="51">
        <v>331354.04715502437</v>
      </c>
      <c r="V196" s="51">
        <v>69401.08167578583</v>
      </c>
    </row>
    <row r="197">
      <c r="A197" s="55">
        <v>45281.95997913195</v>
      </c>
      <c r="B197" s="56">
        <v>6.818676084866864</v>
      </c>
      <c r="C197" s="57">
        <v>0.19424588007173127</v>
      </c>
      <c r="D197" s="58">
        <v>0.2285902855615971</v>
      </c>
      <c r="E197" s="50">
        <v>86.04900863520142</v>
      </c>
      <c r="F197" s="57">
        <v>0.20627503828317995</v>
      </c>
      <c r="G197" s="58">
        <v>0.5234528538768797</v>
      </c>
      <c r="H197" s="51">
        <v>9101.925560982749</v>
      </c>
      <c r="I197" s="57">
        <v>0.005493570461872741</v>
      </c>
      <c r="J197" s="57">
        <v>0.02828152885324554</v>
      </c>
      <c r="K197" s="51">
        <v>312730.94310086215</v>
      </c>
      <c r="L197" s="57">
        <v>0.18875230960985856</v>
      </c>
      <c r="M197" s="57">
        <v>0.9717184711467546</v>
      </c>
      <c r="N197" s="59">
        <v>-0.012029158211448676</v>
      </c>
      <c r="O197" s="57">
        <v>-0.29486256831528257</v>
      </c>
      <c r="P197" s="51">
        <v>56.48288256261037</v>
      </c>
      <c r="Q197" s="35">
        <v>3740.1112896748427</v>
      </c>
      <c r="R197" s="13">
        <v>4830.01419529805</v>
      </c>
      <c r="S197" s="57">
        <v>-0.18760465574779328</v>
      </c>
      <c r="T197" s="51">
        <v>261952.96547923854</v>
      </c>
      <c r="U197" s="51">
        <v>321832.86866184487</v>
      </c>
      <c r="V197" s="51">
        <v>59879.90318260633</v>
      </c>
    </row>
    <row r="198">
      <c r="A198" s="55">
        <v>45280.959978935185</v>
      </c>
      <c r="B198" s="56">
        <v>5.740611450468755</v>
      </c>
      <c r="C198" s="57">
        <v>0.13514398295171526</v>
      </c>
      <c r="D198" s="58">
        <v>0.03434440548986584</v>
      </c>
      <c r="E198" s="50">
        <v>74.3979998722546</v>
      </c>
      <c r="F198" s="57">
        <v>0.1427499132275054</v>
      </c>
      <c r="G198" s="58">
        <v>0.31717781559369973</v>
      </c>
      <c r="H198" s="51">
        <v>8979.9769103226</v>
      </c>
      <c r="I198" s="57">
        <v>0.004479024573554919</v>
      </c>
      <c r="J198" s="57">
        <v>0.03314261187015038</v>
      </c>
      <c r="K198" s="51">
        <v>261969.60743460775</v>
      </c>
      <c r="L198" s="57">
        <v>0.13066495837816033</v>
      </c>
      <c r="M198" s="57">
        <v>0.9668573881298496</v>
      </c>
      <c r="N198" s="59">
        <v>-0.0076059302757901515</v>
      </c>
      <c r="O198" s="57">
        <v>-0.2828334101038339</v>
      </c>
      <c r="P198" s="51">
        <v>56.48288256261037</v>
      </c>
      <c r="Q198" s="35">
        <v>3641.8933951203726</v>
      </c>
      <c r="R198" s="13">
        <v>4830.01419529805</v>
      </c>
      <c r="S198" s="57">
        <v>-0.2089387161749745</v>
      </c>
      <c r="T198" s="51">
        <v>261952.96547923854</v>
      </c>
      <c r="U198" s="51">
        <v>270949.58434493036</v>
      </c>
      <c r="V198" s="51">
        <v>8996.618865691824</v>
      </c>
    </row>
    <row r="199">
      <c r="A199" s="55">
        <v>45279.95996170139</v>
      </c>
      <c r="B199" s="56">
        <v>4.990562345086736</v>
      </c>
      <c r="C199" s="57">
        <v>-0.03229243668713877</v>
      </c>
      <c r="D199" s="58">
        <v>-0.10079957746184942</v>
      </c>
      <c r="E199" s="50">
        <v>66.3350732876026</v>
      </c>
      <c r="F199" s="57">
        <v>-0.03454855834141468</v>
      </c>
      <c r="G199" s="58">
        <v>0.17442790236619432</v>
      </c>
      <c r="H199" s="51">
        <v>8697.232297107428</v>
      </c>
      <c r="I199" s="57">
        <v>-0.001192345357539619</v>
      </c>
      <c r="J199" s="57">
        <v>0.03692336286330783</v>
      </c>
      <c r="K199" s="51">
        <v>226850.98494694548</v>
      </c>
      <c r="L199" s="57">
        <v>-0.03110009132959915</v>
      </c>
      <c r="M199" s="57">
        <v>0.9630766371366921</v>
      </c>
      <c r="N199" s="59">
        <v>0.002256121654275911</v>
      </c>
      <c r="O199" s="57">
        <v>-0.27522747982804374</v>
      </c>
      <c r="P199" s="51">
        <v>56.48288256261037</v>
      </c>
      <c r="Q199" s="35">
        <v>3550.885008038043</v>
      </c>
      <c r="R199" s="13">
        <v>4830.01419529805</v>
      </c>
      <c r="S199" s="57">
        <v>-0.22870678835980376</v>
      </c>
      <c r="T199" s="51">
        <v>261952.96547923854</v>
      </c>
      <c r="U199" s="51">
        <v>235548.2172440529</v>
      </c>
      <c r="V199" s="51">
        <v>-26404.74823518563</v>
      </c>
    </row>
    <row r="200">
      <c r="A200" s="55">
        <v>45278.95996368055</v>
      </c>
      <c r="B200" s="56">
        <v>5.169785368700356</v>
      </c>
      <c r="C200" s="57">
        <v>0.03398633572440002</v>
      </c>
      <c r="D200" s="58">
        <v>-0.06850714077471065</v>
      </c>
      <c r="E200" s="50">
        <v>68.28647545110822</v>
      </c>
      <c r="F200" s="57">
        <v>0.035770099944794076</v>
      </c>
      <c r="G200" s="58">
        <v>0.208976460707609</v>
      </c>
      <c r="H200" s="51">
        <v>8780.842062642345</v>
      </c>
      <c r="I200" s="57">
        <v>0.0012230315475843564</v>
      </c>
      <c r="J200" s="57">
        <v>0.03598597852684359</v>
      </c>
      <c r="K200" s="51">
        <v>235226.4747341571</v>
      </c>
      <c r="L200" s="57">
        <v>0.032763304176815666</v>
      </c>
      <c r="M200" s="57">
        <v>0.9640140214731565</v>
      </c>
      <c r="N200" s="59">
        <v>-0.0017837642203940574</v>
      </c>
      <c r="O200" s="57">
        <v>-0.27748360148231965</v>
      </c>
      <c r="P200" s="51">
        <v>56.48288256261037</v>
      </c>
      <c r="Q200" s="35">
        <v>3573.2890764219324</v>
      </c>
      <c r="R200" s="13">
        <v>4830.01419529805</v>
      </c>
      <c r="S200" s="57">
        <v>-0.22384036609648067</v>
      </c>
      <c r="T200" s="51">
        <v>261952.96547923854</v>
      </c>
      <c r="U200" s="51">
        <v>244007.31679679942</v>
      </c>
      <c r="V200" s="51">
        <v>-17945.648682439118</v>
      </c>
    </row>
    <row r="201">
      <c r="A201" s="55">
        <v>45277.959961747685</v>
      </c>
      <c r="B201" s="56">
        <v>4.9811612054299355</v>
      </c>
      <c r="C201" s="57">
        <v>-0.02099266676906575</v>
      </c>
      <c r="D201" s="58">
        <v>-0.10249347649911067</v>
      </c>
      <c r="E201" s="50">
        <v>66.26607709667357</v>
      </c>
      <c r="F201" s="57">
        <v>-0.0238096198164639</v>
      </c>
      <c r="G201" s="58">
        <v>0.17320636076281493</v>
      </c>
      <c r="H201" s="51">
        <v>8629.528681978845</v>
      </c>
      <c r="I201" s="57">
        <v>-7.705374570201389E-4</v>
      </c>
      <c r="J201" s="57">
        <v>0.03670507732517257</v>
      </c>
      <c r="K201" s="51">
        <v>226474.966686041</v>
      </c>
      <c r="L201" s="57">
        <v>-0.02022212931204561</v>
      </c>
      <c r="M201" s="57">
        <v>0.9632949226748274</v>
      </c>
      <c r="N201" s="59">
        <v>0.002816953047398152</v>
      </c>
      <c r="O201" s="57">
        <v>-0.2756998372619256</v>
      </c>
      <c r="P201" s="51">
        <v>56.48288256261037</v>
      </c>
      <c r="Q201" s="35">
        <v>3547.8861231672586</v>
      </c>
      <c r="R201" s="13">
        <v>4830.01419529805</v>
      </c>
      <c r="S201" s="57">
        <v>-0.22935818076989045</v>
      </c>
      <c r="T201" s="51">
        <v>261952.96547923854</v>
      </c>
      <c r="U201" s="51">
        <v>235104.49536801985</v>
      </c>
      <c r="V201" s="51">
        <v>-26848.47011121869</v>
      </c>
    </row>
    <row r="202">
      <c r="A202" s="55">
        <v>45276.95995415509</v>
      </c>
      <c r="B202" s="56">
        <v>5.09767050599825</v>
      </c>
      <c r="C202" s="57">
        <v>-0.01836816554738574</v>
      </c>
      <c r="D202" s="58">
        <v>-0.08150080973004492</v>
      </c>
      <c r="E202" s="50">
        <v>67.6109130566273</v>
      </c>
      <c r="F202" s="57">
        <v>-0.01975050143192192</v>
      </c>
      <c r="G202" s="58">
        <v>0.19701598057927883</v>
      </c>
      <c r="H202" s="51">
        <v>8732.478121262031</v>
      </c>
      <c r="I202" s="57">
        <v>-6.666550818404821E-4</v>
      </c>
      <c r="J202" s="57">
        <v>0.0362940479886607</v>
      </c>
      <c r="K202" s="51">
        <v>231871.10856023204</v>
      </c>
      <c r="L202" s="57">
        <v>-0.017701510465545255</v>
      </c>
      <c r="M202" s="57">
        <v>0.9637059520113392</v>
      </c>
      <c r="N202" s="59">
        <v>0.0013823358845361788</v>
      </c>
      <c r="O202" s="57">
        <v>-0.27851679030932375</v>
      </c>
      <c r="P202" s="51">
        <v>56.48288256261037</v>
      </c>
      <c r="Q202" s="35">
        <v>3558.6501616976734</v>
      </c>
      <c r="R202" s="13">
        <v>4830.01419529805</v>
      </c>
      <c r="S202" s="57">
        <v>-0.22702010735170064</v>
      </c>
      <c r="T202" s="51">
        <v>261952.96547923854</v>
      </c>
      <c r="U202" s="51">
        <v>240603.58668149408</v>
      </c>
      <c r="V202" s="51">
        <v>-21349.37879774446</v>
      </c>
    </row>
    <row r="203">
      <c r="A203" s="55">
        <v>45275.96310516204</v>
      </c>
      <c r="B203" s="56">
        <v>5.199613824786241</v>
      </c>
      <c r="C203" s="57">
        <v>-0.00883264418265918</v>
      </c>
      <c r="D203" s="58">
        <v>-0.06313264418265918</v>
      </c>
      <c r="E203" s="50">
        <v>68.72647830955921</v>
      </c>
      <c r="F203" s="57">
        <v>-0.005233517988799258</v>
      </c>
      <c r="G203" s="58">
        <v>0.21676648201120075</v>
      </c>
      <c r="H203" s="51">
        <v>8705.664781896843</v>
      </c>
      <c r="I203" s="57">
        <v>-3.1332225956309876E-4</v>
      </c>
      <c r="J203" s="57">
        <v>0.035473211994459526</v>
      </c>
      <c r="K203" s="51">
        <v>236709.51733514853</v>
      </c>
      <c r="L203" s="57">
        <v>-0.008519321923096082</v>
      </c>
      <c r="M203" s="57">
        <v>0.9645267880055405</v>
      </c>
      <c r="N203" s="59">
        <v>-0.0035991261938599223</v>
      </c>
      <c r="O203" s="57">
        <v>-0.2798991261938599</v>
      </c>
      <c r="P203" s="51">
        <v>56.48288256261037</v>
      </c>
      <c r="Q203" s="35">
        <v>3570.897100410722</v>
      </c>
      <c r="R203" s="13">
        <v>4830.01419529805</v>
      </c>
      <c r="S203" s="57">
        <v>-0.22435993089671397</v>
      </c>
      <c r="T203" s="51">
        <v>261952.96547923854</v>
      </c>
      <c r="U203" s="51">
        <v>245415.18211704536</v>
      </c>
      <c r="V203" s="51">
        <v>-16537.78336219318</v>
      </c>
    </row>
    <row r="204">
      <c r="A204" s="61" t="s">
        <v>47</v>
      </c>
      <c r="B204" s="56">
        <v>5.2489</v>
      </c>
      <c r="C204" s="57">
        <v>0.157</v>
      </c>
      <c r="D204" s="58">
        <v>-0.0543</v>
      </c>
      <c r="E204" s="50">
        <v>69.02</v>
      </c>
      <c r="F204" s="57">
        <v>0.1713</v>
      </c>
      <c r="G204" s="58">
        <v>0.222</v>
      </c>
      <c r="H204" s="51">
        <v>-52989.28</v>
      </c>
      <c r="I204" s="57">
        <v>-0.0336</v>
      </c>
      <c r="J204" s="57">
        <v>-0.2139</v>
      </c>
      <c r="K204" s="51">
        <v>300728.96</v>
      </c>
      <c r="L204" s="57">
        <v>0.1906</v>
      </c>
      <c r="M204" s="57">
        <v>1.2139</v>
      </c>
      <c r="N204" s="59">
        <v>-0.0143</v>
      </c>
      <c r="O204" s="57">
        <v>-0.2762</v>
      </c>
      <c r="P204" s="51">
        <v>56.48</v>
      </c>
      <c r="Q204" s="35">
        <v>3589.34</v>
      </c>
      <c r="R204" s="13">
        <v>4830.01419529805</v>
      </c>
      <c r="S204" s="57">
        <v>-0.2204</v>
      </c>
      <c r="T204" s="51">
        <v>261952.97</v>
      </c>
      <c r="U204" s="51">
        <v>247739.68</v>
      </c>
      <c r="V204" s="51">
        <v>-14213.28</v>
      </c>
    </row>
    <row r="205">
      <c r="A205" s="61" t="s">
        <v>48</v>
      </c>
      <c r="B205" s="56">
        <v>4.9851</v>
      </c>
      <c r="C205" s="57">
        <v>0.1095</v>
      </c>
      <c r="D205" s="58">
        <v>-0.1018</v>
      </c>
      <c r="E205" s="50">
        <v>66.23</v>
      </c>
      <c r="F205" s="57">
        <v>0.122</v>
      </c>
      <c r="G205" s="58">
        <v>0.1726</v>
      </c>
      <c r="H205" s="51">
        <v>-52879.69</v>
      </c>
      <c r="I205" s="57">
        <v>-0.0246</v>
      </c>
      <c r="J205" s="57">
        <v>-0.2247</v>
      </c>
      <c r="K205" s="51">
        <v>288168.45</v>
      </c>
      <c r="L205" s="57">
        <v>0.1341</v>
      </c>
      <c r="M205" s="57">
        <v>1.2247</v>
      </c>
      <c r="N205" s="59">
        <v>-0.0125</v>
      </c>
      <c r="O205" s="57">
        <v>-0.2744</v>
      </c>
      <c r="P205" s="51">
        <v>56.48</v>
      </c>
      <c r="Q205" s="35">
        <v>3552.38</v>
      </c>
      <c r="R205" s="13">
        <v>4830.01419529805</v>
      </c>
      <c r="S205" s="57">
        <v>-0.2284</v>
      </c>
      <c r="T205" s="51">
        <v>261952.97</v>
      </c>
      <c r="U205" s="51">
        <v>235288.76</v>
      </c>
      <c r="V205" s="51">
        <v>-26664.2</v>
      </c>
    </row>
    <row r="206">
      <c r="A206" s="55">
        <v>45272.95997974537</v>
      </c>
      <c r="B206" s="56">
        <v>4.377436994198563</v>
      </c>
      <c r="C206" s="57">
        <v>-0.1032624855227694</v>
      </c>
      <c r="D206" s="58">
        <v>-0.2112726136579166</v>
      </c>
      <c r="E206" s="50">
        <v>62.8526340218148</v>
      </c>
      <c r="F206" s="57">
        <v>-0.11312330325072817</v>
      </c>
      <c r="G206" s="58">
        <v>0.05064475624288978</v>
      </c>
      <c r="H206" s="51">
        <v>-51076.69</v>
      </c>
      <c r="I206" s="57">
        <v>0.02389598457333974</v>
      </c>
      <c r="J206" s="57">
        <v>-0.2314101239415806</v>
      </c>
      <c r="K206" s="51">
        <v>271796.0307531915</v>
      </c>
      <c r="L206" s="57">
        <v>-0.12715847009610914</v>
      </c>
      <c r="M206" s="57">
        <v>1.2314101239415807</v>
      </c>
      <c r="N206" s="59">
        <v>0.00986081772795877</v>
      </c>
      <c r="O206" s="57">
        <v>-0.2619173699008064</v>
      </c>
      <c r="P206" s="53">
        <v>56.48288256261037</v>
      </c>
      <c r="Q206" s="35">
        <v>3511.695956554256</v>
      </c>
      <c r="R206" s="13">
        <v>4830.01419529805</v>
      </c>
      <c r="S206" s="57">
        <v>-0.24377333764541484</v>
      </c>
      <c r="T206" s="53">
        <v>261952.96547923854</v>
      </c>
      <c r="U206" s="51">
        <v>220719.3407531915</v>
      </c>
      <c r="V206" s="51">
        <v>-59123.028835154546</v>
      </c>
    </row>
    <row r="207">
      <c r="A207" s="55">
        <v>45271.95999565972</v>
      </c>
      <c r="B207" s="56">
        <v>4.950543788849933</v>
      </c>
      <c r="C207" s="57">
        <v>-0.06721986722138418</v>
      </c>
      <c r="D207" s="58">
        <v>-0.10801012813514721</v>
      </c>
      <c r="E207" s="50">
        <v>69.62</v>
      </c>
      <c r="F207" s="57">
        <v>-0.07388472885610153</v>
      </c>
      <c r="G207" s="58">
        <v>0.16376805949361795</v>
      </c>
      <c r="H207" s="51">
        <v>-51076.689999999995</v>
      </c>
      <c r="I207" s="57">
        <v>0.013754569521661262</v>
      </c>
      <c r="J207" s="57">
        <v>-0.20462059938859295</v>
      </c>
      <c r="K207" s="51">
        <v>300693.24939146556</v>
      </c>
      <c r="L207" s="57">
        <v>-0.08097443674304544</v>
      </c>
      <c r="M207" s="57">
        <v>1.204620599388593</v>
      </c>
      <c r="N207" s="59">
        <v>0.006664861634717356</v>
      </c>
      <c r="O207" s="57">
        <v>-0.27177818762876516</v>
      </c>
      <c r="P207" s="53">
        <v>56.48288256261037</v>
      </c>
      <c r="Q207" s="35">
        <v>3585.414527312059</v>
      </c>
      <c r="R207" s="13">
        <v>4830.01419529805</v>
      </c>
      <c r="S207" s="57">
        <v>-0.22789840160100125</v>
      </c>
      <c r="T207" s="53">
        <v>261952.96547923854</v>
      </c>
      <c r="U207" s="51">
        <v>249616.55939146556</v>
      </c>
      <c r="V207" s="51">
        <v>-30225.810196880484</v>
      </c>
    </row>
    <row r="208">
      <c r="A208" s="55">
        <v>45270.959965208334</v>
      </c>
      <c r="B208" s="56">
        <v>5.323614051928615</v>
      </c>
      <c r="C208" s="57">
        <v>0.002641473121937854</v>
      </c>
      <c r="D208" s="58">
        <v>-0.04079026091376303</v>
      </c>
      <c r="E208" s="50">
        <v>74.04</v>
      </c>
      <c r="F208" s="57">
        <v>0.002674560320582886</v>
      </c>
      <c r="G208" s="58">
        <v>0.23765278834971948</v>
      </c>
      <c r="H208" s="51">
        <v>-51076.69</v>
      </c>
      <c r="I208" s="57">
        <v>-5.026224606811071E-4</v>
      </c>
      <c r="J208" s="57">
        <v>-0.19028111870862804</v>
      </c>
      <c r="K208" s="51">
        <v>319504.21631811175</v>
      </c>
      <c r="L208" s="57">
        <v>0.003144095582618961</v>
      </c>
      <c r="M208" s="57">
        <v>1.190281118708628</v>
      </c>
      <c r="N208" s="59">
        <v>-3.308719864503207E-5</v>
      </c>
      <c r="O208" s="57">
        <v>-0.2784430492634825</v>
      </c>
      <c r="P208" s="53">
        <v>56.48288256261037</v>
      </c>
      <c r="Q208" s="35">
        <v>3625.439307375901</v>
      </c>
      <c r="R208" s="13">
        <v>4830.01419529805</v>
      </c>
      <c r="S208" s="57">
        <v>-0.2192792596782321</v>
      </c>
      <c r="T208" s="53">
        <v>261952.96547923854</v>
      </c>
      <c r="U208" s="51">
        <v>268427.52631811175</v>
      </c>
      <c r="V208" s="51">
        <v>-11414.843270234298</v>
      </c>
    </row>
    <row r="209">
      <c r="A209" s="55">
        <v>45269.959965208334</v>
      </c>
      <c r="B209" s="56">
        <v>5.30895387610186</v>
      </c>
      <c r="C209" s="57">
        <v>0.009722269732923117</v>
      </c>
      <c r="D209" s="58">
        <v>-0.043431734035700886</v>
      </c>
      <c r="E209" s="50">
        <v>73.88</v>
      </c>
      <c r="F209" s="57">
        <v>0.004346160520947162</v>
      </c>
      <c r="G209" s="58">
        <v>0.2349782280291366</v>
      </c>
      <c r="H209" s="51">
        <v>-51043.08</v>
      </c>
      <c r="I209" s="57">
        <v>-0.001853852169612565</v>
      </c>
      <c r="J209" s="57">
        <v>-0.19068100562307502</v>
      </c>
      <c r="K209" s="51">
        <v>318731.41022046475</v>
      </c>
      <c r="L209" s="57">
        <v>0.011576121902535682</v>
      </c>
      <c r="M209" s="57">
        <v>1.190681005623075</v>
      </c>
      <c r="N209" s="59">
        <v>0.005376109211975955</v>
      </c>
      <c r="O209" s="57">
        <v>-0.2784099620648375</v>
      </c>
      <c r="P209" s="53">
        <v>56.48288256261037</v>
      </c>
      <c r="Q209" s="35">
        <v>3623.285465896924</v>
      </c>
      <c r="R209" s="13">
        <v>4830.01419529805</v>
      </c>
      <c r="S209" s="57">
        <v>-0.21974307897609804</v>
      </c>
      <c r="T209" s="53">
        <v>261952.96547923854</v>
      </c>
      <c r="U209" s="51">
        <v>267688.33022046473</v>
      </c>
      <c r="V209" s="51">
        <v>-12154.039367881313</v>
      </c>
    </row>
    <row r="210">
      <c r="A210" s="55">
        <v>45268.95998564815</v>
      </c>
      <c r="B210" s="56">
        <v>5.254995279084136</v>
      </c>
      <c r="C210" s="57">
        <v>0.08870544257157131</v>
      </c>
      <c r="D210" s="58">
        <v>-0.053154003768624</v>
      </c>
      <c r="E210" s="50">
        <v>73.62</v>
      </c>
      <c r="F210" s="57">
        <v>0.09594985150091029</v>
      </c>
      <c r="G210" s="58">
        <v>0.23063206750818943</v>
      </c>
      <c r="H210" s="51">
        <v>-51043.08</v>
      </c>
      <c r="I210" s="57">
        <v>-0.017088121477745768</v>
      </c>
      <c r="J210" s="57">
        <v>-0.19263892927379678</v>
      </c>
      <c r="K210" s="51">
        <v>316010.7072206264</v>
      </c>
      <c r="L210" s="57">
        <v>0.10579356404931708</v>
      </c>
      <c r="M210" s="57">
        <v>1.1926389292737969</v>
      </c>
      <c r="N210" s="59">
        <v>-0.007244408929338975</v>
      </c>
      <c r="O210" s="57">
        <v>-0.28378607127681343</v>
      </c>
      <c r="P210" s="53">
        <v>56.48288256261037</v>
      </c>
      <c r="Q210" s="35">
        <v>3599.125607452138</v>
      </c>
      <c r="R210" s="13">
        <v>4830.01419529805</v>
      </c>
      <c r="S210" s="57">
        <v>-0.2249457871093463</v>
      </c>
      <c r="T210" s="53">
        <v>261952.96547923854</v>
      </c>
      <c r="U210" s="51">
        <v>264967.6272206264</v>
      </c>
      <c r="V210" s="51">
        <v>-14874.74236771965</v>
      </c>
    </row>
    <row r="211">
      <c r="A211" s="55">
        <v>45267.95995863426</v>
      </c>
      <c r="B211" s="56">
        <v>4.762680072811916</v>
      </c>
      <c r="C211" s="57">
        <v>0.08384945875941119</v>
      </c>
      <c r="D211" s="58">
        <v>-0.14185944634019532</v>
      </c>
      <c r="E211" s="50">
        <v>67.88</v>
      </c>
      <c r="F211" s="57">
        <v>0.0890962906794166</v>
      </c>
      <c r="G211" s="58">
        <v>0.13468221600727914</v>
      </c>
      <c r="H211" s="51">
        <v>-51121.05000000001</v>
      </c>
      <c r="I211" s="57">
        <v>-0.01784958541157212</v>
      </c>
      <c r="J211" s="57">
        <v>-0.2128765727968244</v>
      </c>
      <c r="K211" s="51">
        <v>291265.135976015</v>
      </c>
      <c r="L211" s="57">
        <v>0.10169904417098331</v>
      </c>
      <c r="M211" s="57">
        <v>1.2128765727968245</v>
      </c>
      <c r="N211" s="59">
        <v>-0.0052468319200054125</v>
      </c>
      <c r="O211" s="57">
        <v>-0.27654166234747446</v>
      </c>
      <c r="P211" s="53">
        <v>56.48288256261037</v>
      </c>
      <c r="Q211" s="35">
        <v>3537.7738063643933</v>
      </c>
      <c r="R211" s="13">
        <v>4830.01419529805</v>
      </c>
      <c r="S211" s="57">
        <v>-0.2381575993903708</v>
      </c>
      <c r="T211" s="53">
        <v>261952.96547923854</v>
      </c>
      <c r="U211" s="51">
        <v>240144.085976015</v>
      </c>
      <c r="V211" s="51">
        <v>-39698.283612331055</v>
      </c>
    </row>
    <row r="212">
      <c r="A212" s="55">
        <v>45266.96019899305</v>
      </c>
      <c r="B212" s="56">
        <v>4.297315576697184</v>
      </c>
      <c r="C212" s="57">
        <v>0.033448577098477816</v>
      </c>
      <c r="D212" s="58">
        <v>-0.2257089050996065</v>
      </c>
      <c r="E212" s="50">
        <v>62.55</v>
      </c>
      <c r="F212" s="57">
        <v>0.03543792424772274</v>
      </c>
      <c r="G212" s="58">
        <v>0.04558592532786254</v>
      </c>
      <c r="H212" s="51">
        <v>-51121.05</v>
      </c>
      <c r="I212" s="57">
        <v>-0.00789150214665326</v>
      </c>
      <c r="J212" s="57">
        <v>-0.23592938268852065</v>
      </c>
      <c r="K212" s="51">
        <v>267800.50474808103</v>
      </c>
      <c r="L212" s="57">
        <v>0.04134007924513107</v>
      </c>
      <c r="M212" s="57">
        <v>1.2359293826885205</v>
      </c>
      <c r="N212" s="59">
        <v>-0.0019893471492449244</v>
      </c>
      <c r="O212" s="57">
        <v>-0.27129483042746905</v>
      </c>
      <c r="P212" s="53">
        <v>56.48288256261037</v>
      </c>
      <c r="Q212" s="35">
        <v>3464.0999959725186</v>
      </c>
      <c r="R212" s="13">
        <v>4830.01419529805</v>
      </c>
      <c r="S212" s="57">
        <v>-0.2540228965074537</v>
      </c>
      <c r="T212" s="53">
        <v>261952.96547923854</v>
      </c>
      <c r="U212" s="51">
        <v>216679.45474808104</v>
      </c>
      <c r="V212" s="51">
        <v>-63162.914840265</v>
      </c>
    </row>
    <row r="213">
      <c r="A213" s="55">
        <v>45265.95996810185</v>
      </c>
      <c r="B213" s="56">
        <v>4.111675973800632</v>
      </c>
      <c r="C213" s="57">
        <v>-0.0029033837387566486</v>
      </c>
      <c r="D213" s="58">
        <v>-0.2591574821980843</v>
      </c>
      <c r="E213" s="50">
        <v>60.43</v>
      </c>
      <c r="F213" s="57">
        <v>-0.00819084098178502</v>
      </c>
      <c r="G213" s="58">
        <v>0.010148001080139801</v>
      </c>
      <c r="H213" s="51">
        <v>-51217.99999999999</v>
      </c>
      <c r="I213" s="57">
        <v>7.172782918534995E-4</v>
      </c>
      <c r="J213" s="57">
        <v>-0.2470490835498956</v>
      </c>
      <c r="K213" s="51">
        <v>258537.12567348455</v>
      </c>
      <c r="L213" s="57">
        <v>-0.0036206620306101487</v>
      </c>
      <c r="M213" s="57">
        <v>1.2470490835498957</v>
      </c>
      <c r="N213" s="59">
        <v>0.005287457243028371</v>
      </c>
      <c r="O213" s="57">
        <v>-0.2693054832782241</v>
      </c>
      <c r="P213" s="53">
        <v>56.48288256261037</v>
      </c>
      <c r="Q213" s="35">
        <v>3430.731849635687</v>
      </c>
      <c r="R213" s="13">
        <v>4830.01419529805</v>
      </c>
      <c r="S213" s="57">
        <v>-0.26120856469896236</v>
      </c>
      <c r="T213" s="53">
        <v>261952.96547923854</v>
      </c>
      <c r="U213" s="51">
        <v>207319.12567348455</v>
      </c>
      <c r="V213" s="51">
        <v>-72523.2439148615</v>
      </c>
    </row>
    <row r="214">
      <c r="A214" s="55">
        <v>45264.95997163195</v>
      </c>
      <c r="B214" s="56">
        <v>4.127789753550731</v>
      </c>
      <c r="C214" s="57">
        <v>-0.03923254488959527</v>
      </c>
      <c r="D214" s="58">
        <v>-0.2562540984593277</v>
      </c>
      <c r="E214" s="50">
        <v>60.92</v>
      </c>
      <c r="F214" s="57">
        <v>-0.04546752544990862</v>
      </c>
      <c r="G214" s="58">
        <v>0.01833884206192482</v>
      </c>
      <c r="H214" s="51">
        <v>-51655.0</v>
      </c>
      <c r="I214" s="57">
        <v>0.009736901824382223</v>
      </c>
      <c r="J214" s="57">
        <v>-0.2481843034088904</v>
      </c>
      <c r="K214" s="51">
        <v>259786.61545876245</v>
      </c>
      <c r="L214" s="57">
        <v>-0.04896944671397749</v>
      </c>
      <c r="M214" s="57">
        <v>1.2481843034088904</v>
      </c>
      <c r="N214" s="59">
        <v>0.006234980560313352</v>
      </c>
      <c r="O214" s="57">
        <v>-0.2745929405212525</v>
      </c>
      <c r="P214" s="53">
        <v>56.48288256261037</v>
      </c>
      <c r="Q214" s="35">
        <v>3416.474318101813</v>
      </c>
      <c r="R214" s="13">
        <v>4830.01419529805</v>
      </c>
      <c r="S214" s="57">
        <v>-0.26427885484328806</v>
      </c>
      <c r="T214" s="53">
        <v>261952.96547923854</v>
      </c>
      <c r="U214" s="51">
        <v>208131.61545876245</v>
      </c>
      <c r="V214" s="51">
        <v>-71710.7541295836</v>
      </c>
    </row>
    <row r="215">
      <c r="A215" s="55">
        <v>45263.95997664351</v>
      </c>
      <c r="B215" s="56">
        <v>4.345530377687985</v>
      </c>
      <c r="C215" s="57">
        <v>0.014272938904209553</v>
      </c>
      <c r="D215" s="58">
        <v>-0.2170215535697324</v>
      </c>
      <c r="E215" s="50">
        <v>63.64</v>
      </c>
      <c r="F215" s="57">
        <v>0.012035521442622876</v>
      </c>
      <c r="G215" s="58">
        <v>0.06380636751183344</v>
      </c>
      <c r="H215" s="51">
        <v>-52255.0</v>
      </c>
      <c r="I215" s="57">
        <v>-0.0034039093215391092</v>
      </c>
      <c r="J215" s="57">
        <v>-0.2384869258100156</v>
      </c>
      <c r="K215" s="51">
        <v>271365.54378564795</v>
      </c>
      <c r="L215" s="57">
        <v>0.01767684822574866</v>
      </c>
      <c r="M215" s="57">
        <v>1.2384869258100155</v>
      </c>
      <c r="N215" s="59">
        <v>0.002237417461586677</v>
      </c>
      <c r="O215" s="57">
        <v>-0.28082792108156585</v>
      </c>
      <c r="P215" s="53">
        <v>56.48288256261037</v>
      </c>
      <c r="Q215" s="35">
        <v>3442.9689469774976</v>
      </c>
      <c r="R215" s="13">
        <v>4830.01419529805</v>
      </c>
      <c r="S215" s="57">
        <v>-0.2585733652414371</v>
      </c>
      <c r="T215" s="53">
        <v>261952.96547923854</v>
      </c>
      <c r="U215" s="51">
        <v>219110.54378564795</v>
      </c>
      <c r="V215" s="51">
        <v>-60731.82580269809</v>
      </c>
    </row>
    <row r="216">
      <c r="A216" s="55">
        <v>45262.95997822916</v>
      </c>
      <c r="B216" s="56">
        <v>4.266315566769622</v>
      </c>
      <c r="C216" s="57">
        <v>0.04339534571854042</v>
      </c>
      <c r="D216" s="58">
        <v>-0.23129449247394196</v>
      </c>
      <c r="E216" s="50">
        <v>62.92</v>
      </c>
      <c r="F216" s="57">
        <v>0.0476406057103822</v>
      </c>
      <c r="G216" s="58">
        <v>0.05177084606921056</v>
      </c>
      <c r="H216" s="51">
        <v>-52985.89</v>
      </c>
      <c r="I216" s="57">
        <v>-0.010688823945972162</v>
      </c>
      <c r="J216" s="57">
        <v>-0.24631268097964296</v>
      </c>
      <c r="K216" s="51">
        <v>268102.26074170426</v>
      </c>
      <c r="L216" s="57">
        <v>0.054084169664512585</v>
      </c>
      <c r="M216" s="57">
        <v>1.246312680979643</v>
      </c>
      <c r="N216" s="59">
        <v>-0.004245259991841777</v>
      </c>
      <c r="O216" s="57">
        <v>-0.2830653385431525</v>
      </c>
      <c r="P216" s="53">
        <v>56.48288256261037</v>
      </c>
      <c r="Q216" s="35">
        <v>3418.8870111523242</v>
      </c>
      <c r="R216" s="13">
        <v>4830.01419529805</v>
      </c>
      <c r="S216" s="57">
        <v>-0.26375929311714574</v>
      </c>
      <c r="T216" s="53">
        <v>261952.96547923854</v>
      </c>
      <c r="U216" s="51">
        <v>215116.37074170425</v>
      </c>
      <c r="V216" s="51">
        <v>-64725.9988466418</v>
      </c>
    </row>
    <row r="217">
      <c r="A217" s="55">
        <v>45261.95997069444</v>
      </c>
      <c r="B217" s="56">
        <v>4.025471398031723</v>
      </c>
      <c r="C217" s="57">
        <v>0.008767904515953884</v>
      </c>
      <c r="D217" s="58">
        <v>-0.2746898381924824</v>
      </c>
      <c r="E217" s="50">
        <v>60.07</v>
      </c>
      <c r="F217" s="57">
        <v>0.00919380110200363</v>
      </c>
      <c r="G217" s="58">
        <v>0.004130240358828363</v>
      </c>
      <c r="H217" s="51">
        <v>-52985.89</v>
      </c>
      <c r="I217" s="57">
        <v>-0.0022888578074835306</v>
      </c>
      <c r="J217" s="57">
        <v>-0.26104958183780125</v>
      </c>
      <c r="K217" s="51">
        <v>255958.40436672245</v>
      </c>
      <c r="L217" s="57">
        <v>0.011056762323437415</v>
      </c>
      <c r="M217" s="57">
        <v>1.2610495818378014</v>
      </c>
      <c r="N217" s="59">
        <v>-4.2589658604974545E-4</v>
      </c>
      <c r="O217" s="57">
        <v>-0.27882007855131075</v>
      </c>
      <c r="P217" s="53">
        <v>56.48288256261037</v>
      </c>
      <c r="Q217" s="35">
        <v>3378.933150769476</v>
      </c>
      <c r="R217" s="13">
        <v>4830.01419529805</v>
      </c>
      <c r="S217" s="57">
        <v>-0.2723631628311825</v>
      </c>
      <c r="T217" s="53">
        <v>261952.96547923854</v>
      </c>
      <c r="U217" s="51">
        <v>202972.51436672243</v>
      </c>
      <c r="V217" s="51">
        <v>-76869.85522162361</v>
      </c>
    </row>
    <row r="218">
      <c r="A218" s="55">
        <v>45260.95996435185</v>
      </c>
      <c r="B218" s="56">
        <v>3.9768095279681788</v>
      </c>
      <c r="C218" s="57">
        <v>0.0030924979804570762</v>
      </c>
      <c r="D218" s="58">
        <v>-0.28345774270843627</v>
      </c>
      <c r="E218" s="50">
        <v>59.52</v>
      </c>
      <c r="F218" s="57">
        <v>0.003510360420765024</v>
      </c>
      <c r="G218" s="58">
        <v>-0.005063560743175266</v>
      </c>
      <c r="H218" s="51">
        <v>-52985.88999999999</v>
      </c>
      <c r="I218" s="57">
        <v>-8.171737006031682E-4</v>
      </c>
      <c r="J218" s="57">
        <v>-0.2642438914325139</v>
      </c>
      <c r="K218" s="51">
        <v>253504.7731906535</v>
      </c>
      <c r="L218" s="57">
        <v>0.003909671681060244</v>
      </c>
      <c r="M218" s="57">
        <v>1.2642438914325138</v>
      </c>
      <c r="N218" s="59">
        <v>-4.1786244030794784E-4</v>
      </c>
      <c r="O218" s="57">
        <v>-0.278394181965261</v>
      </c>
      <c r="P218" s="53">
        <v>56.48288256261037</v>
      </c>
      <c r="Q218" s="35">
        <v>3368.9328493053345</v>
      </c>
      <c r="R218" s="13">
        <v>4830.01419529805</v>
      </c>
      <c r="S218" s="57">
        <v>-0.2745166791641249</v>
      </c>
      <c r="T218" s="53">
        <v>261952.96547923854</v>
      </c>
      <c r="U218" s="51">
        <v>200518.88319065352</v>
      </c>
      <c r="V218" s="51">
        <v>-79323.48639769253</v>
      </c>
    </row>
    <row r="219">
      <c r="A219" s="55">
        <v>45259.959971759265</v>
      </c>
      <c r="B219" s="56">
        <v>3.959646164176642</v>
      </c>
      <c r="C219" s="57">
        <v>0.01976325149294267</v>
      </c>
      <c r="D219" s="58">
        <v>-0.28655024068889334</v>
      </c>
      <c r="E219" s="50">
        <v>59.31</v>
      </c>
      <c r="F219" s="57">
        <v>0.021062162524590144</v>
      </c>
      <c r="G219" s="58">
        <v>-0.00857392116394029</v>
      </c>
      <c r="H219" s="51">
        <v>-52985.89</v>
      </c>
      <c r="I219" s="57">
        <v>-0.00524495498729549</v>
      </c>
      <c r="J219" s="57">
        <v>-0.2653892750982008</v>
      </c>
      <c r="K219" s="51">
        <v>252639.36122785526</v>
      </c>
      <c r="L219" s="57">
        <v>0.02500820648023816</v>
      </c>
      <c r="M219" s="57">
        <v>1.265389275098201</v>
      </c>
      <c r="N219" s="59">
        <v>-0.0012989110316474761</v>
      </c>
      <c r="O219" s="57">
        <v>-0.27797631952495305</v>
      </c>
      <c r="P219" s="53">
        <v>56.48288256261037</v>
      </c>
      <c r="Q219" s="35">
        <v>3366.269958318247</v>
      </c>
      <c r="R219" s="13">
        <v>4830.01419529805</v>
      </c>
      <c r="S219" s="57">
        <v>-0.2750901198002998</v>
      </c>
      <c r="T219" s="53">
        <v>261952.96547923854</v>
      </c>
      <c r="U219" s="51">
        <v>199653.47122785525</v>
      </c>
      <c r="V219" s="51">
        <v>-80188.8983604908</v>
      </c>
    </row>
    <row r="220">
      <c r="A220" s="55">
        <v>45258.96003662037</v>
      </c>
      <c r="B220" s="56">
        <v>3.84996011839081</v>
      </c>
      <c r="C220" s="57">
        <v>0.05311274274981226</v>
      </c>
      <c r="D220" s="58">
        <v>-0.306313492181836</v>
      </c>
      <c r="E220" s="50">
        <v>58.05</v>
      </c>
      <c r="F220" s="57">
        <v>0.05833884699271352</v>
      </c>
      <c r="G220" s="58">
        <v>-0.029636083688530435</v>
      </c>
      <c r="H220" s="51">
        <v>-52985.89</v>
      </c>
      <c r="I220" s="57">
        <v>-0.01449713707878657</v>
      </c>
      <c r="J220" s="57">
        <v>-0.2729502625589377</v>
      </c>
      <c r="K220" s="51">
        <v>247108.76609929977</v>
      </c>
      <c r="L220" s="57">
        <v>0.06760987982859883</v>
      </c>
      <c r="M220" s="57">
        <v>1.2729502625589377</v>
      </c>
      <c r="N220" s="59">
        <v>-0.005226104242901264</v>
      </c>
      <c r="O220" s="57">
        <v>-0.2766774084933056</v>
      </c>
      <c r="P220" s="53">
        <v>56.48288256261037</v>
      </c>
      <c r="Q220" s="35">
        <v>3344.0633264306593</v>
      </c>
      <c r="R220" s="13">
        <v>4830.01419529805</v>
      </c>
      <c r="S220" s="57">
        <v>-0.27987221008438157</v>
      </c>
      <c r="T220" s="53">
        <v>261952.96547923854</v>
      </c>
      <c r="U220" s="51">
        <v>194122.87609929976</v>
      </c>
      <c r="V220" s="51">
        <v>-85719.49348904629</v>
      </c>
    </row>
    <row r="221">
      <c r="A221" s="55">
        <v>45257.95996856481</v>
      </c>
      <c r="B221" s="56">
        <v>3.555184396129352</v>
      </c>
      <c r="C221" s="57">
        <v>-0.049167179667703564</v>
      </c>
      <c r="D221" s="58">
        <v>-0.35942623493164827</v>
      </c>
      <c r="E221" s="50">
        <v>54.56</v>
      </c>
      <c r="F221" s="57">
        <v>-0.05716872685245855</v>
      </c>
      <c r="G221" s="58">
        <v>-0.08797493068124396</v>
      </c>
      <c r="H221" s="51">
        <v>-53012.61</v>
      </c>
      <c r="I221" s="57">
        <v>0.014540249742579558</v>
      </c>
      <c r="J221" s="57">
        <v>-0.29573080743800745</v>
      </c>
      <c r="K221" s="51">
        <v>232272.29031285603</v>
      </c>
      <c r="L221" s="57">
        <v>-0.06370742941028312</v>
      </c>
      <c r="M221" s="57">
        <v>1.2957308074380074</v>
      </c>
      <c r="N221" s="59">
        <v>0.008001547184754987</v>
      </c>
      <c r="O221" s="57">
        <v>-0.2714513042504043</v>
      </c>
      <c r="P221" s="53">
        <v>56.48288256261037</v>
      </c>
      <c r="Q221" s="35">
        <v>3285.5513253822587</v>
      </c>
      <c r="R221" s="13">
        <v>4830.01419529805</v>
      </c>
      <c r="S221" s="57">
        <v>-0.2924724852243562</v>
      </c>
      <c r="T221" s="53">
        <v>261952.96547923854</v>
      </c>
      <c r="U221" s="51">
        <v>179259.68031285604</v>
      </c>
      <c r="V221" s="51">
        <v>-100582.68927549</v>
      </c>
    </row>
    <row r="222">
      <c r="A222" s="55">
        <v>45256.959982581015</v>
      </c>
      <c r="B222" s="56">
        <v>3.828062243285107</v>
      </c>
      <c r="C222" s="57">
        <v>-0.012319816170076492</v>
      </c>
      <c r="D222" s="58">
        <v>-0.3102590552639447</v>
      </c>
      <c r="E222" s="50">
        <v>57.98</v>
      </c>
      <c r="F222" s="57">
        <v>-0.013038481562841486</v>
      </c>
      <c r="G222" s="58">
        <v>-0.030806203828785406</v>
      </c>
      <c r="H222" s="51">
        <v>-53012.61</v>
      </c>
      <c r="I222" s="57">
        <v>0.003383638338019326</v>
      </c>
      <c r="J222" s="57">
        <v>-0.27465006712014256</v>
      </c>
      <c r="K222" s="51">
        <v>246031.35037704214</v>
      </c>
      <c r="L222" s="57">
        <v>-0.015703454508095818</v>
      </c>
      <c r="M222" s="57">
        <v>1.2746500671201424</v>
      </c>
      <c r="N222" s="59">
        <v>7.186653927649944E-4</v>
      </c>
      <c r="O222" s="57">
        <v>-0.2794528514351593</v>
      </c>
      <c r="P222" s="53">
        <v>56.48288256261037</v>
      </c>
      <c r="Q222" s="35">
        <v>3329.057267627495</v>
      </c>
      <c r="R222" s="13">
        <v>4830.01419529805</v>
      </c>
      <c r="S222" s="57">
        <v>-0.2831036919393621</v>
      </c>
      <c r="T222" s="53">
        <v>261952.96547923854</v>
      </c>
      <c r="U222" s="51">
        <v>193018.74037704215</v>
      </c>
      <c r="V222" s="51">
        <v>-86823.6292113039</v>
      </c>
    </row>
    <row r="223">
      <c r="A223" s="55">
        <v>45255.959975624995</v>
      </c>
      <c r="B223" s="56">
        <v>3.8964372230290314</v>
      </c>
      <c r="C223" s="57">
        <v>0.029315878292230257</v>
      </c>
      <c r="D223" s="58">
        <v>-0.2979392390938682</v>
      </c>
      <c r="E223" s="50">
        <v>58.76</v>
      </c>
      <c r="F223" s="57">
        <v>0.02808288336612008</v>
      </c>
      <c r="G223" s="58">
        <v>-0.01776772226594392</v>
      </c>
      <c r="H223" s="51">
        <v>-53012.61</v>
      </c>
      <c r="I223" s="57">
        <v>-0.007910317705918183</v>
      </c>
      <c r="J223" s="57">
        <v>-0.2698304866415923</v>
      </c>
      <c r="K223" s="51">
        <v>249478.95692696917</v>
      </c>
      <c r="L223" s="57">
        <v>0.037226195998148436</v>
      </c>
      <c r="M223" s="57">
        <v>1.2698304866415921</v>
      </c>
      <c r="N223" s="59">
        <v>0.0012329949261101758</v>
      </c>
      <c r="O223" s="57">
        <v>-0.2801715168279243</v>
      </c>
      <c r="P223" s="53">
        <v>56.48288256261037</v>
      </c>
      <c r="Q223" s="35">
        <v>3343.5389197918516</v>
      </c>
      <c r="R223" s="13">
        <v>4830.01419529805</v>
      </c>
      <c r="S223" s="57">
        <v>-0.2799851385061722</v>
      </c>
      <c r="T223" s="53">
        <v>261952.96547923854</v>
      </c>
      <c r="U223" s="51">
        <v>196466.34692696919</v>
      </c>
      <c r="V223" s="51">
        <v>-83376.02266137686</v>
      </c>
    </row>
    <row r="224">
      <c r="A224" s="55">
        <v>45254.95996273148</v>
      </c>
      <c r="B224" s="56">
        <v>3.733734098507153</v>
      </c>
      <c r="C224" s="57">
        <v>-0.003927378515011903</v>
      </c>
      <c r="D224" s="58">
        <v>-0.32725511738609847</v>
      </c>
      <c r="E224" s="50">
        <v>57.08</v>
      </c>
      <c r="F224" s="57">
        <v>0.003343200400728441</v>
      </c>
      <c r="G224" s="58">
        <v>-0.045850605632064</v>
      </c>
      <c r="H224" s="51">
        <v>-53079.0</v>
      </c>
      <c r="I224" s="57">
        <v>0.0011072906168266533</v>
      </c>
      <c r="J224" s="57">
        <v>-0.28194140508590554</v>
      </c>
      <c r="K224" s="51">
        <v>241341.5220791079</v>
      </c>
      <c r="L224" s="57">
        <v>-0.005034669131838556</v>
      </c>
      <c r="M224" s="57">
        <v>1.2819414050859055</v>
      </c>
      <c r="N224" s="59">
        <v>-0.007270578915740344</v>
      </c>
      <c r="O224" s="57">
        <v>-0.28140451175403447</v>
      </c>
      <c r="P224" s="53">
        <v>56.48288256261037</v>
      </c>
      <c r="Q224" s="35">
        <v>3298.22218078325</v>
      </c>
      <c r="R224" s="13">
        <v>4830.01419529805</v>
      </c>
      <c r="S224" s="57">
        <v>-0.28974387807623864</v>
      </c>
      <c r="T224" s="53">
        <v>261952.96547923854</v>
      </c>
      <c r="U224" s="51">
        <v>188262.5220791079</v>
      </c>
      <c r="V224" s="51">
        <v>-91579.84750923814</v>
      </c>
    </row>
    <row r="225">
      <c r="A225" s="55">
        <v>45253.95996177083</v>
      </c>
      <c r="B225" s="56">
        <v>3.7555310492654694</v>
      </c>
      <c r="C225" s="57">
        <v>-0.014158998378125176</v>
      </c>
      <c r="D225" s="58">
        <v>-0.32332773887108657</v>
      </c>
      <c r="E225" s="50">
        <v>56.88</v>
      </c>
      <c r="F225" s="57">
        <v>-0.015378721843351317</v>
      </c>
      <c r="G225" s="58">
        <v>-0.04919380603279244</v>
      </c>
      <c r="H225" s="51">
        <v>-53129.0</v>
      </c>
      <c r="I225" s="57">
        <v>0.003972577059049583</v>
      </c>
      <c r="J225" s="57">
        <v>-0.28056907367028033</v>
      </c>
      <c r="K225" s="51">
        <v>242490.5689890192</v>
      </c>
      <c r="L225" s="57">
        <v>-0.01813157543717476</v>
      </c>
      <c r="M225" s="57">
        <v>1.2805690736702804</v>
      </c>
      <c r="N225" s="59">
        <v>0.0012197234652261413</v>
      </c>
      <c r="O225" s="57">
        <v>-0.2741339328382941</v>
      </c>
      <c r="P225" s="53">
        <v>56.48288256261037</v>
      </c>
      <c r="Q225" s="35">
        <v>3329.1415082457665</v>
      </c>
      <c r="R225" s="13">
        <v>4830.01419529805</v>
      </c>
      <c r="S225" s="57">
        <v>-0.2830855511315079</v>
      </c>
      <c r="T225" s="53">
        <v>261952.96547923854</v>
      </c>
      <c r="U225" s="51">
        <v>189361.5689890192</v>
      </c>
      <c r="V225" s="51">
        <v>-90480.80059932685</v>
      </c>
    </row>
    <row r="226">
      <c r="A226" s="55">
        <v>45252.95997091435</v>
      </c>
      <c r="B226" s="56">
        <v>3.8341134902640643</v>
      </c>
      <c r="C226" s="57">
        <v>0.08414190732364213</v>
      </c>
      <c r="D226" s="58">
        <v>-0.3091687404929614</v>
      </c>
      <c r="E226" s="50">
        <v>57.8</v>
      </c>
      <c r="F226" s="57">
        <v>0.09177085099999938</v>
      </c>
      <c r="G226" s="58">
        <v>-0.033815084189441125</v>
      </c>
      <c r="H226" s="51">
        <v>-53129.0</v>
      </c>
      <c r="I226" s="57">
        <v>-0.023123764814914162</v>
      </c>
      <c r="J226" s="57">
        <v>-0.2748186432947291</v>
      </c>
      <c r="K226" s="51">
        <v>246452.8566461513</v>
      </c>
      <c r="L226" s="57">
        <v>0.10726567213855628</v>
      </c>
      <c r="M226" s="57">
        <v>1.274818643294729</v>
      </c>
      <c r="N226" s="59">
        <v>-0.007628943676357247</v>
      </c>
      <c r="O226" s="57">
        <v>-0.27535365630352027</v>
      </c>
      <c r="P226" s="53">
        <v>56.48288256261037</v>
      </c>
      <c r="Q226" s="35">
        <v>3344.703402182549</v>
      </c>
      <c r="R226" s="13">
        <v>4830.01419529805</v>
      </c>
      <c r="S226" s="57">
        <v>-0.2797343728810775</v>
      </c>
      <c r="T226" s="53">
        <v>261952.96547923854</v>
      </c>
      <c r="U226" s="51">
        <v>193323.8566461513</v>
      </c>
      <c r="V226" s="51">
        <v>-86518.51294219473</v>
      </c>
    </row>
    <row r="227">
      <c r="A227" s="55">
        <v>45251.9599690162</v>
      </c>
      <c r="B227" s="56">
        <v>3.3671259046178506</v>
      </c>
      <c r="C227" s="57">
        <v>-0.06237099387126721</v>
      </c>
      <c r="D227" s="58">
        <v>-0.3933106478166035</v>
      </c>
      <c r="E227" s="50">
        <v>52.31</v>
      </c>
      <c r="F227" s="57">
        <v>-0.06903708827504507</v>
      </c>
      <c r="G227" s="58">
        <v>-0.1255859351894405</v>
      </c>
      <c r="H227" s="51">
        <v>-53155.00000000001</v>
      </c>
      <c r="I227" s="57">
        <v>0.019527513403985036</v>
      </c>
      <c r="J227" s="57">
        <v>-0.3130864556093098</v>
      </c>
      <c r="K227" s="51">
        <v>222932.38591902028</v>
      </c>
      <c r="L227" s="57">
        <v>-0.08189850727525225</v>
      </c>
      <c r="M227" s="57">
        <v>1.3130864556093098</v>
      </c>
      <c r="N227" s="59">
        <v>0.006666094403777856</v>
      </c>
      <c r="O227" s="57">
        <v>-0.267724712627163</v>
      </c>
      <c r="P227" s="53">
        <v>56.48288256261037</v>
      </c>
      <c r="Q227" s="35">
        <v>3245.60095429211</v>
      </c>
      <c r="R227" s="13">
        <v>4815.301122572489</v>
      </c>
      <c r="S227" s="57">
        <v>-0.3010756035361631</v>
      </c>
      <c r="T227" s="53">
        <v>261952.96547923854</v>
      </c>
      <c r="U227" s="51">
        <v>169777.38591902028</v>
      </c>
      <c r="V227" s="51">
        <v>-110064.98366932577</v>
      </c>
    </row>
    <row r="228">
      <c r="A228" s="55">
        <v>45250.95996842593</v>
      </c>
      <c r="B228" s="56">
        <v>3.7132849206033836</v>
      </c>
      <c r="C228" s="57">
        <v>-0.0636517728783873</v>
      </c>
      <c r="D228" s="58">
        <v>-0.3309396539453363</v>
      </c>
      <c r="E228" s="50">
        <v>56.44</v>
      </c>
      <c r="F228" s="57">
        <v>-0.07037436843533651</v>
      </c>
      <c r="G228" s="58">
        <v>-0.056548846914395434</v>
      </c>
      <c r="H228" s="51">
        <v>-53302.0</v>
      </c>
      <c r="I228" s="57">
        <v>0.018120711625018153</v>
      </c>
      <c r="J228" s="57">
        <v>-0.2846851046810507</v>
      </c>
      <c r="K228" s="51">
        <v>240533.4326375359</v>
      </c>
      <c r="L228" s="57">
        <v>-0.08177248450340546</v>
      </c>
      <c r="M228" s="57">
        <v>1.2846851046810508</v>
      </c>
      <c r="N228" s="59">
        <v>0.006722595556949207</v>
      </c>
      <c r="O228" s="57">
        <v>-0.2743908070309409</v>
      </c>
      <c r="P228" s="53">
        <v>56.48288256261037</v>
      </c>
      <c r="Q228" s="35">
        <v>3317.353519446065</v>
      </c>
      <c r="R228" s="13">
        <v>4815.301122572489</v>
      </c>
      <c r="S228" s="57">
        <v>-0.2856240372465241</v>
      </c>
      <c r="T228" s="53">
        <v>261952.96547923854</v>
      </c>
      <c r="U228" s="51">
        <v>187231.4326375359</v>
      </c>
      <c r="V228" s="51">
        <v>-92610.93695081014</v>
      </c>
    </row>
    <row r="229">
      <c r="A229" s="55">
        <v>45249.959956493054</v>
      </c>
      <c r="B229" s="56">
        <v>4.066552260078433</v>
      </c>
      <c r="C229" s="57">
        <v>0.033563836048654205</v>
      </c>
      <c r="D229" s="58">
        <v>-0.267287881066949</v>
      </c>
      <c r="E229" s="50">
        <v>60.65</v>
      </c>
      <c r="F229" s="57">
        <v>0.03610656432786852</v>
      </c>
      <c r="G229" s="58">
        <v>0.013825521520941075</v>
      </c>
      <c r="H229" s="51">
        <v>-53302.0</v>
      </c>
      <c r="I229" s="57">
        <v>-0.008725056573531313</v>
      </c>
      <c r="J229" s="57">
        <v>-0.25995409347380477</v>
      </c>
      <c r="K229" s="51">
        <v>258345.89558832307</v>
      </c>
      <c r="L229" s="57">
        <v>0.04228889262218552</v>
      </c>
      <c r="M229" s="57">
        <v>1.2599540934738047</v>
      </c>
      <c r="N229" s="59">
        <v>-0.0025427282792143124</v>
      </c>
      <c r="O229" s="57">
        <v>-0.2811134025878901</v>
      </c>
      <c r="P229" s="53">
        <v>56.48288256261037</v>
      </c>
      <c r="Q229" s="35">
        <v>3380.773216625277</v>
      </c>
      <c r="R229" s="13">
        <v>4815.301122572489</v>
      </c>
      <c r="S229" s="57">
        <v>-0.2719669135892605</v>
      </c>
      <c r="T229" s="53">
        <v>261952.96547923854</v>
      </c>
      <c r="U229" s="51">
        <v>205043.89558832307</v>
      </c>
      <c r="V229" s="51">
        <v>-74798.47400002298</v>
      </c>
    </row>
    <row r="230">
      <c r="A230" s="55">
        <v>45248.95995420139</v>
      </c>
      <c r="B230" s="56">
        <v>3.880272970008402</v>
      </c>
      <c r="C230" s="57">
        <v>-9.071371068910539E-4</v>
      </c>
      <c r="D230" s="58">
        <v>-0.3008517171156032</v>
      </c>
      <c r="E230" s="50">
        <v>58.49</v>
      </c>
      <c r="F230" s="57">
        <v>-1.67160020036361E-4</v>
      </c>
      <c r="G230" s="58">
        <v>-0.022281042806927442</v>
      </c>
      <c r="H230" s="51">
        <v>-53302.0</v>
      </c>
      <c r="I230" s="57">
        <v>2.4713466796487935E-4</v>
      </c>
      <c r="J230" s="57">
        <v>-0.2724336443603998</v>
      </c>
      <c r="K230" s="51">
        <v>248953.31217599288</v>
      </c>
      <c r="L230" s="57">
        <v>-0.0011542717748559332</v>
      </c>
      <c r="M230" s="57">
        <v>1.2724336443603999</v>
      </c>
      <c r="N230" s="59">
        <v>-7.399770868546929E-4</v>
      </c>
      <c r="O230" s="57">
        <v>-0.27857067430867577</v>
      </c>
      <c r="P230" s="53">
        <v>56.48288256261037</v>
      </c>
      <c r="Q230" s="35">
        <v>3345.0386762864227</v>
      </c>
      <c r="R230" s="13">
        <v>4815.301122572489</v>
      </c>
      <c r="S230" s="57">
        <v>-0.27966217323176756</v>
      </c>
      <c r="T230" s="53">
        <v>261952.96547923854</v>
      </c>
      <c r="U230" s="51">
        <v>195651.31217599288</v>
      </c>
      <c r="V230" s="51">
        <v>-84191.05741235317</v>
      </c>
    </row>
    <row r="231">
      <c r="A231" s="55">
        <v>45247.95998543981</v>
      </c>
      <c r="B231" s="56">
        <v>3.8853075809516473</v>
      </c>
      <c r="C231" s="57">
        <v>-0.009728154911554543</v>
      </c>
      <c r="D231" s="58">
        <v>-0.29994458000871216</v>
      </c>
      <c r="E231" s="50">
        <v>58.5</v>
      </c>
      <c r="F231" s="57">
        <v>-0.010698241282331544</v>
      </c>
      <c r="G231" s="58">
        <v>-0.02211388278689108</v>
      </c>
      <c r="H231" s="51">
        <v>-52934.63</v>
      </c>
      <c r="I231" s="57">
        <v>0.0026285997822520423</v>
      </c>
      <c r="J231" s="57">
        <v>-0.2702053787332213</v>
      </c>
      <c r="K231" s="51">
        <v>248839.7975735268</v>
      </c>
      <c r="L231" s="57">
        <v>-0.012356754693806584</v>
      </c>
      <c r="M231" s="57">
        <v>1.2702053787332213</v>
      </c>
      <c r="N231" s="59">
        <v>9.700863707770013E-4</v>
      </c>
      <c r="O231" s="57">
        <v>-0.2778306972218211</v>
      </c>
      <c r="P231" s="53">
        <v>56.48288256261037</v>
      </c>
      <c r="Q231" s="35">
        <v>3348.8062833081503</v>
      </c>
      <c r="R231" s="13">
        <v>4815.301122572489</v>
      </c>
      <c r="S231" s="57">
        <v>-0.27885083736489474</v>
      </c>
      <c r="T231" s="53">
        <v>261952.96547923854</v>
      </c>
      <c r="U231" s="51">
        <v>195905.1675735268</v>
      </c>
      <c r="V231" s="51">
        <v>-83937.20201481925</v>
      </c>
    </row>
    <row r="232">
      <c r="A232" s="55">
        <v>45246.95998024306</v>
      </c>
      <c r="B232" s="56">
        <v>3.939298840710775</v>
      </c>
      <c r="C232" s="57">
        <v>-0.09118152236410582</v>
      </c>
      <c r="D232" s="58">
        <v>-0.2902164250971576</v>
      </c>
      <c r="E232" s="50">
        <v>59.14</v>
      </c>
      <c r="F232" s="57">
        <v>-0.1046421725428045</v>
      </c>
      <c r="G232" s="58">
        <v>-0.011415641504559537</v>
      </c>
      <c r="H232" s="51">
        <v>-52934.63</v>
      </c>
      <c r="I232" s="57">
        <v>0.024300057766594135</v>
      </c>
      <c r="J232" s="57">
        <v>-0.26650199663874014</v>
      </c>
      <c r="K232" s="51">
        <v>251562.1474956987</v>
      </c>
      <c r="L232" s="57">
        <v>-0.11548158013069997</v>
      </c>
      <c r="M232" s="57">
        <v>1.2665019966387403</v>
      </c>
      <c r="N232" s="59">
        <v>0.013460650178698685</v>
      </c>
      <c r="O232" s="57">
        <v>-0.2788007835925981</v>
      </c>
      <c r="P232" s="53">
        <v>56.48288256261037</v>
      </c>
      <c r="Q232" s="35">
        <v>3358.598537296224</v>
      </c>
      <c r="R232" s="13">
        <v>4815.301122572489</v>
      </c>
      <c r="S232" s="57">
        <v>-0.2767421230451062</v>
      </c>
      <c r="T232" s="53">
        <v>261952.96547923854</v>
      </c>
      <c r="U232" s="51">
        <v>198627.5174956987</v>
      </c>
      <c r="V232" s="51">
        <v>-81214.85209264734</v>
      </c>
    </row>
    <row r="233">
      <c r="A233" s="55">
        <v>45245.959967835646</v>
      </c>
      <c r="B233" s="56">
        <v>4.445356289831563</v>
      </c>
      <c r="C233" s="57">
        <v>0.13033455285820372</v>
      </c>
      <c r="D233" s="58">
        <v>-0.1990349027330518</v>
      </c>
      <c r="E233" s="50">
        <v>65.4</v>
      </c>
      <c r="F233" s="57">
        <v>0.14342329719125602</v>
      </c>
      <c r="G233" s="58">
        <v>0.09322653103824496</v>
      </c>
      <c r="H233" s="51">
        <v>-53867.99999999999</v>
      </c>
      <c r="I233" s="57">
        <v>-0.031323000431534256</v>
      </c>
      <c r="J233" s="57">
        <v>-0.24032767784619496</v>
      </c>
      <c r="K233" s="51">
        <v>278011.97077674285</v>
      </c>
      <c r="L233" s="57">
        <v>0.16165755328973797</v>
      </c>
      <c r="M233" s="57">
        <v>1.240327677846195</v>
      </c>
      <c r="N233" s="59">
        <v>-0.013088744333052293</v>
      </c>
      <c r="O233" s="57">
        <v>-0.29226143377129676</v>
      </c>
      <c r="P233" s="53">
        <v>56.48288256261037</v>
      </c>
      <c r="Q233" s="35">
        <v>3427.277840622979</v>
      </c>
      <c r="R233" s="13">
        <v>4815.301122572489</v>
      </c>
      <c r="S233" s="57">
        <v>-0.26195236875823685</v>
      </c>
      <c r="T233" s="53">
        <v>261952.96547923854</v>
      </c>
      <c r="U233" s="51">
        <v>224143.97077674285</v>
      </c>
      <c r="V233" s="51">
        <v>-55698.3988116032</v>
      </c>
    </row>
    <row r="234">
      <c r="A234" s="55">
        <v>45244.959969062504</v>
      </c>
      <c r="B234" s="56">
        <v>3.7219995214685317</v>
      </c>
      <c r="C234" s="57">
        <v>0.07133738488333463</v>
      </c>
      <c r="D234" s="58">
        <v>-0.3293694555912555</v>
      </c>
      <c r="E234" s="50">
        <v>56.82</v>
      </c>
      <c r="F234" s="57">
        <v>0.07806372935701233</v>
      </c>
      <c r="G234" s="58">
        <v>-0.05019676615301105</v>
      </c>
      <c r="H234" s="51">
        <v>-53868.0</v>
      </c>
      <c r="I234" s="57">
        <v>-0.020476288352868827</v>
      </c>
      <c r="J234" s="57">
        <v>-0.2870344684817899</v>
      </c>
      <c r="K234" s="51">
        <v>241538.8406656656</v>
      </c>
      <c r="L234" s="57">
        <v>0.09181367323620346</v>
      </c>
      <c r="M234" s="57">
        <v>1.2870344684817898</v>
      </c>
      <c r="N234" s="59">
        <v>-0.006726344473677703</v>
      </c>
      <c r="O234" s="57">
        <v>-0.27917268943824447</v>
      </c>
      <c r="P234" s="53">
        <v>56.48288256261037</v>
      </c>
      <c r="Q234" s="35">
        <v>3302.9011028804225</v>
      </c>
      <c r="R234" s="13">
        <v>4815.301122572489</v>
      </c>
      <c r="S234" s="57">
        <v>-0.28873629493557473</v>
      </c>
      <c r="T234" s="53">
        <v>261952.96547923854</v>
      </c>
      <c r="U234" s="51">
        <v>187670.8406656656</v>
      </c>
      <c r="V234" s="51">
        <v>-92171.52892268045</v>
      </c>
    </row>
    <row r="235">
      <c r="A235" s="55">
        <v>45243.95996425926</v>
      </c>
      <c r="B235" s="56">
        <v>3.3260770353660245</v>
      </c>
      <c r="C235" s="57">
        <v>-0.07409245902148898</v>
      </c>
      <c r="D235" s="58">
        <v>-0.40070684047459015</v>
      </c>
      <c r="E235" s="50">
        <v>52.15</v>
      </c>
      <c r="F235" s="57">
        <v>-0.08157408977777736</v>
      </c>
      <c r="G235" s="58">
        <v>-0.1282604955100234</v>
      </c>
      <c r="H235" s="51">
        <v>-53868.0</v>
      </c>
      <c r="I235" s="57">
        <v>0.023798636185894836</v>
      </c>
      <c r="J235" s="57">
        <v>-0.3212018672371575</v>
      </c>
      <c r="K235" s="51">
        <v>221575.61783967738</v>
      </c>
      <c r="L235" s="57">
        <v>-0.09789109520738382</v>
      </c>
      <c r="M235" s="57">
        <v>1.3212018672371575</v>
      </c>
      <c r="N235" s="59">
        <v>0.007481630756288382</v>
      </c>
      <c r="O235" s="57">
        <v>-0.27244634496456677</v>
      </c>
      <c r="P235" s="53">
        <v>56.48288256261037</v>
      </c>
      <c r="Q235" s="35">
        <v>3215.8699489871024</v>
      </c>
      <c r="R235" s="13">
        <v>4815.301122572489</v>
      </c>
      <c r="S235" s="57">
        <v>-0.307478031077844</v>
      </c>
      <c r="T235" s="53">
        <v>261952.96547923854</v>
      </c>
      <c r="U235" s="51">
        <v>167707.61783967738</v>
      </c>
      <c r="V235" s="51">
        <v>-112134.75174866867</v>
      </c>
    </row>
    <row r="236">
      <c r="A236" s="55">
        <v>45242.959989641204</v>
      </c>
      <c r="B236" s="56">
        <v>3.7372901829352885</v>
      </c>
      <c r="C236" s="57">
        <v>-0.020648718087955986</v>
      </c>
      <c r="D236" s="58">
        <v>-0.3266143814531012</v>
      </c>
      <c r="E236" s="50">
        <v>57.03</v>
      </c>
      <c r="F236" s="57">
        <v>-0.02273376272495431</v>
      </c>
      <c r="G236" s="58">
        <v>-0.04668640573224603</v>
      </c>
      <c r="H236" s="51">
        <v>-53868.0</v>
      </c>
      <c r="I236" s="57">
        <v>0.005902644666730272</v>
      </c>
      <c r="J236" s="57">
        <v>-0.2858601023844272</v>
      </c>
      <c r="K236" s="51">
        <v>242309.82714087827</v>
      </c>
      <c r="L236" s="57">
        <v>-0.026551362754686256</v>
      </c>
      <c r="M236" s="57">
        <v>1.2858601023844272</v>
      </c>
      <c r="N236" s="59">
        <v>0.0020850446369983233</v>
      </c>
      <c r="O236" s="57">
        <v>-0.27992797572085515</v>
      </c>
      <c r="P236" s="53">
        <v>56.48288256261037</v>
      </c>
      <c r="Q236" s="35">
        <v>3304.257884286836</v>
      </c>
      <c r="R236" s="13">
        <v>4815.301122572489</v>
      </c>
      <c r="S236" s="57">
        <v>-0.28844411865174757</v>
      </c>
      <c r="T236" s="53">
        <v>261952.96547923854</v>
      </c>
      <c r="U236" s="51">
        <v>188441.82714087827</v>
      </c>
      <c r="V236" s="51">
        <v>-91400.54244746777</v>
      </c>
    </row>
    <row r="237">
      <c r="A237" s="55">
        <v>45241.9599753125</v>
      </c>
      <c r="B237" s="56">
        <v>3.851890568323444</v>
      </c>
      <c r="C237" s="57">
        <v>0.047283217357239615</v>
      </c>
      <c r="D237" s="58">
        <v>-0.3059656633651452</v>
      </c>
      <c r="E237" s="50">
        <v>58.39</v>
      </c>
      <c r="F237" s="57">
        <v>0.011782373420032521</v>
      </c>
      <c r="G237" s="58">
        <v>-0.02395264300729172</v>
      </c>
      <c r="H237" s="51">
        <v>-53868.0</v>
      </c>
      <c r="I237" s="57">
        <v>-0.013114249587124748</v>
      </c>
      <c r="J237" s="57">
        <v>-0.2773552714918373</v>
      </c>
      <c r="K237" s="51">
        <v>248088.21333957362</v>
      </c>
      <c r="L237" s="57">
        <v>0.06039746694436436</v>
      </c>
      <c r="M237" s="57">
        <v>1.2773552714918373</v>
      </c>
      <c r="N237" s="59">
        <v>0.035500843937207094</v>
      </c>
      <c r="O237" s="57">
        <v>-0.28201302035785347</v>
      </c>
      <c r="P237" s="53">
        <v>56.48288256261037</v>
      </c>
      <c r="Q237" s="35">
        <v>3326.258149333338</v>
      </c>
      <c r="R237" s="13">
        <v>4815.301122572489</v>
      </c>
      <c r="S237" s="57">
        <v>-0.2837064684642418</v>
      </c>
      <c r="T237" s="53">
        <v>261952.96547923854</v>
      </c>
      <c r="U237" s="51">
        <v>194220.21333957362</v>
      </c>
      <c r="V237" s="51">
        <v>-85622.15624877243</v>
      </c>
    </row>
    <row r="238">
      <c r="A238" s="55">
        <v>45240.95996519676</v>
      </c>
      <c r="B238" s="56">
        <v>3.5894687119907642</v>
      </c>
      <c r="C238" s="57">
        <v>0.12815478982792405</v>
      </c>
      <c r="D238" s="58">
        <v>-0.3532488807223848</v>
      </c>
      <c r="E238" s="50">
        <v>56.64</v>
      </c>
      <c r="F238" s="57">
        <v>0.19033337776028447</v>
      </c>
      <c r="G238" s="58">
        <v>-0.03573501642732424</v>
      </c>
      <c r="H238" s="51">
        <v>-49105.0</v>
      </c>
      <c r="I238" s="57">
        <v>-0.03293764939019992</v>
      </c>
      <c r="J238" s="57">
        <v>-0.2570145792789013</v>
      </c>
      <c r="K238" s="51">
        <v>240164.2003682147</v>
      </c>
      <c r="L238" s="57">
        <v>0.161092439218124</v>
      </c>
      <c r="M238" s="57">
        <v>1.2570145792789014</v>
      </c>
      <c r="N238" s="59">
        <v>-0.06217858793236042</v>
      </c>
      <c r="O238" s="57">
        <v>-0.31751386429506057</v>
      </c>
      <c r="P238" s="51">
        <v>58.73904058005348</v>
      </c>
      <c r="Q238" s="35">
        <v>3373.2203454840164</v>
      </c>
      <c r="R238" s="13">
        <v>4697.085432585442</v>
      </c>
      <c r="S238" s="57">
        <v>-0.32459877406322846</v>
      </c>
      <c r="T238" s="53">
        <v>261952.96547923854</v>
      </c>
      <c r="U238" s="51">
        <v>191059.2003682147</v>
      </c>
      <c r="V238" s="51">
        <v>-104354.5912331313</v>
      </c>
    </row>
    <row r="239">
      <c r="A239" s="55">
        <v>45239.95996814815</v>
      </c>
      <c r="B239" s="56">
        <v>2.8782096284457857</v>
      </c>
      <c r="C239" s="57">
        <v>0.033604127130246964</v>
      </c>
      <c r="D239" s="58">
        <v>-0.48140367055030886</v>
      </c>
      <c r="E239" s="50">
        <v>45.46</v>
      </c>
      <c r="F239" s="57">
        <v>0.03762403978982376</v>
      </c>
      <c r="G239" s="58">
        <v>-0.2260683941876087</v>
      </c>
      <c r="H239" s="51">
        <v>-49105.0</v>
      </c>
      <c r="I239" s="57">
        <v>-0.010771052161284107</v>
      </c>
      <c r="J239" s="57">
        <v>-0.32052765779442366</v>
      </c>
      <c r="K239" s="51">
        <v>202305.50799327402</v>
      </c>
      <c r="L239" s="57">
        <v>0.04437517929153107</v>
      </c>
      <c r="M239" s="57">
        <v>1.3205276577944236</v>
      </c>
      <c r="N239" s="59">
        <v>-0.0040199126595767964</v>
      </c>
      <c r="O239" s="57">
        <v>-0.25533527636270015</v>
      </c>
      <c r="P239" s="51">
        <v>58.73904058005348</v>
      </c>
      <c r="Q239" s="35">
        <v>3370.0067750390235</v>
      </c>
      <c r="R239" s="13">
        <v>4697.085432585442</v>
      </c>
      <c r="S239" s="57">
        <v>-0.32524220947387045</v>
      </c>
      <c r="T239" s="53">
        <v>261952.96547923854</v>
      </c>
      <c r="U239" s="51">
        <v>153200.50799327402</v>
      </c>
      <c r="V239" s="51">
        <v>-142213.28360807197</v>
      </c>
    </row>
    <row r="240">
      <c r="A240" s="55">
        <v>45238.959976342594</v>
      </c>
      <c r="B240" s="56">
        <v>2.6917067228729152</v>
      </c>
      <c r="C240" s="57">
        <v>0.00210798459374395</v>
      </c>
      <c r="D240" s="58">
        <v>-0.5150077976805558</v>
      </c>
      <c r="E240" s="50">
        <v>43.25</v>
      </c>
      <c r="F240" s="57">
        <v>0.0023834233351018863</v>
      </c>
      <c r="G240" s="58">
        <v>-0.26369243397743247</v>
      </c>
      <c r="H240" s="51">
        <v>-49105.0</v>
      </c>
      <c r="I240" s="57">
        <v>-7.224829873194185E-4</v>
      </c>
      <c r="J240" s="57">
        <v>-0.34273636983097233</v>
      </c>
      <c r="K240" s="51">
        <v>192378.38538427412</v>
      </c>
      <c r="L240" s="57">
        <v>0.002830467581063368</v>
      </c>
      <c r="M240" s="57">
        <v>1.3427363698309722</v>
      </c>
      <c r="N240" s="59">
        <v>-2.754387413579362E-4</v>
      </c>
      <c r="O240" s="57">
        <v>-0.25131536370312335</v>
      </c>
      <c r="P240" s="51">
        <v>58.73904058005348</v>
      </c>
      <c r="Q240" s="35">
        <v>3312.6794308502685</v>
      </c>
      <c r="R240" s="13">
        <v>4697.085432585442</v>
      </c>
      <c r="S240" s="57">
        <v>-0.3367205460718992</v>
      </c>
      <c r="T240" s="53">
        <v>261952.96547923854</v>
      </c>
      <c r="U240" s="51">
        <v>143273.38538427412</v>
      </c>
      <c r="V240" s="51">
        <v>-152140.40621707187</v>
      </c>
    </row>
    <row r="241">
      <c r="A241" s="55">
        <v>45237.95996736111</v>
      </c>
      <c r="B241" s="56">
        <v>2.6800074083776364</v>
      </c>
      <c r="C241" s="57">
        <v>0.031856636955164275</v>
      </c>
      <c r="D241" s="58">
        <v>-0.5171157822742998</v>
      </c>
      <c r="E241" s="50">
        <v>43.11</v>
      </c>
      <c r="F241" s="57">
        <v>0.03558110550259341</v>
      </c>
      <c r="G241" s="58">
        <v>-0.26607585731253436</v>
      </c>
      <c r="H241" s="51">
        <v>-49105.0</v>
      </c>
      <c r="I241" s="57">
        <v>-0.010966091452456663</v>
      </c>
      <c r="J241" s="57">
        <v>-0.344232552478486</v>
      </c>
      <c r="K241" s="51">
        <v>191755.657662799</v>
      </c>
      <c r="L241" s="57">
        <v>0.042822728407620934</v>
      </c>
      <c r="M241" s="57">
        <v>1.344232552478486</v>
      </c>
      <c r="N241" s="59">
        <v>-0.0037244685474291384</v>
      </c>
      <c r="O241" s="57">
        <v>-0.2510399249617654</v>
      </c>
      <c r="P241" s="51">
        <v>58.73904058005348</v>
      </c>
      <c r="Q241" s="35">
        <v>3308.9922909487127</v>
      </c>
      <c r="R241" s="13">
        <v>4697.085432585442</v>
      </c>
      <c r="S241" s="57">
        <v>-0.33745880167178766</v>
      </c>
      <c r="T241" s="53">
        <v>261952.96547923854</v>
      </c>
      <c r="U241" s="51">
        <v>142650.657662799</v>
      </c>
      <c r="V241" s="51">
        <v>-152763.133938547</v>
      </c>
    </row>
    <row r="242">
      <c r="A242" s="55">
        <v>45236.959965891205</v>
      </c>
      <c r="B242" s="56">
        <v>2.5032030732764743</v>
      </c>
      <c r="C242" s="57">
        <v>0.011654438028131708</v>
      </c>
      <c r="D242" s="58">
        <v>-0.548972419229464</v>
      </c>
      <c r="E242" s="50">
        <v>41.02</v>
      </c>
      <c r="F242" s="57">
        <v>0.0018726897632944661</v>
      </c>
      <c r="G242" s="58">
        <v>-0.30165696281512777</v>
      </c>
      <c r="H242" s="51">
        <v>-49132.00000000001</v>
      </c>
      <c r="I242" s="57">
        <v>-0.004297559646479385</v>
      </c>
      <c r="J242" s="57">
        <v>-0.36874876644466703</v>
      </c>
      <c r="K242" s="51">
        <v>182371.76775220633</v>
      </c>
      <c r="L242" s="57">
        <v>0.01595199767461109</v>
      </c>
      <c r="M242" s="57">
        <v>1.368748766444667</v>
      </c>
      <c r="N242" s="59">
        <v>0.009781748264837242</v>
      </c>
      <c r="O242" s="57">
        <v>-0.24731545641433628</v>
      </c>
      <c r="P242" s="51">
        <v>58.73904058005348</v>
      </c>
      <c r="Q242" s="35">
        <v>3248.1659617797736</v>
      </c>
      <c r="R242" s="13">
        <v>4697.085432585442</v>
      </c>
      <c r="S242" s="57">
        <v>-0.3496377206519648</v>
      </c>
      <c r="T242" s="53">
        <v>261952.96547923854</v>
      </c>
      <c r="U242" s="51">
        <v>133239.76775220633</v>
      </c>
      <c r="V242" s="51">
        <v>-162174.02384913966</v>
      </c>
    </row>
    <row r="243">
      <c r="A243" s="55">
        <v>45235.959966423616</v>
      </c>
      <c r="B243" s="56">
        <v>2.4385209422203435</v>
      </c>
      <c r="C243" s="57">
        <v>-0.021355366259718678</v>
      </c>
      <c r="D243" s="58">
        <v>-0.5606268572575958</v>
      </c>
      <c r="E243" s="50">
        <v>40.91</v>
      </c>
      <c r="F243" s="57">
        <v>-0.02417472239889118</v>
      </c>
      <c r="G243" s="58">
        <v>-0.30352965257842224</v>
      </c>
      <c r="H243" s="51">
        <v>-51955.0</v>
      </c>
      <c r="I243" s="57">
        <v>0.008548109958563522</v>
      </c>
      <c r="J243" s="57">
        <v>-0.4002792485318924</v>
      </c>
      <c r="K243" s="51">
        <v>181751.88602533305</v>
      </c>
      <c r="L243" s="57">
        <v>-0.0299034762182822</v>
      </c>
      <c r="M243" s="57">
        <v>1.4002792485318925</v>
      </c>
      <c r="N243" s="59">
        <v>0.002819356139172502</v>
      </c>
      <c r="O243" s="57">
        <v>-0.2570972046791735</v>
      </c>
      <c r="P243" s="51">
        <v>58.73904058005348</v>
      </c>
      <c r="Q243" s="35">
        <v>3172.7422641244943</v>
      </c>
      <c r="R243" s="13">
        <v>4697.085432585442</v>
      </c>
      <c r="S243" s="57">
        <v>-0.36473938987119</v>
      </c>
      <c r="T243" s="53">
        <v>261952.96547923854</v>
      </c>
      <c r="U243" s="51">
        <v>129796.88602533305</v>
      </c>
      <c r="V243" s="51">
        <v>-165616.90557601294</v>
      </c>
    </row>
    <row r="244">
      <c r="A244" s="55">
        <v>45234.959966828705</v>
      </c>
      <c r="B244" s="56">
        <v>2.5570432249617823</v>
      </c>
      <c r="C244" s="57">
        <v>0.03910137484173837</v>
      </c>
      <c r="D244" s="58">
        <v>-0.5392714909978771</v>
      </c>
      <c r="E244" s="50">
        <v>42.33</v>
      </c>
      <c r="F244" s="57">
        <v>0.044263576223322</v>
      </c>
      <c r="G244" s="58">
        <v>-0.27935493017953106</v>
      </c>
      <c r="H244" s="51">
        <v>-51955.0</v>
      </c>
      <c r="I244" s="57">
        <v>-0.014926002974751674</v>
      </c>
      <c r="J244" s="57">
        <v>-0.38172578419976844</v>
      </c>
      <c r="K244" s="51">
        <v>188060.555743152</v>
      </c>
      <c r="L244" s="57">
        <v>0.054027377816490044</v>
      </c>
      <c r="M244" s="57">
        <v>1.3817257841997685</v>
      </c>
      <c r="N244" s="59">
        <v>-0.005162201381583631</v>
      </c>
      <c r="O244" s="57">
        <v>-0.259916560818346</v>
      </c>
      <c r="P244" s="51">
        <v>58.73904058005348</v>
      </c>
      <c r="Q244" s="35">
        <v>3215.345044723648</v>
      </c>
      <c r="R244" s="13">
        <v>4697.085432585442</v>
      </c>
      <c r="S244" s="57">
        <v>-0.3562092710832177</v>
      </c>
      <c r="T244" s="53">
        <v>261952.96547923854</v>
      </c>
      <c r="U244" s="51">
        <v>136105.555743152</v>
      </c>
      <c r="V244" s="51">
        <v>-159308.23585819398</v>
      </c>
    </row>
    <row r="245">
      <c r="A245" s="55">
        <v>45233.96000111111</v>
      </c>
      <c r="B245" s="56">
        <v>2.340030594590134</v>
      </c>
      <c r="C245" s="57">
        <v>-0.0046620870003610815</v>
      </c>
      <c r="D245" s="58">
        <v>-0.5783728658396154</v>
      </c>
      <c r="E245" s="50">
        <v>39.73</v>
      </c>
      <c r="F245" s="57">
        <v>-0.005277580242011526</v>
      </c>
      <c r="G245" s="58">
        <v>-0.32361850640285306</v>
      </c>
      <c r="H245" s="51">
        <v>-51955.0</v>
      </c>
      <c r="I245" s="57">
        <v>0.0019446811458003128</v>
      </c>
      <c r="J245" s="57">
        <v>-0.417126738657965</v>
      </c>
      <c r="K245" s="51">
        <v>176509.47034432858</v>
      </c>
      <c r="L245" s="57">
        <v>-0.006606768146161394</v>
      </c>
      <c r="M245" s="57">
        <v>1.417126738657965</v>
      </c>
      <c r="N245" s="59">
        <v>6.154932416504444E-4</v>
      </c>
      <c r="O245" s="57">
        <v>-0.2547543594367624</v>
      </c>
      <c r="P245" s="51">
        <v>58.73904058005348</v>
      </c>
      <c r="Q245" s="35">
        <v>3135.0231649717743</v>
      </c>
      <c r="R245" s="13">
        <v>4697.085432585442</v>
      </c>
      <c r="S245" s="57">
        <v>-0.3722916761732348</v>
      </c>
      <c r="T245" s="53">
        <v>261952.96547923854</v>
      </c>
      <c r="U245" s="51">
        <v>124554.47034432858</v>
      </c>
      <c r="V245" s="51">
        <v>-170859.3212570174</v>
      </c>
    </row>
    <row r="246">
      <c r="A246" s="55">
        <v>45232.95996953704</v>
      </c>
      <c r="B246" s="56">
        <v>2.365905177442138</v>
      </c>
      <c r="C246" s="57">
        <v>-0.04105644358382543</v>
      </c>
      <c r="D246" s="58">
        <v>-0.5737107788392544</v>
      </c>
      <c r="E246" s="50">
        <v>40.04</v>
      </c>
      <c r="F246" s="57">
        <v>-0.046476755034488115</v>
      </c>
      <c r="G246" s="58">
        <v>-0.31834092616084153</v>
      </c>
      <c r="H246" s="51">
        <v>-51955.0</v>
      </c>
      <c r="I246" s="57">
        <v>0.016938445760024897</v>
      </c>
      <c r="J246" s="57">
        <v>-0.4125648566087189</v>
      </c>
      <c r="K246" s="51">
        <v>177886.7151418806</v>
      </c>
      <c r="L246" s="57">
        <v>-0.05799488934385033</v>
      </c>
      <c r="M246" s="57">
        <v>1.412564856608719</v>
      </c>
      <c r="N246" s="59">
        <v>0.005420311450662685</v>
      </c>
      <c r="O246" s="57">
        <v>-0.25536985267841283</v>
      </c>
      <c r="P246" s="51">
        <v>58.73904058005348</v>
      </c>
      <c r="Q246" s="35">
        <v>3145.1477308161984</v>
      </c>
      <c r="R246" s="13">
        <v>4697.085432585442</v>
      </c>
      <c r="S246" s="57">
        <v>-0.3702644904328913</v>
      </c>
      <c r="T246" s="53">
        <v>261952.96547923854</v>
      </c>
      <c r="U246" s="51">
        <v>125931.71514188059</v>
      </c>
      <c r="V246" s="51">
        <v>-169482.0764594654</v>
      </c>
    </row>
    <row r="247">
      <c r="A247" s="55">
        <v>45231.95996018518</v>
      </c>
      <c r="B247" s="56">
        <v>2.5937684393323694</v>
      </c>
      <c r="C247" s="57">
        <v>0.05350892585827238</v>
      </c>
      <c r="D247" s="58">
        <v>-0.5326543352554289</v>
      </c>
      <c r="E247" s="50">
        <v>42.77</v>
      </c>
      <c r="F247" s="57">
        <v>0.08682470720728541</v>
      </c>
      <c r="G247" s="58">
        <v>-0.2718641711263534</v>
      </c>
      <c r="H247" s="51">
        <v>-51954.99999999999</v>
      </c>
      <c r="I247" s="57">
        <v>-0.020136528308792843</v>
      </c>
      <c r="J247" s="57">
        <v>-0.37632092189867367</v>
      </c>
      <c r="K247" s="51">
        <v>190015.35481064522</v>
      </c>
      <c r="L247" s="57">
        <v>0.07364545416706522</v>
      </c>
      <c r="M247" s="57">
        <v>1.3763209218986736</v>
      </c>
      <c r="N247" s="59">
        <v>-0.03331578134901303</v>
      </c>
      <c r="O247" s="57">
        <v>-0.2607901641290755</v>
      </c>
      <c r="P247" s="51">
        <v>58.73904058005348</v>
      </c>
      <c r="Q247" s="35">
        <v>3227.9718216190136</v>
      </c>
      <c r="R247" s="13">
        <v>4697.085432585442</v>
      </c>
      <c r="S247" s="57">
        <v>-0.3536810814835737</v>
      </c>
      <c r="T247" s="53">
        <v>261952.96547923854</v>
      </c>
      <c r="U247" s="51">
        <v>138060.35481064522</v>
      </c>
      <c r="V247" s="51">
        <v>-157353.43679070077</v>
      </c>
    </row>
    <row r="248">
      <c r="A248" s="55">
        <v>45230.95996487269</v>
      </c>
      <c r="B248" s="56">
        <v>2.2967939008189577</v>
      </c>
      <c r="C248" s="57">
        <v>0.042445279984143935</v>
      </c>
      <c r="D248" s="58">
        <v>-0.5861632611137013</v>
      </c>
      <c r="E248" s="50">
        <v>37.67</v>
      </c>
      <c r="F248" s="57">
        <v>0.046136265986616354</v>
      </c>
      <c r="G248" s="58">
        <v>-0.3586888783336388</v>
      </c>
      <c r="H248" s="51">
        <v>-52042.55</v>
      </c>
      <c r="I248" s="57">
        <v>-0.0180687521601846</v>
      </c>
      <c r="J248" s="57">
        <v>-0.42569520490698726</v>
      </c>
      <c r="K248" s="51">
        <v>174295.6301383377</v>
      </c>
      <c r="L248" s="57">
        <v>0.06051403214432854</v>
      </c>
      <c r="M248" s="57">
        <v>1.4256952049069873</v>
      </c>
      <c r="N248" s="59">
        <v>-0.0036909860024724184</v>
      </c>
      <c r="O248" s="57">
        <v>-0.2274743827800625</v>
      </c>
      <c r="P248" s="51">
        <v>58.73904058005348</v>
      </c>
      <c r="Q248" s="35">
        <v>3245.3697939564026</v>
      </c>
      <c r="R248" s="13">
        <v>4697.085432585442</v>
      </c>
      <c r="S248" s="57">
        <v>-0.35019758184761957</v>
      </c>
      <c r="T248" s="53">
        <v>261952.96547923854</v>
      </c>
      <c r="U248" s="51">
        <v>122253.0801383377</v>
      </c>
      <c r="V248" s="51">
        <v>-173160.7114630083</v>
      </c>
    </row>
    <row r="249">
      <c r="A249" s="55">
        <v>45229.95996291666</v>
      </c>
      <c r="B249" s="56">
        <v>2.0612225969069584</v>
      </c>
      <c r="C249" s="57">
        <v>0.0310116805788212</v>
      </c>
      <c r="D249" s="58">
        <v>-0.6286085410978453</v>
      </c>
      <c r="E249" s="50">
        <v>34.96</v>
      </c>
      <c r="F249" s="57">
        <v>0.03370841573929917</v>
      </c>
      <c r="G249" s="58">
        <v>-0.4048251443202552</v>
      </c>
      <c r="H249" s="51">
        <v>-52042.55</v>
      </c>
      <c r="I249" s="57">
        <v>-0.014710288546076082</v>
      </c>
      <c r="J249" s="57">
        <v>-0.47434670651555005</v>
      </c>
      <c r="K249" s="51">
        <v>161756.70904264098</v>
      </c>
      <c r="L249" s="57">
        <v>0.04572196912489728</v>
      </c>
      <c r="M249" s="57">
        <v>1.47434670651555</v>
      </c>
      <c r="N249" s="59">
        <v>-0.00269673516047797</v>
      </c>
      <c r="O249" s="57">
        <v>-0.22378339677759007</v>
      </c>
      <c r="P249" s="51">
        <v>58.73904058005348</v>
      </c>
      <c r="Q249" s="35">
        <v>3138.2768604874423</v>
      </c>
      <c r="R249" s="13">
        <v>5083.354199888731</v>
      </c>
      <c r="S249" s="57">
        <v>-0.3716402067419392</v>
      </c>
      <c r="T249" s="53">
        <v>277966.2610686139</v>
      </c>
      <c r="U249" s="51">
        <v>109714.15904264098</v>
      </c>
      <c r="V249" s="51">
        <v>-185699.632558705</v>
      </c>
    </row>
    <row r="250">
      <c r="A250" s="55">
        <v>45228.95996179398</v>
      </c>
      <c r="B250" s="56">
        <v>1.889107769694501</v>
      </c>
      <c r="C250" s="57">
        <v>0.01637315139793738</v>
      </c>
      <c r="D250" s="58">
        <v>-0.6596202216766665</v>
      </c>
      <c r="E250" s="50">
        <v>32.98</v>
      </c>
      <c r="F250" s="57">
        <v>0.01719469691752118</v>
      </c>
      <c r="G250" s="58">
        <v>-0.43853356005955435</v>
      </c>
      <c r="H250" s="51">
        <v>-52042.55</v>
      </c>
      <c r="I250" s="57">
        <v>-0.008474153526653105</v>
      </c>
      <c r="J250" s="57">
        <v>-0.5175639875730119</v>
      </c>
      <c r="K250" s="51">
        <v>152595.4308989216</v>
      </c>
      <c r="L250" s="57">
        <v>0.024847304924590488</v>
      </c>
      <c r="M250" s="57">
        <v>1.517563987573012</v>
      </c>
      <c r="N250" s="59">
        <v>-8.215455195837995E-4</v>
      </c>
      <c r="O250" s="57">
        <v>-0.2210866616171121</v>
      </c>
      <c r="P250" s="51">
        <v>58.73904058005348</v>
      </c>
      <c r="Q250" s="35">
        <v>3048.90481803886</v>
      </c>
      <c r="R250" s="13">
        <v>5290.617544993127</v>
      </c>
      <c r="S250" s="57">
        <v>-0.3895346757810154</v>
      </c>
      <c r="T250" s="53">
        <v>277966.2610686139</v>
      </c>
      <c r="U250" s="51">
        <v>100552.88089892159</v>
      </c>
      <c r="V250" s="51">
        <v>-194860.91070242441</v>
      </c>
    </row>
    <row r="251">
      <c r="A251" s="55">
        <v>45227.95997092593</v>
      </c>
      <c r="B251" s="56">
        <v>1.7982367794359486</v>
      </c>
      <c r="C251" s="57">
        <v>-7.482779645473503E-5</v>
      </c>
      <c r="D251" s="58">
        <v>-0.6759933730746038</v>
      </c>
      <c r="E251" s="50">
        <v>31.97</v>
      </c>
      <c r="F251" s="57">
        <v>-3.404890478717615E-4</v>
      </c>
      <c r="G251" s="58">
        <v>-0.45572825697707553</v>
      </c>
      <c r="H251" s="51">
        <v>-52118.310000000005</v>
      </c>
      <c r="I251" s="57">
        <v>4.0744465149053845E-5</v>
      </c>
      <c r="J251" s="57">
        <v>-0.5445097554583351</v>
      </c>
      <c r="K251" s="51">
        <v>147834.33616399404</v>
      </c>
      <c r="L251" s="57">
        <v>-1.1557226160378888E-4</v>
      </c>
      <c r="M251" s="57">
        <v>1.5445097554583351</v>
      </c>
      <c r="N251" s="59">
        <v>2.6566125141702646E-4</v>
      </c>
      <c r="O251" s="57">
        <v>-0.2202651160975283</v>
      </c>
      <c r="P251" s="51">
        <v>58.73904058005348</v>
      </c>
      <c r="Q251" s="35">
        <v>2993.9326294649372</v>
      </c>
      <c r="R251" s="13">
        <v>5290.617544993127</v>
      </c>
      <c r="S251" s="57">
        <v>-0.4005414526151944</v>
      </c>
      <c r="T251" s="53">
        <v>277966.2610686139</v>
      </c>
      <c r="U251" s="51">
        <v>95716.02616399404</v>
      </c>
      <c r="V251" s="51">
        <v>-199697.76543735195</v>
      </c>
    </row>
    <row r="252">
      <c r="A252" s="55">
        <v>45226.95998056713</v>
      </c>
      <c r="B252" s="56">
        <v>1.7986520737062726</v>
      </c>
      <c r="C252" s="57">
        <v>-0.0042243413709686095</v>
      </c>
      <c r="D252" s="58">
        <v>-0.6759185452781491</v>
      </c>
      <c r="E252" s="50">
        <v>31.99</v>
      </c>
      <c r="F252" s="57">
        <v>-0.004596602146268003</v>
      </c>
      <c r="G252" s="58">
        <v>-0.45538776792920377</v>
      </c>
      <c r="H252" s="51">
        <v>-52118.30999999999</v>
      </c>
      <c r="I252" s="57">
        <v>0.0022996639903680016</v>
      </c>
      <c r="J252" s="57">
        <v>-0.5443840325434461</v>
      </c>
      <c r="K252" s="51">
        <v>147856.4413270619</v>
      </c>
      <c r="L252" s="57">
        <v>-0.006524005361336611</v>
      </c>
      <c r="M252" s="57">
        <v>1.5443840325434461</v>
      </c>
      <c r="N252" s="59">
        <v>3.722607752993934E-4</v>
      </c>
      <c r="O252" s="57">
        <v>-0.22053077734894533</v>
      </c>
      <c r="P252" s="51">
        <v>58.73904058005348</v>
      </c>
      <c r="Q252" s="35">
        <v>2992.7518389203474</v>
      </c>
      <c r="R252" s="13">
        <v>5290.617544993127</v>
      </c>
      <c r="S252" s="57">
        <v>-0.40077787576568863</v>
      </c>
      <c r="T252" s="53">
        <v>277966.2610686139</v>
      </c>
      <c r="U252" s="51">
        <v>95738.13132706191</v>
      </c>
      <c r="V252" s="51">
        <v>-199675.66027428408</v>
      </c>
    </row>
    <row r="253">
      <c r="A253" s="55">
        <v>45225.95996528935</v>
      </c>
      <c r="B253" s="56">
        <v>1.8220971683151486</v>
      </c>
      <c r="C253" s="57">
        <v>0.0032115157657399696</v>
      </c>
      <c r="D253" s="58">
        <v>-0.6716942039071805</v>
      </c>
      <c r="E253" s="50">
        <v>32.26</v>
      </c>
      <c r="F253" s="57">
        <v>0.003234645954781179</v>
      </c>
      <c r="G253" s="58">
        <v>-0.45079116578293577</v>
      </c>
      <c r="H253" s="51">
        <v>-52118.30999999999</v>
      </c>
      <c r="I253" s="57">
        <v>-0.0017258023905659778</v>
      </c>
      <c r="J253" s="57">
        <v>-0.5373793923033516</v>
      </c>
      <c r="K253" s="51">
        <v>149104.37002847818</v>
      </c>
      <c r="L253" s="57">
        <v>0.004937318156305948</v>
      </c>
      <c r="M253" s="57">
        <v>1.5373793923033516</v>
      </c>
      <c r="N253" s="59">
        <v>-2.3130189041209448E-5</v>
      </c>
      <c r="O253" s="57">
        <v>-0.22090303812424472</v>
      </c>
      <c r="P253" s="51">
        <v>58.73904058005348</v>
      </c>
      <c r="Q253" s="35">
        <v>3006.387477634166</v>
      </c>
      <c r="R253" s="13">
        <v>5290.617544993127</v>
      </c>
      <c r="S253" s="57">
        <v>-0.39804768735209345</v>
      </c>
      <c r="T253" s="53">
        <v>277966.2610686139</v>
      </c>
      <c r="U253" s="51">
        <v>96986.06002847818</v>
      </c>
      <c r="V253" s="51">
        <v>-198427.7315728678</v>
      </c>
    </row>
    <row r="254">
      <c r="A254" s="55">
        <v>45224.95996849537</v>
      </c>
      <c r="B254" s="56">
        <v>1.8042732558152914</v>
      </c>
      <c r="C254" s="57">
        <v>0.04350154835878062</v>
      </c>
      <c r="D254" s="58">
        <v>-0.6749057196729205</v>
      </c>
      <c r="E254" s="50">
        <v>32.07</v>
      </c>
      <c r="F254" s="57">
        <v>0.0332858453785827</v>
      </c>
      <c r="G254" s="58">
        <v>-0.45402581173771694</v>
      </c>
      <c r="H254" s="51">
        <v>-52118.31</v>
      </c>
      <c r="I254" s="57">
        <v>-0.023607768863417335</v>
      </c>
      <c r="J254" s="57">
        <v>-0.5426880135095743</v>
      </c>
      <c r="K254" s="51">
        <v>148155.64397933343</v>
      </c>
      <c r="L254" s="57">
        <v>0.06710931722219794</v>
      </c>
      <c r="M254" s="57">
        <v>1.5426880135095742</v>
      </c>
      <c r="N254" s="59">
        <v>0.010215702980197916</v>
      </c>
      <c r="O254" s="57">
        <v>-0.2208799079352035</v>
      </c>
      <c r="P254" s="51">
        <v>58.73904058005348</v>
      </c>
      <c r="Q254" s="35">
        <v>2994.6159644319746</v>
      </c>
      <c r="R254" s="13">
        <v>5290.617544993127</v>
      </c>
      <c r="S254" s="57">
        <v>-0.40040463223965017</v>
      </c>
      <c r="T254" s="53">
        <v>277966.2610686139</v>
      </c>
      <c r="U254" s="51">
        <v>96037.33397933343</v>
      </c>
      <c r="V254" s="51">
        <v>-199376.45762201256</v>
      </c>
    </row>
    <row r="255">
      <c r="A255" s="55">
        <v>45223.959964953705</v>
      </c>
      <c r="B255" s="56">
        <v>1.5628396624240586</v>
      </c>
      <c r="C255" s="57">
        <v>-0.001717192703720949</v>
      </c>
      <c r="D255" s="58">
        <v>-0.7184072680317011</v>
      </c>
      <c r="E255" s="50">
        <v>29.94</v>
      </c>
      <c r="F255" s="57">
        <v>-0.001883624506252679</v>
      </c>
      <c r="G255" s="58">
        <v>-0.48731165711629965</v>
      </c>
      <c r="H255" s="51">
        <v>-55306.92</v>
      </c>
      <c r="I255" s="57">
        <v>0.0011330099400814811</v>
      </c>
      <c r="J255" s="57">
        <v>-0.6598036071469355</v>
      </c>
      <c r="K255" s="51">
        <v>139130.226512605</v>
      </c>
      <c r="L255" s="57">
        <v>-0.00285020264380243</v>
      </c>
      <c r="M255" s="57">
        <v>1.6598036071469355</v>
      </c>
      <c r="N255" s="59">
        <v>1.6643180253173018E-4</v>
      </c>
      <c r="O255" s="57">
        <v>-0.23109561091540143</v>
      </c>
      <c r="P255" s="51">
        <v>58.39805101008836</v>
      </c>
      <c r="Q255" s="35">
        <v>2799.7096363595524</v>
      </c>
      <c r="R255" s="13">
        <v>5363.531182865308</v>
      </c>
      <c r="S255" s="57">
        <v>-0.4469436346711429</v>
      </c>
      <c r="T255" s="53">
        <v>280235.69559610984</v>
      </c>
      <c r="U255" s="51">
        <v>83823.306512605</v>
      </c>
      <c r="V255" s="51">
        <v>-213852.36830574105</v>
      </c>
    </row>
    <row r="256">
      <c r="A256" s="55">
        <v>45222.96000824074</v>
      </c>
      <c r="B256" s="56">
        <v>1.5723700819297102</v>
      </c>
      <c r="C256" s="57">
        <v>0.018947199120365354</v>
      </c>
      <c r="D256" s="58">
        <v>-0.7166900753279801</v>
      </c>
      <c r="E256" s="50">
        <v>30.05</v>
      </c>
      <c r="F256" s="57">
        <v>0.02054863097730253</v>
      </c>
      <c r="G256" s="58">
        <v>-0.48542803261004697</v>
      </c>
      <c r="H256" s="51">
        <v>-55306.920000000006</v>
      </c>
      <c r="I256" s="57">
        <v>-0.012425656894261294</v>
      </c>
      <c r="J256" s="57">
        <v>-0.6558044181266668</v>
      </c>
      <c r="K256" s="51">
        <v>139641.3930094783</v>
      </c>
      <c r="L256" s="57">
        <v>0.03137285601462665</v>
      </c>
      <c r="M256" s="57">
        <v>1.655804418126667</v>
      </c>
      <c r="N256" s="59">
        <v>-0.0016014318569371744</v>
      </c>
      <c r="O256" s="57">
        <v>-0.23126204271793316</v>
      </c>
      <c r="P256" s="51">
        <v>58.39805101008836</v>
      </c>
      <c r="Q256" s="35">
        <v>2806.4716475699934</v>
      </c>
      <c r="R256" s="13">
        <v>5363.531182865308</v>
      </c>
      <c r="S256" s="57">
        <v>-0.44560786281330755</v>
      </c>
      <c r="T256" s="53">
        <v>280235.69559610984</v>
      </c>
      <c r="U256" s="51">
        <v>84334.4730094783</v>
      </c>
      <c r="V256" s="51">
        <v>-213341.20180886774</v>
      </c>
    </row>
    <row r="257">
      <c r="A257" s="55">
        <v>45221.95997015046</v>
      </c>
      <c r="B257" s="56">
        <v>1.4672131268116828</v>
      </c>
      <c r="C257" s="57">
        <v>-0.012394877613658428</v>
      </c>
      <c r="D257" s="58">
        <v>-0.7356372744483455</v>
      </c>
      <c r="E257" s="50">
        <v>28.85</v>
      </c>
      <c r="F257" s="57">
        <v>-0.019863676611392433</v>
      </c>
      <c r="G257" s="58">
        <v>-0.5059766635873495</v>
      </c>
      <c r="H257" s="51">
        <v>-55306.92</v>
      </c>
      <c r="I257" s="57">
        <v>0.008711203292826384</v>
      </c>
      <c r="J257" s="57">
        <v>-0.7028067209979668</v>
      </c>
      <c r="K257" s="51">
        <v>134001.272725406</v>
      </c>
      <c r="L257" s="57">
        <v>-0.021106080906484814</v>
      </c>
      <c r="M257" s="57">
        <v>1.702806720997967</v>
      </c>
      <c r="N257" s="59">
        <v>0.007468798997734005</v>
      </c>
      <c r="O257" s="57">
        <v>-0.22966061086099598</v>
      </c>
      <c r="P257" s="51">
        <v>58.39805101008836</v>
      </c>
      <c r="Q257" s="35">
        <v>2727.7072001873826</v>
      </c>
      <c r="R257" s="13">
        <v>5363.531182865308</v>
      </c>
      <c r="S257" s="57">
        <v>-0.46116704024400895</v>
      </c>
      <c r="T257" s="53">
        <v>280235.69559610984</v>
      </c>
      <c r="U257" s="51">
        <v>78694.35272540599</v>
      </c>
      <c r="V257" s="51">
        <v>-218981.32209294004</v>
      </c>
    </row>
    <row r="258">
      <c r="A258" s="55">
        <v>45220.95996315972</v>
      </c>
      <c r="B258" s="56">
        <v>1.5360046975674868</v>
      </c>
      <c r="C258" s="57">
        <v>0.04793540139200769</v>
      </c>
      <c r="D258" s="58">
        <v>-0.723242396834687</v>
      </c>
      <c r="E258" s="50">
        <v>30.01</v>
      </c>
      <c r="F258" s="57">
        <v>0.05325520194950939</v>
      </c>
      <c r="G258" s="58">
        <v>-0.48611298697595706</v>
      </c>
      <c r="H258" s="51">
        <v>-55306.92</v>
      </c>
      <c r="I258" s="57">
        <v>-0.032180510872918094</v>
      </c>
      <c r="J258" s="57">
        <v>-0.6713307897382826</v>
      </c>
      <c r="K258" s="51">
        <v>137690.92628334256</v>
      </c>
      <c r="L258" s="57">
        <v>0.08011591226492579</v>
      </c>
      <c r="M258" s="57">
        <v>1.6713307897382825</v>
      </c>
      <c r="N258" s="59">
        <v>-0.005319800557501697</v>
      </c>
      <c r="O258" s="57">
        <v>-0.23712940985873</v>
      </c>
      <c r="P258" s="51">
        <v>58.39805101008836</v>
      </c>
      <c r="Q258" s="35">
        <v>2745.218469954767</v>
      </c>
      <c r="R258" s="13">
        <v>5363.531182865308</v>
      </c>
      <c r="S258" s="57">
        <v>-0.45770785323258883</v>
      </c>
      <c r="T258" s="53">
        <v>280235.69559610984</v>
      </c>
      <c r="U258" s="51">
        <v>82384.00628334256</v>
      </c>
      <c r="V258" s="51">
        <v>-215291.6685350035</v>
      </c>
    </row>
    <row r="259">
      <c r="A259" s="55">
        <v>45219.95998072917</v>
      </c>
      <c r="B259" s="56">
        <v>1.2699632198418442</v>
      </c>
      <c r="C259" s="57">
        <v>0.03198937230639409</v>
      </c>
      <c r="D259" s="58">
        <v>-0.7711777982266947</v>
      </c>
      <c r="E259" s="50">
        <v>26.9</v>
      </c>
      <c r="F259" s="57">
        <v>0.03441895688698171</v>
      </c>
      <c r="G259" s="58">
        <v>-0.5393681889254665</v>
      </c>
      <c r="H259" s="51">
        <v>-55306.92</v>
      </c>
      <c r="I259" s="57">
        <v>-0.025974290001614546</v>
      </c>
      <c r="J259" s="57">
        <v>-0.8119662290598543</v>
      </c>
      <c r="K259" s="51">
        <v>123421.72332628838</v>
      </c>
      <c r="L259" s="57">
        <v>0.05796366230800864</v>
      </c>
      <c r="M259" s="57">
        <v>1.8119662290598544</v>
      </c>
      <c r="N259" s="59">
        <v>-0.002429584580587618</v>
      </c>
      <c r="O259" s="57">
        <v>-0.2318096093012283</v>
      </c>
      <c r="P259" s="51">
        <v>58.39805101008836</v>
      </c>
      <c r="Q259" s="35">
        <v>2532.148822538602</v>
      </c>
      <c r="R259" s="13">
        <v>5363.531182865308</v>
      </c>
      <c r="S259" s="57">
        <v>-0.49979776256872677</v>
      </c>
      <c r="T259" s="53">
        <v>280235.69559610984</v>
      </c>
      <c r="U259" s="51">
        <v>68114.80332628838</v>
      </c>
      <c r="V259" s="51">
        <v>-229560.87149205766</v>
      </c>
    </row>
    <row r="260">
      <c r="A260" s="55">
        <v>45218.959970104166</v>
      </c>
      <c r="B260" s="56">
        <v>1.0924222035413569</v>
      </c>
      <c r="C260" s="57">
        <v>0.017804067330377538</v>
      </c>
      <c r="D260" s="58">
        <v>-0.8031671705330888</v>
      </c>
      <c r="E260" s="50">
        <v>24.89</v>
      </c>
      <c r="F260" s="57">
        <v>0.023117209849465525</v>
      </c>
      <c r="G260" s="58">
        <v>-0.5737871458124482</v>
      </c>
      <c r="H260" s="51">
        <v>-55607.16000000001</v>
      </c>
      <c r="I260" s="57">
        <v>-0.016896978862690204</v>
      </c>
      <c r="J260" s="57">
        <v>-0.9490516155182335</v>
      </c>
      <c r="K260" s="51">
        <v>114199.50533796722</v>
      </c>
      <c r="L260" s="57">
        <v>0.03470104619306774</v>
      </c>
      <c r="M260" s="57">
        <v>1.9490516155182334</v>
      </c>
      <c r="N260" s="59">
        <v>-0.005313142519087988</v>
      </c>
      <c r="O260" s="57">
        <v>-0.22938002472064067</v>
      </c>
      <c r="P260" s="51">
        <v>58.39805101008836</v>
      </c>
      <c r="Q260" s="35">
        <v>2354.051640737935</v>
      </c>
      <c r="R260" s="13">
        <v>5363.531182865308</v>
      </c>
      <c r="S260" s="57">
        <v>-0.5349791895148674</v>
      </c>
      <c r="T260" s="53">
        <v>280235.69559610984</v>
      </c>
      <c r="U260" s="51">
        <v>58592.34533796721</v>
      </c>
      <c r="V260" s="51">
        <v>-239083.32948037883</v>
      </c>
    </row>
    <row r="261">
      <c r="A261" s="55">
        <v>45217.95997892361</v>
      </c>
      <c r="B261" s="56">
        <v>0.9936096298577618</v>
      </c>
      <c r="C261" s="57">
        <v>-0.008371094371151022</v>
      </c>
      <c r="D261" s="58">
        <v>-0.8209712378634664</v>
      </c>
      <c r="E261" s="50">
        <v>23.54</v>
      </c>
      <c r="F261" s="57">
        <v>-0.009589361122741225</v>
      </c>
      <c r="G261" s="58">
        <v>-0.5969043556619137</v>
      </c>
      <c r="H261" s="51">
        <v>-54648.52999999999</v>
      </c>
      <c r="I261" s="57">
        <v>0.008584096013503325</v>
      </c>
      <c r="J261" s="57">
        <v>-1.0254448979916369</v>
      </c>
      <c r="K261" s="51">
        <v>107941.03758088581</v>
      </c>
      <c r="L261" s="57">
        <v>-0.01695519038465435</v>
      </c>
      <c r="M261" s="57">
        <v>2.025444897991637</v>
      </c>
      <c r="N261" s="59">
        <v>0.0012182667515902024</v>
      </c>
      <c r="O261" s="57">
        <v>-0.2240668822015527</v>
      </c>
      <c r="P261" s="51">
        <v>58.39805101008836</v>
      </c>
      <c r="Q261" s="35">
        <v>2263.9128114225073</v>
      </c>
      <c r="R261" s="13">
        <v>5363.531182865308</v>
      </c>
      <c r="S261" s="57">
        <v>-0.5527852693557079</v>
      </c>
      <c r="T261" s="53">
        <v>280235.69559610984</v>
      </c>
      <c r="U261" s="51">
        <v>53292.50758088582</v>
      </c>
      <c r="V261" s="51">
        <v>-244383.16723746023</v>
      </c>
    </row>
    <row r="262">
      <c r="A262" s="55">
        <v>45216.96001106482</v>
      </c>
      <c r="B262" s="56">
        <v>1.04006920361765</v>
      </c>
      <c r="C262" s="57">
        <v>0.002640785159965242</v>
      </c>
      <c r="D262" s="58">
        <v>-0.8126001434923154</v>
      </c>
      <c r="E262" s="50">
        <v>24.1</v>
      </c>
      <c r="F262" s="57">
        <v>0.0027398174636403816</v>
      </c>
      <c r="G262" s="58">
        <v>-0.5873149945391725</v>
      </c>
      <c r="H262" s="51">
        <v>-54724.5</v>
      </c>
      <c r="I262" s="57">
        <v>-0.0025906113993398815</v>
      </c>
      <c r="J262" s="57">
        <v>-0.9810004382840364</v>
      </c>
      <c r="K262" s="51">
        <v>110508.87874678626</v>
      </c>
      <c r="L262" s="57">
        <v>0.005231396559305123</v>
      </c>
      <c r="M262" s="57">
        <v>1.9810004382840363</v>
      </c>
      <c r="N262" s="59">
        <v>-9.903230367513949E-5</v>
      </c>
      <c r="O262" s="57">
        <v>-0.2252851489531429</v>
      </c>
      <c r="P262" s="51">
        <v>58.39805101008836</v>
      </c>
      <c r="Q262" s="35">
        <v>2314.7045123147823</v>
      </c>
      <c r="R262" s="13">
        <v>5363.531182865308</v>
      </c>
      <c r="S262" s="57">
        <v>-0.5427518454893393</v>
      </c>
      <c r="T262" s="53">
        <v>280235.69559610984</v>
      </c>
      <c r="U262" s="51">
        <v>55784.37874678626</v>
      </c>
      <c r="V262" s="51">
        <v>-241891.29607155977</v>
      </c>
    </row>
    <row r="263">
      <c r="A263" s="55">
        <v>45215.95997142361</v>
      </c>
      <c r="B263" s="56">
        <v>1.0254128459798426</v>
      </c>
      <c r="C263" s="57">
        <v>0.029888170446633167</v>
      </c>
      <c r="D263" s="58">
        <v>-0.8152409286522806</v>
      </c>
      <c r="E263" s="50">
        <v>23.94</v>
      </c>
      <c r="F263" s="57">
        <v>0.034247718295504326</v>
      </c>
      <c r="G263" s="58">
        <v>-0.5900548120028128</v>
      </c>
      <c r="H263" s="51">
        <v>-54724.49999999999</v>
      </c>
      <c r="I263" s="57">
        <v>-0.02973938724380511</v>
      </c>
      <c r="J263" s="57">
        <v>-0.9950220036688523</v>
      </c>
      <c r="K263" s="51">
        <v>109722.7812422433</v>
      </c>
      <c r="L263" s="57">
        <v>0.059627557690438274</v>
      </c>
      <c r="M263" s="57">
        <v>1.9950220036688522</v>
      </c>
      <c r="N263" s="59">
        <v>-0.004359547848871159</v>
      </c>
      <c r="O263" s="57">
        <v>-0.22518611664946775</v>
      </c>
      <c r="P263" s="51">
        <v>58.39805101008836</v>
      </c>
      <c r="Q263" s="35">
        <v>2297.338397754524</v>
      </c>
      <c r="R263" s="13">
        <v>5363.531182865308</v>
      </c>
      <c r="S263" s="57">
        <v>-0.5461823584517727</v>
      </c>
      <c r="T263" s="53">
        <v>280235.69559610984</v>
      </c>
      <c r="U263" s="51">
        <v>54998.28124224331</v>
      </c>
      <c r="V263" s="51">
        <v>-242677.39357610274</v>
      </c>
    </row>
    <row r="264">
      <c r="A264" s="55">
        <v>45214.95996457176</v>
      </c>
      <c r="B264" s="56">
        <v>0.8595335000010288</v>
      </c>
      <c r="C264" s="57">
        <v>3.153066053892539E-4</v>
      </c>
      <c r="D264" s="58">
        <v>-0.8451290990989138</v>
      </c>
      <c r="E264" s="50">
        <v>21.94</v>
      </c>
      <c r="F264" s="57">
        <v>1.712385914774961E-4</v>
      </c>
      <c r="G264" s="58">
        <v>-0.6243025302983172</v>
      </c>
      <c r="H264" s="51">
        <v>-54454.99999999999</v>
      </c>
      <c r="I264" s="57">
        <v>-3.7244115069446287E-4</v>
      </c>
      <c r="J264" s="57">
        <v>-1.1812031347541068</v>
      </c>
      <c r="K264" s="51">
        <v>100556.29993545605</v>
      </c>
      <c r="L264" s="57">
        <v>6.877477560837168E-4</v>
      </c>
      <c r="M264" s="57">
        <v>2.181203134754107</v>
      </c>
      <c r="N264" s="59">
        <v>1.4406801391175783E-4</v>
      </c>
      <c r="O264" s="57">
        <v>-0.2208265688005966</v>
      </c>
      <c r="P264" s="51">
        <v>58.39805101008836</v>
      </c>
      <c r="Q264" s="35">
        <v>2101.2442997017342</v>
      </c>
      <c r="R264" s="13">
        <v>5363.531182865308</v>
      </c>
      <c r="S264" s="57">
        <v>-0.5849189073149379</v>
      </c>
      <c r="T264" s="53">
        <v>280235.69559610984</v>
      </c>
      <c r="U264" s="51">
        <v>46101.29993545605</v>
      </c>
      <c r="V264" s="51">
        <v>-251574.37488289</v>
      </c>
    </row>
    <row r="265">
      <c r="A265" s="55">
        <v>45213.95996925926</v>
      </c>
      <c r="B265" s="56">
        <v>0.8577835483411181</v>
      </c>
      <c r="C265" s="57">
        <v>-0.001846728251284513</v>
      </c>
      <c r="D265" s="58">
        <v>-0.845444405704303</v>
      </c>
      <c r="E265" s="50">
        <v>21.93</v>
      </c>
      <c r="F265" s="57">
        <v>-0.002054863097730286</v>
      </c>
      <c r="G265" s="58">
        <v>-0.6244737688897947</v>
      </c>
      <c r="H265" s="51">
        <v>-54455.0</v>
      </c>
      <c r="I265" s="57">
        <v>0.0021858113625063858</v>
      </c>
      <c r="J265" s="57">
        <v>-1.183612889977732</v>
      </c>
      <c r="K265" s="51">
        <v>100462.4408289221</v>
      </c>
      <c r="L265" s="57">
        <v>-0.004032539613790898</v>
      </c>
      <c r="M265" s="57">
        <v>2.183612889977732</v>
      </c>
      <c r="N265" s="59">
        <v>2.081348464457733E-4</v>
      </c>
      <c r="O265" s="57">
        <v>-0.22097063681450835</v>
      </c>
      <c r="P265" s="51">
        <v>58.39805101008836</v>
      </c>
      <c r="Q265" s="35">
        <v>2097.9225184187007</v>
      </c>
      <c r="R265" s="13">
        <v>5363.531182865308</v>
      </c>
      <c r="S265" s="57">
        <v>-0.5855750940347867</v>
      </c>
      <c r="T265" s="53">
        <v>280235.69559610984</v>
      </c>
      <c r="U265" s="51">
        <v>46007.4408289221</v>
      </c>
      <c r="V265" s="51">
        <v>-251668.23398942396</v>
      </c>
    </row>
    <row r="266">
      <c r="A266" s="55">
        <v>45212.9599683912</v>
      </c>
      <c r="B266" s="56">
        <v>0.8680328901357472</v>
      </c>
      <c r="C266" s="57">
        <v>0.013546473502724754</v>
      </c>
      <c r="D266" s="58">
        <v>-0.8435976774530185</v>
      </c>
      <c r="E266" s="50">
        <v>22.05</v>
      </c>
      <c r="F266" s="57">
        <v>0.014897757458544492</v>
      </c>
      <c r="G266" s="58">
        <v>-0.6224189057920644</v>
      </c>
      <c r="H266" s="51">
        <v>-54455.00000000001</v>
      </c>
      <c r="I266" s="57">
        <v>-0.015844460984045555</v>
      </c>
      <c r="J266" s="57">
        <v>-1.1696373215404423</v>
      </c>
      <c r="K266" s="51">
        <v>101012.16690732935</v>
      </c>
      <c r="L266" s="57">
        <v>0.029390934486770312</v>
      </c>
      <c r="M266" s="57">
        <v>2.1696373215404425</v>
      </c>
      <c r="N266" s="59">
        <v>-0.0013512839558197376</v>
      </c>
      <c r="O266" s="57">
        <v>-0.22117877166095412</v>
      </c>
      <c r="P266" s="51">
        <v>58.39805101008836</v>
      </c>
      <c r="Q266" s="35">
        <v>2111.4361409219655</v>
      </c>
      <c r="R266" s="13">
        <v>5363.531182865308</v>
      </c>
      <c r="S266" s="57">
        <v>-0.5829056047252453</v>
      </c>
      <c r="T266" s="53">
        <v>280235.69559610984</v>
      </c>
      <c r="U266" s="51">
        <v>46557.16690732934</v>
      </c>
      <c r="V266" s="51">
        <v>-251118.5079110167</v>
      </c>
    </row>
    <row r="267">
      <c r="A267" s="55">
        <v>45211.95996944445</v>
      </c>
      <c r="B267" s="56">
        <v>0.7928499621956249</v>
      </c>
      <c r="C267" s="57">
        <v>-0.009844452280893368</v>
      </c>
      <c r="D267" s="58">
        <v>-0.8571441509557433</v>
      </c>
      <c r="E267" s="50">
        <v>21.18</v>
      </c>
      <c r="F267" s="57">
        <v>-0.010959269854561526</v>
      </c>
      <c r="G267" s="58">
        <v>-0.6373166632506089</v>
      </c>
      <c r="H267" s="51">
        <v>-54455.0</v>
      </c>
      <c r="I267" s="57">
        <v>0.012606308967104074</v>
      </c>
      <c r="J267" s="57">
        <v>-1.2805495529264805</v>
      </c>
      <c r="K267" s="51">
        <v>96979.7112659969</v>
      </c>
      <c r="L267" s="57">
        <v>-0.022450761247997445</v>
      </c>
      <c r="M267" s="57">
        <v>2.2805495529264808</v>
      </c>
      <c r="N267" s="59">
        <v>0.0011148175736681587</v>
      </c>
      <c r="O267" s="57">
        <v>-0.21982748770513438</v>
      </c>
      <c r="P267" s="51">
        <v>58.39805101008836</v>
      </c>
      <c r="Q267" s="35">
        <v>2007.776735882762</v>
      </c>
      <c r="R267" s="13">
        <v>5363.531182865308</v>
      </c>
      <c r="S267" s="57">
        <v>-0.6033825474190879</v>
      </c>
      <c r="T267" s="53">
        <v>280235.69559610984</v>
      </c>
      <c r="U267" s="51">
        <v>42524.7112659969</v>
      </c>
      <c r="V267" s="51">
        <v>-255150.96355234913</v>
      </c>
    </row>
    <row r="268">
      <c r="A268" s="55">
        <v>45210.95997440972</v>
      </c>
      <c r="B268" s="56">
        <v>0.847486672354583</v>
      </c>
      <c r="C268" s="57">
        <v>-0.003529359952221589</v>
      </c>
      <c r="D268" s="58">
        <v>-0.8472996986748499</v>
      </c>
      <c r="E268" s="50">
        <v>21.82</v>
      </c>
      <c r="F268" s="57">
        <v>-0.00410972619546035</v>
      </c>
      <c r="G268" s="58">
        <v>-0.6263573933960473</v>
      </c>
      <c r="H268" s="51">
        <v>-54455.0</v>
      </c>
      <c r="I268" s="57">
        <v>0.004228150864160653</v>
      </c>
      <c r="J268" s="57">
        <v>-1.197993664970104</v>
      </c>
      <c r="K268" s="51">
        <v>99910.16524192883</v>
      </c>
      <c r="L268" s="57">
        <v>-0.007757510816382241</v>
      </c>
      <c r="M268" s="57">
        <v>2.1979936649701037</v>
      </c>
      <c r="N268" s="59">
        <v>5.803662432387613E-4</v>
      </c>
      <c r="O268" s="57">
        <v>-0.22094230527880254</v>
      </c>
      <c r="P268" s="51">
        <v>58.39805101008836</v>
      </c>
      <c r="Q268" s="35">
        <v>2083.188141243301</v>
      </c>
      <c r="R268" s="13">
        <v>5363.531182865308</v>
      </c>
      <c r="S268" s="57">
        <v>-0.5884857319738721</v>
      </c>
      <c r="T268" s="53">
        <v>280235.69559610984</v>
      </c>
      <c r="U268" s="51">
        <v>45455.16524192883</v>
      </c>
      <c r="V268" s="51">
        <v>-252220.50957641721</v>
      </c>
    </row>
    <row r="269">
      <c r="A269" s="55">
        <v>45209.959963483794</v>
      </c>
      <c r="B269" s="56">
        <v>0.8670746200894133</v>
      </c>
      <c r="C269" s="57">
        <v>-0.0018449518852434732</v>
      </c>
      <c r="D269" s="58">
        <v>-0.8437703387226283</v>
      </c>
      <c r="E269" s="50">
        <v>22.06</v>
      </c>
      <c r="F269" s="57">
        <v>-0.002054863097730397</v>
      </c>
      <c r="G269" s="58">
        <v>-0.622247667200587</v>
      </c>
      <c r="H269" s="51">
        <v>-54455.00000000001</v>
      </c>
      <c r="I269" s="57">
        <v>0.0021603094678495317</v>
      </c>
      <c r="J269" s="57">
        <v>-1.1709299766180308</v>
      </c>
      <c r="K269" s="51">
        <v>100960.76984738327</v>
      </c>
      <c r="L269" s="57">
        <v>-0.004005261353093006</v>
      </c>
      <c r="M269" s="57">
        <v>2.170929976618031</v>
      </c>
      <c r="N269" s="59">
        <v>2.0991121248692401E-4</v>
      </c>
      <c r="O269" s="57">
        <v>-0.2215226715220413</v>
      </c>
      <c r="P269" s="51">
        <v>58.39805101008836</v>
      </c>
      <c r="Q269" s="35">
        <v>2108.1491317943455</v>
      </c>
      <c r="R269" s="13">
        <v>5363.531182865308</v>
      </c>
      <c r="S269" s="57">
        <v>-0.5835549225321048</v>
      </c>
      <c r="T269" s="53">
        <v>280235.69559610984</v>
      </c>
      <c r="U269" s="51">
        <v>46505.769847383264</v>
      </c>
      <c r="V269" s="51">
        <v>-251169.9049709628</v>
      </c>
    </row>
    <row r="270">
      <c r="A270" s="55">
        <v>45208.959969641204</v>
      </c>
      <c r="B270" s="56">
        <v>0.8773141030525143</v>
      </c>
      <c r="C270" s="57">
        <v>-0.018541799711207285</v>
      </c>
      <c r="D270" s="58">
        <v>-0.8419253868373848</v>
      </c>
      <c r="E270" s="50">
        <v>22.18</v>
      </c>
      <c r="F270" s="57">
        <v>-0.020891108160257632</v>
      </c>
      <c r="G270" s="58">
        <v>-0.6201928041028566</v>
      </c>
      <c r="H270" s="51">
        <v>-54455.0</v>
      </c>
      <c r="I270" s="57">
        <v>0.021457749617932072</v>
      </c>
      <c r="J270" s="57">
        <v>-1.1572635856357725</v>
      </c>
      <c r="K270" s="51">
        <v>101509.96714483049</v>
      </c>
      <c r="L270" s="57">
        <v>-0.039999549329139364</v>
      </c>
      <c r="M270" s="57">
        <v>2.1572635856357727</v>
      </c>
      <c r="N270" s="59">
        <v>0.002349308449050347</v>
      </c>
      <c r="O270" s="57">
        <v>-0.22173258273452823</v>
      </c>
      <c r="P270" s="51">
        <v>58.39805101008836</v>
      </c>
      <c r="Q270" s="35">
        <v>2121.504379839066</v>
      </c>
      <c r="R270" s="13">
        <v>5363.531182865308</v>
      </c>
      <c r="S270" s="57">
        <v>-0.5809167186106143</v>
      </c>
      <c r="T270" s="53">
        <v>280235.69559610984</v>
      </c>
      <c r="U270" s="51">
        <v>47054.96714483049</v>
      </c>
      <c r="V270" s="51">
        <v>-250620.70767351554</v>
      </c>
    </row>
    <row r="271">
      <c r="A271" s="55">
        <v>45207.95996504629</v>
      </c>
      <c r="B271" s="56">
        <v>0.9802210914497146</v>
      </c>
      <c r="C271" s="57">
        <v>0.001382886178847631</v>
      </c>
      <c r="D271" s="58">
        <v>-0.8233835871261775</v>
      </c>
      <c r="E271" s="50">
        <v>23.4</v>
      </c>
      <c r="F271" s="57">
        <v>0.001541147323297798</v>
      </c>
      <c r="G271" s="58">
        <v>-0.599301695942599</v>
      </c>
      <c r="H271" s="51">
        <v>-54455.0</v>
      </c>
      <c r="I271" s="57">
        <v>-0.0014323521087946408</v>
      </c>
      <c r="J271" s="57">
        <v>-1.0357700660427673</v>
      </c>
      <c r="K271" s="51">
        <v>107029.40988621072</v>
      </c>
      <c r="L271" s="57">
        <v>0.0028152382876422723</v>
      </c>
      <c r="M271" s="57">
        <v>2.0357700660427676</v>
      </c>
      <c r="N271" s="59">
        <v>-1.5826114445016692E-4</v>
      </c>
      <c r="O271" s="57">
        <v>-0.22408189118357857</v>
      </c>
      <c r="P271" s="51">
        <v>58.39805101008836</v>
      </c>
      <c r="Q271" s="35">
        <v>2246.7696532568684</v>
      </c>
      <c r="R271" s="13">
        <v>5363.531182865308</v>
      </c>
      <c r="S271" s="57">
        <v>-0.5561717393746753</v>
      </c>
      <c r="T271" s="53">
        <v>280235.69559610984</v>
      </c>
      <c r="U271" s="51">
        <v>52574.40988621072</v>
      </c>
      <c r="V271" s="51">
        <v>-245101.26493213532</v>
      </c>
    </row>
    <row r="272">
      <c r="A272" s="55">
        <v>45206.95996755787</v>
      </c>
      <c r="B272" s="56">
        <v>0.9725460731571104</v>
      </c>
      <c r="C272" s="57">
        <v>-0.004569206323748021</v>
      </c>
      <c r="D272" s="58">
        <v>-0.8247664733050252</v>
      </c>
      <c r="E272" s="50">
        <v>23.31</v>
      </c>
      <c r="F272" s="57">
        <v>-0.005479634927280763</v>
      </c>
      <c r="G272" s="58">
        <v>-0.6008428432658968</v>
      </c>
      <c r="H272" s="51">
        <v>-54455.0</v>
      </c>
      <c r="I272" s="57">
        <v>0.004769995652498094</v>
      </c>
      <c r="J272" s="57">
        <v>-1.0439440275888812</v>
      </c>
      <c r="K272" s="51">
        <v>106617.7583097253</v>
      </c>
      <c r="L272" s="57">
        <v>-0.009339201976246115</v>
      </c>
      <c r="M272" s="57">
        <v>2.043944027588881</v>
      </c>
      <c r="N272" s="59">
        <v>9.104286035327425E-4</v>
      </c>
      <c r="O272" s="57">
        <v>-0.2239236300391284</v>
      </c>
      <c r="P272" s="51">
        <v>58.39805101008836</v>
      </c>
      <c r="Q272" s="35">
        <v>2237.7845692717847</v>
      </c>
      <c r="R272" s="13">
        <v>5363.531182865308</v>
      </c>
      <c r="S272" s="57">
        <v>-0.5579466583971446</v>
      </c>
      <c r="T272" s="53">
        <v>280235.69559610984</v>
      </c>
      <c r="U272" s="51">
        <v>52162.758309725294</v>
      </c>
      <c r="V272" s="51">
        <v>-245512.91650862075</v>
      </c>
    </row>
    <row r="273">
      <c r="A273" s="55">
        <v>45205.95996334491</v>
      </c>
      <c r="B273" s="56">
        <v>0.9979051682539121</v>
      </c>
      <c r="C273" s="57">
        <v>0.013662111160147927</v>
      </c>
      <c r="D273" s="58">
        <v>-0.8201972669812772</v>
      </c>
      <c r="E273" s="50">
        <v>23.63</v>
      </c>
      <c r="F273" s="57">
        <v>0.015240234641499484</v>
      </c>
      <c r="G273" s="58">
        <v>-0.595363208338616</v>
      </c>
      <c r="H273" s="51">
        <v>-54455.0</v>
      </c>
      <c r="I273" s="57">
        <v>-0.01390003652300184</v>
      </c>
      <c r="J273" s="57">
        <v>-1.017414977821871</v>
      </c>
      <c r="K273" s="51">
        <v>107977.89988553125</v>
      </c>
      <c r="L273" s="57">
        <v>0.027562147683149768</v>
      </c>
      <c r="M273" s="57">
        <v>2.017414977821871</v>
      </c>
      <c r="N273" s="59">
        <v>-0.0015781234813515566</v>
      </c>
      <c r="O273" s="57">
        <v>-0.22483405864266115</v>
      </c>
      <c r="P273" s="51">
        <v>58.39805101008836</v>
      </c>
      <c r="Q273" s="35">
        <v>2265.0401982873996</v>
      </c>
      <c r="R273" s="13">
        <v>5363.531182865308</v>
      </c>
      <c r="S273" s="57">
        <v>-0.5525625646602925</v>
      </c>
      <c r="T273" s="53">
        <v>280235.69559610984</v>
      </c>
      <c r="U273" s="51">
        <v>53522.89988553125</v>
      </c>
      <c r="V273" s="51">
        <v>-244152.7749328148</v>
      </c>
    </row>
    <row r="274">
      <c r="A274" s="55">
        <v>45204.95997202546</v>
      </c>
      <c r="B274" s="56">
        <v>0.922080451315091</v>
      </c>
      <c r="C274" s="57">
        <v>-0.005219233476910445</v>
      </c>
      <c r="D274" s="58">
        <v>-0.8338593781414251</v>
      </c>
      <c r="E274" s="50">
        <v>22.74</v>
      </c>
      <c r="F274" s="57">
        <v>-0.005822112110235755</v>
      </c>
      <c r="G274" s="58">
        <v>-0.6106034429801155</v>
      </c>
      <c r="H274" s="51">
        <v>-54454.99999999999</v>
      </c>
      <c r="I274" s="57">
        <v>0.005746789755086999</v>
      </c>
      <c r="J274" s="57">
        <v>-1.1010792639398925</v>
      </c>
      <c r="K274" s="51">
        <v>103911.02172649094</v>
      </c>
      <c r="L274" s="57">
        <v>-0.010966023231997444</v>
      </c>
      <c r="M274" s="57">
        <v>2.1010792639398925</v>
      </c>
      <c r="N274" s="59">
        <v>6.0287863332531E-4</v>
      </c>
      <c r="O274" s="57">
        <v>-0.2232559351613096</v>
      </c>
      <c r="P274" s="51">
        <v>58.39805101008836</v>
      </c>
      <c r="Q274" s="35">
        <v>2174.8470416222935</v>
      </c>
      <c r="R274" s="13">
        <v>5363.531182865308</v>
      </c>
      <c r="S274" s="57">
        <v>-0.5703793763592375</v>
      </c>
      <c r="T274" s="53">
        <v>280235.69559610984</v>
      </c>
      <c r="U274" s="51">
        <v>49456.02172649095</v>
      </c>
      <c r="V274" s="51">
        <v>-248219.65309185509</v>
      </c>
    </row>
    <row r="275">
      <c r="A275" s="55">
        <v>45203.9599794213</v>
      </c>
      <c r="B275" s="56">
        <v>0.9510471971119434</v>
      </c>
      <c r="C275" s="57">
        <v>-0.005349431293681706</v>
      </c>
      <c r="D275" s="58">
        <v>-0.8286401446645146</v>
      </c>
      <c r="E275" s="50">
        <v>23.08</v>
      </c>
      <c r="F275" s="57">
        <v>-0.007876975207966042</v>
      </c>
      <c r="G275" s="58">
        <v>-0.6047813308698797</v>
      </c>
      <c r="H275" s="51">
        <v>-54455.0</v>
      </c>
      <c r="I275" s="57">
        <v>0.0057107472941558875</v>
      </c>
      <c r="J275" s="57">
        <v>-1.067542880848089</v>
      </c>
      <c r="K275" s="51">
        <v>105464.66057376475</v>
      </c>
      <c r="L275" s="57">
        <v>-0.011060178587837593</v>
      </c>
      <c r="M275" s="57">
        <v>2.067542880848089</v>
      </c>
      <c r="N275" s="59">
        <v>0.002527543914284336</v>
      </c>
      <c r="O275" s="57">
        <v>-0.2238588137946349</v>
      </c>
      <c r="P275" s="51">
        <v>58.39805101008836</v>
      </c>
      <c r="Q275" s="35">
        <v>2210.1239416709163</v>
      </c>
      <c r="R275" s="13">
        <v>5363.531182865308</v>
      </c>
      <c r="S275" s="57">
        <v>-0.5634107558038824</v>
      </c>
      <c r="T275" s="53">
        <v>280235.69559610984</v>
      </c>
      <c r="U275" s="51">
        <v>51009.66057376475</v>
      </c>
      <c r="V275" s="51">
        <v>-246666.01424458128</v>
      </c>
    </row>
    <row r="276">
      <c r="A276" s="55">
        <v>45202.95995738426</v>
      </c>
      <c r="B276" s="56">
        <v>0.9807365407918769</v>
      </c>
      <c r="C276" s="57">
        <v>0.006136595856118254</v>
      </c>
      <c r="D276" s="58">
        <v>-0.8232907133708329</v>
      </c>
      <c r="E276" s="50">
        <v>23.54</v>
      </c>
      <c r="F276" s="57">
        <v>0.006849543659100843</v>
      </c>
      <c r="G276" s="58">
        <v>-0.5969043556619137</v>
      </c>
      <c r="H276" s="51">
        <v>-54900.14</v>
      </c>
      <c r="I276" s="57">
        <v>-0.0064046920656865396</v>
      </c>
      <c r="J276" s="57">
        <v>-1.0436880993720632</v>
      </c>
      <c r="K276" s="51">
        <v>107502.19614400582</v>
      </c>
      <c r="L276" s="57">
        <v>0.012541287921804796</v>
      </c>
      <c r="M276" s="57">
        <v>2.0436880993720634</v>
      </c>
      <c r="N276" s="59">
        <v>-7.129478029825886E-4</v>
      </c>
      <c r="O276" s="57">
        <v>-0.22638635770891924</v>
      </c>
      <c r="P276" s="51">
        <v>58.39805101008836</v>
      </c>
      <c r="Q276" s="35">
        <v>2234.5818242993128</v>
      </c>
      <c r="R276" s="13">
        <v>5363.531182865308</v>
      </c>
      <c r="S276" s="57">
        <v>-0.5585793306109152</v>
      </c>
      <c r="T276" s="53">
        <v>280235.69559610984</v>
      </c>
      <c r="U276" s="51">
        <v>52602.05614400582</v>
      </c>
      <c r="V276" s="51">
        <v>-245073.61867434022</v>
      </c>
    </row>
    <row r="277">
      <c r="A277" s="55">
        <v>45201.95996425926</v>
      </c>
      <c r="B277" s="56">
        <v>0.9466784337904207</v>
      </c>
      <c r="C277" s="57">
        <v>0.0030682979280590716</v>
      </c>
      <c r="D277" s="58">
        <v>-0.8294273092269512</v>
      </c>
      <c r="E277" s="50">
        <v>23.14</v>
      </c>
      <c r="F277" s="57">
        <v>0.003424771829550366</v>
      </c>
      <c r="G277" s="58">
        <v>-0.6037538993210145</v>
      </c>
      <c r="H277" s="51">
        <v>-54900.14</v>
      </c>
      <c r="I277" s="57">
        <v>-0.003317554999213738</v>
      </c>
      <c r="J277" s="57">
        <v>-1.081236267467788</v>
      </c>
      <c r="K277" s="51">
        <v>105675.48083144837</v>
      </c>
      <c r="L277" s="57">
        <v>0.00638585292727281</v>
      </c>
      <c r="M277" s="57">
        <v>2.081236267467788</v>
      </c>
      <c r="N277" s="59">
        <v>-3.564739014912943E-4</v>
      </c>
      <c r="O277" s="57">
        <v>-0.22567340990593665</v>
      </c>
      <c r="P277" s="51">
        <v>58.39805101008836</v>
      </c>
      <c r="Q277" s="35">
        <v>2194.2671059398604</v>
      </c>
      <c r="R277" s="13">
        <v>5363.531182865308</v>
      </c>
      <c r="S277" s="57">
        <v>-0.5665431248971424</v>
      </c>
      <c r="T277" s="53">
        <v>280235.69559610984</v>
      </c>
      <c r="U277" s="51">
        <v>50775.34083144837</v>
      </c>
      <c r="V277" s="51">
        <v>-246900.33398689766</v>
      </c>
    </row>
    <row r="278">
      <c r="A278" s="55">
        <v>45200.959961863424</v>
      </c>
      <c r="B278" s="56">
        <v>0.9296493802896929</v>
      </c>
      <c r="C278" s="57">
        <v>0.02633881246877079</v>
      </c>
      <c r="D278" s="58">
        <v>-0.8324956071550103</v>
      </c>
      <c r="E278" s="50">
        <v>22.94</v>
      </c>
      <c r="F278" s="57">
        <v>0.02893932195970128</v>
      </c>
      <c r="G278" s="58">
        <v>-0.6071786711505649</v>
      </c>
      <c r="H278" s="51">
        <v>-54900.14</v>
      </c>
      <c r="I278" s="57">
        <v>-0.02900013998419031</v>
      </c>
      <c r="J278" s="57">
        <v>-1.101042046545378</v>
      </c>
      <c r="K278" s="51">
        <v>104762.12317516965</v>
      </c>
      <c r="L278" s="57">
        <v>0.05533895245296111</v>
      </c>
      <c r="M278" s="57">
        <v>2.1010420465453783</v>
      </c>
      <c r="N278" s="59">
        <v>-0.0026005094909304916</v>
      </c>
      <c r="O278" s="57">
        <v>-0.22531693600444536</v>
      </c>
      <c r="P278" s="51">
        <v>58.39805101008836</v>
      </c>
      <c r="Q278" s="35">
        <v>2173.582527252382</v>
      </c>
      <c r="R278" s="13">
        <v>5363.531182865308</v>
      </c>
      <c r="S278" s="57">
        <v>-0.5706291693064228</v>
      </c>
      <c r="T278" s="53">
        <v>280235.69559610984</v>
      </c>
      <c r="U278" s="51">
        <v>49861.98317516965</v>
      </c>
      <c r="V278" s="51">
        <v>-247813.6916431764</v>
      </c>
    </row>
    <row r="279">
      <c r="A279" s="55">
        <v>45199.9599795949</v>
      </c>
      <c r="B279" s="56">
        <v>0.783468971088015</v>
      </c>
      <c r="C279" s="57">
        <v>0.015027449355193512</v>
      </c>
      <c r="D279" s="58">
        <v>-0.858834419623781</v>
      </c>
      <c r="E279" s="50">
        <v>21.25</v>
      </c>
      <c r="F279" s="57">
        <v>0.01678138196479717</v>
      </c>
      <c r="G279" s="58">
        <v>-0.6361179931102662</v>
      </c>
      <c r="H279" s="51">
        <v>-54976.15</v>
      </c>
      <c r="I279" s="57">
        <v>-0.019660177339256527</v>
      </c>
      <c r="J279" s="57">
        <v>-1.308284385098389</v>
      </c>
      <c r="K279" s="51">
        <v>96997.70939961444</v>
      </c>
      <c r="L279" s="57">
        <v>0.03468762669445003</v>
      </c>
      <c r="M279" s="57">
        <v>2.3082843850983887</v>
      </c>
      <c r="N279" s="59">
        <v>-0.001753932609603659</v>
      </c>
      <c r="O279" s="57">
        <v>-0.22271642651351486</v>
      </c>
      <c r="P279" s="51">
        <v>58.39805101008836</v>
      </c>
      <c r="Q279" s="35">
        <v>1977.48514821715</v>
      </c>
      <c r="R279" s="13">
        <v>5363.531182865308</v>
      </c>
      <c r="S279" s="57">
        <v>-0.6093663662968798</v>
      </c>
      <c r="T279" s="53">
        <v>280235.69559610984</v>
      </c>
      <c r="U279" s="51">
        <v>42021.55939961444</v>
      </c>
      <c r="V279" s="51">
        <v>-255654.1154187316</v>
      </c>
    </row>
    <row r="280">
      <c r="A280" s="55">
        <v>45198.96008449074</v>
      </c>
      <c r="B280" s="56">
        <v>0.7000666271666912</v>
      </c>
      <c r="C280" s="57">
        <v>0.007529407227602314</v>
      </c>
      <c r="D280" s="58">
        <v>-0.8738618689789746</v>
      </c>
      <c r="E280" s="50">
        <v>20.27</v>
      </c>
      <c r="F280" s="57">
        <v>0.009075645348308625</v>
      </c>
      <c r="G280" s="58">
        <v>-0.6528993750750633</v>
      </c>
      <c r="H280" s="51">
        <v>-54976.15</v>
      </c>
      <c r="I280" s="57">
        <v>-0.011024156520866163</v>
      </c>
      <c r="J280" s="57">
        <v>-1.4641466701989936</v>
      </c>
      <c r="K280" s="51">
        <v>92524.4032720087</v>
      </c>
      <c r="L280" s="57">
        <v>0.018553563748468477</v>
      </c>
      <c r="M280" s="57">
        <v>2.4641466701989936</v>
      </c>
      <c r="N280" s="59">
        <v>-0.0015462381207063114</v>
      </c>
      <c r="O280" s="57">
        <v>-0.2209624939039112</v>
      </c>
      <c r="P280" s="51">
        <v>58.39805101008836</v>
      </c>
      <c r="Q280" s="35">
        <v>1852.4051934883423</v>
      </c>
      <c r="R280" s="13">
        <v>5363.531182865308</v>
      </c>
      <c r="S280" s="57">
        <v>-0.6340747375648953</v>
      </c>
      <c r="T280" s="53">
        <v>280235.69559610984</v>
      </c>
      <c r="U280" s="51">
        <v>37548.2532720087</v>
      </c>
      <c r="V280" s="51">
        <v>-260127.42154633734</v>
      </c>
    </row>
    <row r="281">
      <c r="A281" s="55">
        <v>45197.95997625</v>
      </c>
      <c r="B281" s="56">
        <v>0.6582784170534983</v>
      </c>
      <c r="C281" s="57">
        <v>0.01195488399291833</v>
      </c>
      <c r="D281" s="58">
        <v>-0.8813912762065769</v>
      </c>
      <c r="E281" s="50">
        <v>19.74</v>
      </c>
      <c r="F281" s="57">
        <v>0.013356610135246694</v>
      </c>
      <c r="G281" s="58">
        <v>-0.661975020423372</v>
      </c>
      <c r="H281" s="51">
        <v>-54755.0</v>
      </c>
      <c r="I281" s="57">
        <v>-0.01853997608705517</v>
      </c>
      <c r="J281" s="57">
        <v>-1.5508286067884576</v>
      </c>
      <c r="K281" s="51">
        <v>90061.93189455004</v>
      </c>
      <c r="L281" s="57">
        <v>0.0304948600799735</v>
      </c>
      <c r="M281" s="57">
        <v>2.550828606788458</v>
      </c>
      <c r="N281" s="59">
        <v>-0.0014017261423283633</v>
      </c>
      <c r="O281" s="57">
        <v>-0.2194162557832049</v>
      </c>
      <c r="P281" s="51">
        <v>58.39805101008836</v>
      </c>
      <c r="Q281" s="35">
        <v>1788.5983735840955</v>
      </c>
      <c r="R281" s="13">
        <v>5363.531182865308</v>
      </c>
      <c r="S281" s="57">
        <v>-0.64667917605421</v>
      </c>
      <c r="T281" s="53">
        <v>280235.69559610984</v>
      </c>
      <c r="U281" s="51">
        <v>35306.93189455004</v>
      </c>
      <c r="V281" s="51">
        <v>-262368.742923796</v>
      </c>
    </row>
    <row r="282">
      <c r="A282" s="55">
        <v>45196.960065231484</v>
      </c>
      <c r="B282" s="56">
        <v>0.5919288108928016</v>
      </c>
      <c r="C282" s="57">
        <v>-6.130709739958773E-4</v>
      </c>
      <c r="D282" s="58">
        <v>-0.8933461601994952</v>
      </c>
      <c r="E282" s="50">
        <v>18.96</v>
      </c>
      <c r="F282" s="57">
        <v>-6.849543659100954E-4</v>
      </c>
      <c r="G282" s="58">
        <v>-0.6753316305586187</v>
      </c>
      <c r="H282" s="51">
        <v>-54755.0</v>
      </c>
      <c r="I282" s="57">
        <v>0.0010573400811830552</v>
      </c>
      <c r="J282" s="57">
        <v>-1.724661786369559</v>
      </c>
      <c r="K282" s="51">
        <v>86503.25373458304</v>
      </c>
      <c r="L282" s="57">
        <v>-0.0016704110551789325</v>
      </c>
      <c r="M282" s="57">
        <v>2.724661786369559</v>
      </c>
      <c r="N282" s="59">
        <v>7.188339191421811E-5</v>
      </c>
      <c r="O282" s="57">
        <v>-0.21801452964087653</v>
      </c>
      <c r="P282" s="51">
        <v>58.39805101008836</v>
      </c>
      <c r="Q282" s="35">
        <v>1674.4859564653498</v>
      </c>
      <c r="R282" s="13">
        <v>5363.531182865308</v>
      </c>
      <c r="S282" s="57">
        <v>-0.6692210131900946</v>
      </c>
      <c r="T282" s="53">
        <v>280235.69559610984</v>
      </c>
      <c r="U282" s="51">
        <v>31748.253734583035</v>
      </c>
      <c r="V282" s="51">
        <v>-265927.421083763</v>
      </c>
    </row>
    <row r="283">
      <c r="A283" s="55">
        <v>45195.95997072916</v>
      </c>
      <c r="B283" s="56">
        <v>0.5953313547984785</v>
      </c>
      <c r="C283" s="57">
        <v>-0.005932429709827547</v>
      </c>
      <c r="D283" s="58">
        <v>-0.8927330892254993</v>
      </c>
      <c r="E283" s="50">
        <v>19.0</v>
      </c>
      <c r="F283" s="57">
        <v>-0.007192020842055946</v>
      </c>
      <c r="G283" s="58">
        <v>-0.6746466761927086</v>
      </c>
      <c r="H283" s="51">
        <v>-54755.0</v>
      </c>
      <c r="I283" s="57">
        <v>0.010172958300324568</v>
      </c>
      <c r="J283" s="57">
        <v>-1.7148046918233595</v>
      </c>
      <c r="K283" s="51">
        <v>86685.75005047879</v>
      </c>
      <c r="L283" s="57">
        <v>-0.016105388010152117</v>
      </c>
      <c r="M283" s="57">
        <v>2.7148046918233595</v>
      </c>
      <c r="N283" s="59">
        <v>0.0012595911322283992</v>
      </c>
      <c r="O283" s="57">
        <v>-0.21808641303279075</v>
      </c>
      <c r="P283" s="51">
        <v>58.39805101008836</v>
      </c>
      <c r="Q283" s="35">
        <v>1680.5657921304626</v>
      </c>
      <c r="R283" s="13">
        <v>5363.531182865308</v>
      </c>
      <c r="S283" s="57">
        <v>-0.6680199987094944</v>
      </c>
      <c r="T283" s="53">
        <v>280235.69559610984</v>
      </c>
      <c r="U283" s="51">
        <v>31930.75005047879</v>
      </c>
      <c r="V283" s="51">
        <v>-265744.92476786725</v>
      </c>
    </row>
    <row r="284">
      <c r="A284" s="55">
        <v>45194.96000018519</v>
      </c>
      <c r="B284" s="56">
        <v>0.6282563396880216</v>
      </c>
      <c r="C284" s="57">
        <v>-9.180467838038053E-4</v>
      </c>
      <c r="D284" s="58">
        <v>-0.8868006595156718</v>
      </c>
      <c r="E284" s="50">
        <v>19.42</v>
      </c>
      <c r="F284" s="57">
        <v>-0.0010274315488650876</v>
      </c>
      <c r="G284" s="58">
        <v>-0.6674546553506526</v>
      </c>
      <c r="H284" s="51">
        <v>-54755.0</v>
      </c>
      <c r="I284" s="57">
        <v>0.0014917682284591803</v>
      </c>
      <c r="J284" s="57">
        <v>-1.6249370454501633</v>
      </c>
      <c r="K284" s="51">
        <v>88451.69006766412</v>
      </c>
      <c r="L284" s="57">
        <v>-0.0024098150122629854</v>
      </c>
      <c r="M284" s="57">
        <v>2.6249370454501633</v>
      </c>
      <c r="N284" s="59">
        <v>1.0938476506128225E-4</v>
      </c>
      <c r="O284" s="57">
        <v>-0.21934600416501915</v>
      </c>
      <c r="P284" s="51">
        <v>58.39805101008836</v>
      </c>
      <c r="Q284" s="35">
        <v>1735.1539684688012</v>
      </c>
      <c r="R284" s="13">
        <v>5363.531182865308</v>
      </c>
      <c r="S284" s="57">
        <v>-0.6572366167460459</v>
      </c>
      <c r="T284" s="53">
        <v>280235.69559610984</v>
      </c>
      <c r="U284" s="51">
        <v>33696.69006766412</v>
      </c>
      <c r="V284" s="51">
        <v>-263978.9847506819</v>
      </c>
    </row>
    <row r="285">
      <c r="A285" s="55">
        <v>45193.95996309028</v>
      </c>
      <c r="B285" s="56">
        <v>0.6333514993381327</v>
      </c>
      <c r="C285" s="57">
        <v>6.020088435212401E-4</v>
      </c>
      <c r="D285" s="58">
        <v>-0.885882612731868</v>
      </c>
      <c r="E285" s="50">
        <v>19.48</v>
      </c>
      <c r="F285" s="57">
        <v>5.137157744324883E-4</v>
      </c>
      <c r="G285" s="58">
        <v>-0.6664272238017875</v>
      </c>
      <c r="H285" s="51">
        <v>-54755.0</v>
      </c>
      <c r="I285" s="57">
        <v>-9.703568761252997E-4</v>
      </c>
      <c r="J285" s="57">
        <v>-1.611864819874633</v>
      </c>
      <c r="K285" s="51">
        <v>88724.97026354773</v>
      </c>
      <c r="L285" s="57">
        <v>0.0015723657196465397</v>
      </c>
      <c r="M285" s="57">
        <v>2.611864819874633</v>
      </c>
      <c r="N285" s="59">
        <v>8.829306908875179E-5</v>
      </c>
      <c r="O285" s="57">
        <v>-0.21945538893008043</v>
      </c>
      <c r="P285" s="51">
        <v>58.39805101008836</v>
      </c>
      <c r="Q285" s="35">
        <v>1743.8383092170293</v>
      </c>
      <c r="R285" s="13">
        <v>5363.531182865308</v>
      </c>
      <c r="S285" s="57">
        <v>-0.6555211067277508</v>
      </c>
      <c r="T285" s="53">
        <v>280235.69559610984</v>
      </c>
      <c r="U285" s="51">
        <v>33969.97026354773</v>
      </c>
      <c r="V285" s="51">
        <v>-263705.7045547983</v>
      </c>
    </row>
    <row r="286">
      <c r="A286" s="55">
        <v>45192.95997092593</v>
      </c>
      <c r="B286" s="56">
        <v>0.6300103502565899</v>
      </c>
      <c r="C286" s="57">
        <v>0.0015022544723128917</v>
      </c>
      <c r="D286" s="58">
        <v>-0.8864846215753892</v>
      </c>
      <c r="E286" s="50">
        <v>19.45</v>
      </c>
      <c r="F286" s="57">
        <v>0.001541147323297798</v>
      </c>
      <c r="G286" s="58">
        <v>-0.66694093957622</v>
      </c>
      <c r="H286" s="51">
        <v>-54755.0</v>
      </c>
      <c r="I286" s="57">
        <v>-0.0024342727685420363</v>
      </c>
      <c r="J286" s="57">
        <v>-1.620413061439715</v>
      </c>
      <c r="K286" s="51">
        <v>88545.76687480594</v>
      </c>
      <c r="L286" s="57">
        <v>0.0039365272408549284</v>
      </c>
      <c r="M286" s="57">
        <v>2.620413061439715</v>
      </c>
      <c r="N286" s="59">
        <v>-3.8892850984906246E-5</v>
      </c>
      <c r="O286" s="57">
        <v>-0.21954368199916918</v>
      </c>
      <c r="P286" s="51">
        <v>58.39805101008836</v>
      </c>
      <c r="Q286" s="35">
        <v>1737.3144922779402</v>
      </c>
      <c r="R286" s="13">
        <v>5363.531182865308</v>
      </c>
      <c r="S286" s="57">
        <v>-0.6568098255425686</v>
      </c>
      <c r="T286" s="53">
        <v>280235.69559610984</v>
      </c>
      <c r="U286" s="51">
        <v>33790.76687480594</v>
      </c>
      <c r="V286" s="51">
        <v>-263884.90794354014</v>
      </c>
    </row>
    <row r="287">
      <c r="A287" s="55">
        <v>45191.960083287035</v>
      </c>
      <c r="B287" s="56">
        <v>0.6216728379352533</v>
      </c>
      <c r="C287" s="57">
        <v>0.006114771194748236</v>
      </c>
      <c r="D287" s="58">
        <v>-0.8879868760477021</v>
      </c>
      <c r="E287" s="50">
        <v>19.36</v>
      </c>
      <c r="F287" s="57">
        <v>-0.0027398174636403816</v>
      </c>
      <c r="G287" s="58">
        <v>-0.6684820868995178</v>
      </c>
      <c r="H287" s="51">
        <v>-54755.00000000001</v>
      </c>
      <c r="I287" s="57">
        <v>-0.008803802681977573</v>
      </c>
      <c r="J287" s="57">
        <v>-1.642145093211088</v>
      </c>
      <c r="K287" s="51">
        <v>88098.58226101132</v>
      </c>
      <c r="L287" s="57">
        <v>0.01491857387672581</v>
      </c>
      <c r="M287" s="57">
        <v>2.642145093211088</v>
      </c>
      <c r="N287" s="59">
        <v>-7.347724643526066E-4</v>
      </c>
      <c r="O287" s="57">
        <v>-0.21950478914818428</v>
      </c>
      <c r="P287" s="51">
        <v>58.39805101008836</v>
      </c>
      <c r="Q287" s="35">
        <v>1722.2924721596755</v>
      </c>
      <c r="R287" s="13">
        <v>5363.531182865308</v>
      </c>
      <c r="S287" s="57">
        <v>-0.6597772846456874</v>
      </c>
      <c r="T287" s="53">
        <v>280235.69559610984</v>
      </c>
      <c r="U287" s="51">
        <v>33343.58226101132</v>
      </c>
      <c r="V287" s="51">
        <v>-264332.09255733475</v>
      </c>
    </row>
    <row r="288">
      <c r="A288" s="55">
        <v>45190.96007872685</v>
      </c>
      <c r="B288" s="56">
        <v>0.7090605617721979</v>
      </c>
      <c r="C288" s="57">
        <v>0.006114771194748236</v>
      </c>
      <c r="D288" s="58">
        <v>-0.5941986476037098</v>
      </c>
      <c r="E288" s="50">
        <v>19.52</v>
      </c>
      <c r="F288" s="57">
        <v>-0.01489775745854438</v>
      </c>
      <c r="G288" s="58">
        <v>-0.6657422694358774</v>
      </c>
      <c r="H288" s="51">
        <v>-54755.0</v>
      </c>
      <c r="I288" s="57">
        <v>-0.008803802681977573</v>
      </c>
      <c r="J288" s="57">
        <v>-1.43975995202222</v>
      </c>
      <c r="K288" s="51">
        <v>88826.6697177139</v>
      </c>
      <c r="L288" s="57">
        <v>0.01491857387672581</v>
      </c>
      <c r="M288" s="57">
        <v>2.642145093211088</v>
      </c>
      <c r="N288" s="59">
        <v>-7.347724643526066E-4</v>
      </c>
      <c r="O288" s="57">
        <v>-0.21950478914818428</v>
      </c>
      <c r="P288" s="51">
        <v>58.39805101008836</v>
      </c>
      <c r="Q288" s="35">
        <v>1722.2924721596755</v>
      </c>
      <c r="R288" s="13">
        <v>5363.531182865308</v>
      </c>
      <c r="S288" s="57">
        <v>-0.6597772846456874</v>
      </c>
      <c r="T288" s="53">
        <v>280235.69559610984</v>
      </c>
      <c r="U288" s="51">
        <v>33343.58226101132</v>
      </c>
      <c r="V288" s="51">
        <v>-264332.09255733475</v>
      </c>
    </row>
    <row r="289">
      <c r="A289" s="55">
        <v>45189.96006400463</v>
      </c>
      <c r="B289" s="56">
        <v>0.7090605617721979</v>
      </c>
      <c r="C289" s="57">
        <v>0.006114771194748236</v>
      </c>
      <c r="D289" s="58">
        <v>-0.8722413402212256</v>
      </c>
      <c r="E289" s="50">
        <v>20.39</v>
      </c>
      <c r="F289" s="57">
        <v>0.006849543659100843</v>
      </c>
      <c r="G289" s="58">
        <v>-0.6508445119773331</v>
      </c>
      <c r="H289" s="51">
        <v>-54755.0</v>
      </c>
      <c r="I289" s="57">
        <v>-0.008803802681977573</v>
      </c>
      <c r="J289" s="57">
        <v>-1.43975995202222</v>
      </c>
      <c r="K289" s="51">
        <v>92785.64526353416</v>
      </c>
      <c r="L289" s="57">
        <v>0.01491857387672581</v>
      </c>
      <c r="M289" s="57">
        <v>2.4397599520222197</v>
      </c>
      <c r="N289" s="59">
        <v>-7.347724643526066E-4</v>
      </c>
      <c r="O289" s="57">
        <v>-0.2213968282438925</v>
      </c>
      <c r="P289" s="51">
        <v>58.39805101008836</v>
      </c>
      <c r="Q289" s="35">
        <v>1865.161611747629</v>
      </c>
      <c r="R289" s="13">
        <v>5363.531182865308</v>
      </c>
      <c r="S289" s="57">
        <v>-0.6315548268479149</v>
      </c>
      <c r="T289" s="53">
        <v>280235.69559610984</v>
      </c>
      <c r="U289" s="51">
        <v>38030.645263534156</v>
      </c>
      <c r="V289" s="51">
        <v>-259645.0295548119</v>
      </c>
    </row>
    <row r="290">
      <c r="A290" s="55">
        <v>45188.95996356482</v>
      </c>
      <c r="B290" s="56">
        <v>0.6751235816413454</v>
      </c>
      <c r="C290" s="57">
        <v>0.003205821449523194</v>
      </c>
      <c r="D290" s="58">
        <v>-0.8783561114159738</v>
      </c>
      <c r="E290" s="50">
        <v>19.99</v>
      </c>
      <c r="F290" s="57">
        <v>0.0030822946465953738</v>
      </c>
      <c r="G290" s="58">
        <v>-0.6576940556364339</v>
      </c>
      <c r="H290" s="51">
        <v>-54755.0</v>
      </c>
      <c r="I290" s="57">
        <v>-0.004847630084619667</v>
      </c>
      <c r="J290" s="57">
        <v>-1.5121335236373383</v>
      </c>
      <c r="K290" s="51">
        <v>90965.4266217777</v>
      </c>
      <c r="L290" s="57">
        <v>0.008053451534142862</v>
      </c>
      <c r="M290" s="57">
        <v>2.5121335236373383</v>
      </c>
      <c r="N290" s="59">
        <v>1.2352680292782026E-4</v>
      </c>
      <c r="O290" s="57">
        <v>-0.2206620557795399</v>
      </c>
      <c r="P290" s="51">
        <v>58.39805101008836</v>
      </c>
      <c r="Q290" s="35">
        <v>1811.427044611191</v>
      </c>
      <c r="R290" s="13">
        <v>5363.531182865308</v>
      </c>
      <c r="S290" s="57">
        <v>-0.6421695863240584</v>
      </c>
      <c r="T290" s="53">
        <v>280235.69559610984</v>
      </c>
      <c r="U290" s="51">
        <v>36210.426621777704</v>
      </c>
      <c r="V290" s="51">
        <v>-261465.24819656834</v>
      </c>
    </row>
    <row r="291">
      <c r="A291" s="55">
        <v>45187.959970868054</v>
      </c>
      <c r="B291" s="56">
        <v>0.6573312725964914</v>
      </c>
      <c r="C291" s="57">
        <v>0.015569281493598042</v>
      </c>
      <c r="D291" s="58">
        <v>-0.881561932865497</v>
      </c>
      <c r="E291" s="50">
        <v>19.81</v>
      </c>
      <c r="F291" s="57">
        <v>0.017466336330707266</v>
      </c>
      <c r="G291" s="58">
        <v>-0.6607763502830293</v>
      </c>
      <c r="H291" s="51">
        <v>-54755.0</v>
      </c>
      <c r="I291" s="57">
        <v>-0.024180077918327103</v>
      </c>
      <c r="J291" s="57">
        <v>-1.553063185881105</v>
      </c>
      <c r="K291" s="51">
        <v>90011.13155844374</v>
      </c>
      <c r="L291" s="57">
        <v>0.039749359411925145</v>
      </c>
      <c r="M291" s="57">
        <v>2.553063185881105</v>
      </c>
      <c r="N291" s="59">
        <v>-0.0018970548371092244</v>
      </c>
      <c r="O291" s="57">
        <v>-0.22078558258246772</v>
      </c>
      <c r="P291" s="51">
        <v>58.39805101008836</v>
      </c>
      <c r="Q291" s="35">
        <v>1779.7138595882757</v>
      </c>
      <c r="R291" s="13">
        <v>5363.531182865308</v>
      </c>
      <c r="S291" s="57">
        <v>-0.6484342284190797</v>
      </c>
      <c r="T291" s="53">
        <v>280235.69559610984</v>
      </c>
      <c r="U291" s="51">
        <v>35256.13155844374</v>
      </c>
      <c r="V291" s="51">
        <v>-262419.5432599023</v>
      </c>
    </row>
    <row r="292">
      <c r="A292" s="55">
        <v>45186.95996773148</v>
      </c>
      <c r="B292" s="56">
        <v>0.5709217603070228</v>
      </c>
      <c r="C292" s="57">
        <v>-0.004426560424650505</v>
      </c>
      <c r="D292" s="58">
        <v>-0.897131214359095</v>
      </c>
      <c r="E292" s="50">
        <v>18.79</v>
      </c>
      <c r="F292" s="57">
        <v>-0.004965919152848164</v>
      </c>
      <c r="G292" s="58">
        <v>-0.6782426866137365</v>
      </c>
      <c r="H292" s="51">
        <v>-54755.00000000001</v>
      </c>
      <c r="I292" s="57">
        <v>0.007915224191082676</v>
      </c>
      <c r="J292" s="57">
        <v>-1.7881206697201282</v>
      </c>
      <c r="K292" s="51">
        <v>85376.53518340019</v>
      </c>
      <c r="L292" s="57">
        <v>-0.012341784615733183</v>
      </c>
      <c r="M292" s="57">
        <v>2.7881206697201284</v>
      </c>
      <c r="N292" s="59">
        <v>5.393587281976586E-4</v>
      </c>
      <c r="O292" s="57">
        <v>-0.2188885277453585</v>
      </c>
      <c r="P292" s="51">
        <v>58.39805101008836</v>
      </c>
      <c r="Q292" s="35">
        <v>1629.671909707301</v>
      </c>
      <c r="R292" s="13">
        <v>5363.531182865308</v>
      </c>
      <c r="S292" s="57">
        <v>-0.6780736075783868</v>
      </c>
      <c r="T292" s="53">
        <v>280235.69559610984</v>
      </c>
      <c r="U292" s="51">
        <v>30621.535183400185</v>
      </c>
      <c r="V292" s="51">
        <v>-267054.13963494584</v>
      </c>
    </row>
    <row r="293">
      <c r="A293" s="55">
        <v>45185.95996341435</v>
      </c>
      <c r="B293" s="56">
        <v>0.5954891706638327</v>
      </c>
      <c r="C293" s="57">
        <v>0.005108781210724889</v>
      </c>
      <c r="D293" s="58">
        <v>-0.8927046539344445</v>
      </c>
      <c r="E293" s="50">
        <v>19.08</v>
      </c>
      <c r="F293" s="57">
        <v>0.005308396335803156</v>
      </c>
      <c r="G293" s="58">
        <v>-0.6732767674608884</v>
      </c>
      <c r="H293" s="51">
        <v>-54755.0</v>
      </c>
      <c r="I293" s="57">
        <v>-0.00875824027543678</v>
      </c>
      <c r="J293" s="57">
        <v>-1.714350236226708</v>
      </c>
      <c r="K293" s="51">
        <v>86694.21454493218</v>
      </c>
      <c r="L293" s="57">
        <v>0.013867021486161668</v>
      </c>
      <c r="M293" s="57">
        <v>2.714350236226708</v>
      </c>
      <c r="N293" s="59">
        <v>-1.996151250782674E-4</v>
      </c>
      <c r="O293" s="57">
        <v>-0.21942788647355616</v>
      </c>
      <c r="P293" s="51">
        <v>58.39805101008836</v>
      </c>
      <c r="Q293" s="35">
        <v>1673.963026463951</v>
      </c>
      <c r="R293" s="13">
        <v>5363.531182865308</v>
      </c>
      <c r="S293" s="57">
        <v>-0.6693243131045354</v>
      </c>
      <c r="T293" s="53">
        <v>280235.69559610984</v>
      </c>
      <c r="U293" s="51">
        <v>31939.214544932183</v>
      </c>
      <c r="V293" s="51">
        <v>-265736.46027341386</v>
      </c>
    </row>
    <row r="294">
      <c r="A294" s="55">
        <v>45184.959965092596</v>
      </c>
      <c r="B294" s="56">
        <v>0.5671354349443094</v>
      </c>
      <c r="C294" s="57">
        <v>-0.001219513550253959</v>
      </c>
      <c r="D294" s="58">
        <v>-0.8978134351451694</v>
      </c>
      <c r="E294" s="50">
        <v>18.77</v>
      </c>
      <c r="F294" s="57">
        <v>-0.0013699087318201908</v>
      </c>
      <c r="G294" s="58">
        <v>-0.6785851637966915</v>
      </c>
      <c r="H294" s="51">
        <v>-54755.0</v>
      </c>
      <c r="I294" s="57">
        <v>0.0021951958181738625</v>
      </c>
      <c r="J294" s="57">
        <v>-1.8000585706626395</v>
      </c>
      <c r="K294" s="51">
        <v>85173.45465053036</v>
      </c>
      <c r="L294" s="57">
        <v>-0.0034147093684278214</v>
      </c>
      <c r="M294" s="57">
        <v>2.8000585706626397</v>
      </c>
      <c r="N294" s="59">
        <v>1.5039518156623188E-4</v>
      </c>
      <c r="O294" s="57">
        <v>-0.2192282713484779</v>
      </c>
      <c r="P294" s="51">
        <v>58.39805101008836</v>
      </c>
      <c r="Q294" s="35">
        <v>1620.5889531449313</v>
      </c>
      <c r="R294" s="13">
        <v>5363.531182865308</v>
      </c>
      <c r="S294" s="57">
        <v>-0.6798678604100326</v>
      </c>
      <c r="T294" s="53">
        <v>280235.69559610984</v>
      </c>
      <c r="U294" s="51">
        <v>30418.45465053036</v>
      </c>
      <c r="V294" s="51">
        <v>-267257.2201678157</v>
      </c>
    </row>
    <row r="295">
      <c r="A295" s="55">
        <v>45183.959968668976</v>
      </c>
      <c r="B295" s="56">
        <v>0.5739037351482195</v>
      </c>
      <c r="C295" s="57">
        <v>0.00701220291396043</v>
      </c>
      <c r="D295" s="58">
        <v>-0.8965939215949155</v>
      </c>
      <c r="E295" s="50">
        <v>18.85</v>
      </c>
      <c r="F295" s="57">
        <v>0.007876975207966042</v>
      </c>
      <c r="G295" s="58">
        <v>-0.6772152550648713</v>
      </c>
      <c r="H295" s="51">
        <v>-54755.0</v>
      </c>
      <c r="I295" s="57">
        <v>-0.012473514700400298</v>
      </c>
      <c r="J295" s="57">
        <v>-1.7788296849720464</v>
      </c>
      <c r="K295" s="51">
        <v>85536.47416955236</v>
      </c>
      <c r="L295" s="57">
        <v>0.019485717614360725</v>
      </c>
      <c r="M295" s="57">
        <v>2.778829684972046</v>
      </c>
      <c r="N295" s="59">
        <v>-8.647722940056113E-4</v>
      </c>
      <c r="O295" s="57">
        <v>-0.21937866653004412</v>
      </c>
      <c r="P295" s="51">
        <v>58.39805101008836</v>
      </c>
      <c r="Q295" s="35">
        <v>1632.969451965642</v>
      </c>
      <c r="R295" s="13">
        <v>5363.531182865308</v>
      </c>
      <c r="S295" s="57">
        <v>-0.6774222090503994</v>
      </c>
      <c r="T295" s="53">
        <v>280235.69559610984</v>
      </c>
      <c r="U295" s="51">
        <v>30781.474169552355</v>
      </c>
      <c r="V295" s="51">
        <v>-266894.2006487937</v>
      </c>
    </row>
    <row r="296">
      <c r="A296" s="55">
        <v>45182.95997416667</v>
      </c>
      <c r="B296" s="56">
        <v>0.5349860089757388</v>
      </c>
      <c r="C296" s="57">
        <v>0.006250006945051623</v>
      </c>
      <c r="D296" s="58">
        <v>-0.9036061245088759</v>
      </c>
      <c r="E296" s="50">
        <v>18.39</v>
      </c>
      <c r="F296" s="57">
        <v>0.00702078225057845</v>
      </c>
      <c r="G296" s="58">
        <v>-0.6850922302728374</v>
      </c>
      <c r="H296" s="51">
        <v>-54755.0</v>
      </c>
      <c r="I296" s="57">
        <v>-0.011926458328782657</v>
      </c>
      <c r="J296" s="57">
        <v>-1.9082312121629408</v>
      </c>
      <c r="K296" s="51">
        <v>83449.111935176</v>
      </c>
      <c r="L296" s="57">
        <v>0.018176465273834277</v>
      </c>
      <c r="M296" s="57">
        <v>2.908231212162941</v>
      </c>
      <c r="N296" s="59">
        <v>-7.707753055268274E-4</v>
      </c>
      <c r="O296" s="57">
        <v>-0.2185138942360385</v>
      </c>
      <c r="P296" s="51">
        <v>58.39805101008836</v>
      </c>
      <c r="Q296" s="35">
        <v>1560.3106000639477</v>
      </c>
      <c r="R296" s="13">
        <v>5363.531182865308</v>
      </c>
      <c r="S296" s="57">
        <v>-0.6917752833906265</v>
      </c>
      <c r="T296" s="53">
        <v>280235.69559610984</v>
      </c>
      <c r="U296" s="51">
        <v>28694.111935176</v>
      </c>
      <c r="V296" s="51">
        <v>-268981.56288317003</v>
      </c>
    </row>
    <row r="297">
      <c r="A297" s="55">
        <v>45181.95997418981</v>
      </c>
      <c r="B297" s="56">
        <v>0.5002984704307021</v>
      </c>
      <c r="C297" s="57">
        <v>0.007132758360553271</v>
      </c>
      <c r="D297" s="58">
        <v>-0.9098561314539275</v>
      </c>
      <c r="E297" s="50">
        <v>17.98</v>
      </c>
      <c r="F297" s="57">
        <v>0.00787697520796593</v>
      </c>
      <c r="G297" s="58">
        <v>-0.6921130125234158</v>
      </c>
      <c r="H297" s="51">
        <v>-54754.99999999999</v>
      </c>
      <c r="I297" s="57">
        <v>-0.01455464965426853</v>
      </c>
      <c r="J297" s="57">
        <v>-2.040535921525254</v>
      </c>
      <c r="K297" s="51">
        <v>81588.63690018839</v>
      </c>
      <c r="L297" s="57">
        <v>0.0216874080148218</v>
      </c>
      <c r="M297" s="57">
        <v>3.040535921525254</v>
      </c>
      <c r="N297" s="59">
        <v>-7.442168474126598E-4</v>
      </c>
      <c r="O297" s="57">
        <v>-0.21774311893051168</v>
      </c>
      <c r="P297" s="51">
        <v>58.39805101008836</v>
      </c>
      <c r="Q297" s="35">
        <v>1492.4158453942377</v>
      </c>
      <c r="R297" s="13">
        <v>5363.531182865308</v>
      </c>
      <c r="S297" s="57">
        <v>-0.7051872550304249</v>
      </c>
      <c r="T297" s="53">
        <v>280235.69559610984</v>
      </c>
      <c r="U297" s="51">
        <v>26833.636900188394</v>
      </c>
      <c r="V297" s="51">
        <v>-270842.03791815764</v>
      </c>
    </row>
    <row r="298">
      <c r="A298" s="55">
        <v>45180.95998534722</v>
      </c>
      <c r="B298" s="56">
        <v>0.46071166152963144</v>
      </c>
      <c r="C298" s="57">
        <v>-0.014018075290771037</v>
      </c>
      <c r="D298" s="58">
        <v>-0.9169888898144808</v>
      </c>
      <c r="E298" s="50">
        <v>17.52</v>
      </c>
      <c r="F298" s="57">
        <v>-0.015753950415931972</v>
      </c>
      <c r="G298" s="58">
        <v>-0.6999899877313818</v>
      </c>
      <c r="H298" s="51">
        <v>-54755.0</v>
      </c>
      <c r="I298" s="57">
        <v>0.03106222795985179</v>
      </c>
      <c r="J298" s="57">
        <v>-2.2158696765098678</v>
      </c>
      <c r="K298" s="51">
        <v>79465.3882418945</v>
      </c>
      <c r="L298" s="57">
        <v>-0.04508030325062282</v>
      </c>
      <c r="M298" s="57">
        <v>3.2158696765098678</v>
      </c>
      <c r="N298" s="59">
        <v>0.001735875125160935</v>
      </c>
      <c r="O298" s="57">
        <v>-0.21699890208309902</v>
      </c>
      <c r="P298" s="51">
        <v>58.39805101008836</v>
      </c>
      <c r="Q298" s="35">
        <v>1410.4102877793664</v>
      </c>
      <c r="R298" s="13">
        <v>5363.531182865308</v>
      </c>
      <c r="S298" s="57">
        <v>-0.7213866833719367</v>
      </c>
      <c r="T298" s="53">
        <v>280235.69559610984</v>
      </c>
      <c r="U298" s="51">
        <v>24710.3882418945</v>
      </c>
      <c r="V298" s="51">
        <v>-272965.28657645156</v>
      </c>
    </row>
    <row r="299">
      <c r="A299" s="55">
        <v>45179.96007863426</v>
      </c>
      <c r="B299" s="56">
        <v>0.5385119793934107</v>
      </c>
      <c r="C299" s="57">
        <v>-0.015541779126724276</v>
      </c>
      <c r="D299" s="58">
        <v>-0.9029708145237098</v>
      </c>
      <c r="E299" s="50">
        <v>18.44</v>
      </c>
      <c r="F299" s="57">
        <v>-0.017466336330707266</v>
      </c>
      <c r="G299" s="58">
        <v>-0.6842360373154498</v>
      </c>
      <c r="H299" s="51">
        <v>-54755.0</v>
      </c>
      <c r="I299" s="57">
        <v>0.0294631233154931</v>
      </c>
      <c r="J299" s="57">
        <v>-1.8957368442349634</v>
      </c>
      <c r="K299" s="51">
        <v>83638.22826372915</v>
      </c>
      <c r="L299" s="57">
        <v>-0.04500490244221738</v>
      </c>
      <c r="M299" s="57">
        <v>2.8957368442349636</v>
      </c>
      <c r="N299" s="59">
        <v>0.0019245572039829906</v>
      </c>
      <c r="O299" s="57">
        <v>-0.21873477720825996</v>
      </c>
      <c r="P299" s="51">
        <v>58.39805101008836</v>
      </c>
      <c r="Q299" s="35">
        <v>1566.3355891393248</v>
      </c>
      <c r="R299" s="13">
        <v>5363.531182865308</v>
      </c>
      <c r="S299" s="57">
        <v>-0.6905851033391314</v>
      </c>
      <c r="T299" s="53">
        <v>280235.69559610984</v>
      </c>
      <c r="U299" s="51">
        <v>28883.22826372915</v>
      </c>
      <c r="V299" s="51">
        <v>-268792.4465546169</v>
      </c>
    </row>
    <row r="300">
      <c r="A300" s="55">
        <v>45178.960168958336</v>
      </c>
      <c r="B300" s="56">
        <v>0.6247688535467305</v>
      </c>
      <c r="C300" s="57">
        <v>-1.8112908113776527E-4</v>
      </c>
      <c r="D300" s="58">
        <v>-0.8874290353969855</v>
      </c>
      <c r="E300" s="50">
        <v>19.46</v>
      </c>
      <c r="F300" s="57">
        <v>-0.0010274315488650876</v>
      </c>
      <c r="G300" s="58">
        <v>-0.6667697009847425</v>
      </c>
      <c r="H300" s="51">
        <v>-54755.0</v>
      </c>
      <c r="I300" s="57">
        <v>2.9596627934803883E-4</v>
      </c>
      <c r="J300" s="57">
        <v>-1.6340075127026639</v>
      </c>
      <c r="K300" s="51">
        <v>88264.63785315449</v>
      </c>
      <c r="L300" s="57">
        <v>-4.770953604858041E-4</v>
      </c>
      <c r="M300" s="57">
        <v>2.634007512702664</v>
      </c>
      <c r="N300" s="59">
        <v>8.463024677273223E-4</v>
      </c>
      <c r="O300" s="57">
        <v>-0.22065933441224295</v>
      </c>
      <c r="P300" s="51">
        <v>58.39805101008836</v>
      </c>
      <c r="Q300" s="35">
        <v>1721.9752236975585</v>
      </c>
      <c r="R300" s="13">
        <v>5363.531182865308</v>
      </c>
      <c r="S300" s="57">
        <v>-0.6598399541022218</v>
      </c>
      <c r="T300" s="53">
        <v>280235.69559610984</v>
      </c>
      <c r="U300" s="51">
        <v>33509.63785315449</v>
      </c>
      <c r="V300" s="51">
        <v>-264166.03696519154</v>
      </c>
    </row>
    <row r="301">
      <c r="A301" s="55">
        <v>45177.95997236111</v>
      </c>
      <c r="B301" s="56">
        <v>0.625774119947045</v>
      </c>
      <c r="C301" s="57">
        <v>-0.00455984470631654</v>
      </c>
      <c r="D301" s="58">
        <v>-0.8872479063158477</v>
      </c>
      <c r="E301" s="50">
        <v>19.52</v>
      </c>
      <c r="F301" s="57">
        <v>-0.00513715774432566</v>
      </c>
      <c r="G301" s="58">
        <v>-0.6657422694358774</v>
      </c>
      <c r="H301" s="51">
        <v>-54755.0</v>
      </c>
      <c r="I301" s="57">
        <v>0.007438851236703427</v>
      </c>
      <c r="J301" s="57">
        <v>-1.6313825833583175</v>
      </c>
      <c r="K301" s="51">
        <v>88318.5555746114</v>
      </c>
      <c r="L301" s="57">
        <v>-0.011998695943019966</v>
      </c>
      <c r="M301" s="57">
        <v>2.6313825833583175</v>
      </c>
      <c r="N301" s="59">
        <v>5.773130380091196E-4</v>
      </c>
      <c r="O301" s="57">
        <v>-0.22150563687997027</v>
      </c>
      <c r="P301" s="51">
        <v>58.39805101008836</v>
      </c>
      <c r="Q301" s="35">
        <v>1719.444445420666</v>
      </c>
      <c r="R301" s="13">
        <v>5363.531182865308</v>
      </c>
      <c r="S301" s="57">
        <v>-0.6603398856012223</v>
      </c>
      <c r="T301" s="53">
        <v>280235.69559610984</v>
      </c>
      <c r="U301" s="51">
        <v>33563.5555746114</v>
      </c>
      <c r="V301" s="51">
        <v>-264112.11924373463</v>
      </c>
    </row>
    <row r="302">
      <c r="A302" s="55">
        <v>45176.95997052084</v>
      </c>
      <c r="B302" s="56">
        <v>0.6510812580671019</v>
      </c>
      <c r="C302" s="57">
        <v>0.0030398964708777676</v>
      </c>
      <c r="D302" s="58">
        <v>-0.8826880616095312</v>
      </c>
      <c r="E302" s="50">
        <v>19.82</v>
      </c>
      <c r="F302" s="57">
        <v>0.003424771829550477</v>
      </c>
      <c r="G302" s="58">
        <v>-0.6606051116915518</v>
      </c>
      <c r="H302" s="51">
        <v>-54755.0</v>
      </c>
      <c r="I302" s="57">
        <v>-0.004766471699589739</v>
      </c>
      <c r="J302" s="57">
        <v>-1.5679717205018577</v>
      </c>
      <c r="K302" s="51">
        <v>89675.91042463105</v>
      </c>
      <c r="L302" s="57">
        <v>0.007806368170467507</v>
      </c>
      <c r="M302" s="57">
        <v>2.5679717205018577</v>
      </c>
      <c r="N302" s="59">
        <v>-3.848753586727094E-4</v>
      </c>
      <c r="O302" s="57">
        <v>-0.2220829499179794</v>
      </c>
      <c r="P302" s="51">
        <v>58.39805101008836</v>
      </c>
      <c r="Q302" s="35">
        <v>1761.9026450368842</v>
      </c>
      <c r="R302" s="13">
        <v>5363.531182865308</v>
      </c>
      <c r="S302" s="57">
        <v>-0.6519526667078066</v>
      </c>
      <c r="T302" s="53">
        <v>280235.69559610984</v>
      </c>
      <c r="U302" s="51">
        <v>34920.910424631045</v>
      </c>
      <c r="V302" s="51">
        <v>-262754.764393715</v>
      </c>
    </row>
    <row r="303">
      <c r="A303" s="55">
        <v>45175.95996228009</v>
      </c>
      <c r="B303" s="56">
        <v>0.6342098326537305</v>
      </c>
      <c r="C303" s="57">
        <v>-0.008928060868410248</v>
      </c>
      <c r="D303" s="58">
        <v>-0.8857279580804089</v>
      </c>
      <c r="E303" s="50">
        <v>19.62</v>
      </c>
      <c r="F303" s="57">
        <v>-0.011301747037516519</v>
      </c>
      <c r="G303" s="58">
        <v>-0.6640298835211023</v>
      </c>
      <c r="H303" s="51">
        <v>-54755.0</v>
      </c>
      <c r="I303" s="57">
        <v>0.014371350820241335</v>
      </c>
      <c r="J303" s="57">
        <v>-1.6096833379676916</v>
      </c>
      <c r="K303" s="51">
        <v>88771.0071912846</v>
      </c>
      <c r="L303" s="57">
        <v>-0.023299411688651583</v>
      </c>
      <c r="M303" s="57">
        <v>2.6096833379676916</v>
      </c>
      <c r="N303" s="59">
        <v>0.0023736861691062705</v>
      </c>
      <c r="O303" s="57">
        <v>-0.22169807455930668</v>
      </c>
      <c r="P303" s="51">
        <v>58.39805101008836</v>
      </c>
      <c r="Q303" s="35">
        <v>1733.7414470583385</v>
      </c>
      <c r="R303" s="13">
        <v>5363.531182865308</v>
      </c>
      <c r="S303" s="57">
        <v>-0.6575156470951486</v>
      </c>
      <c r="T303" s="53">
        <v>280235.69559610984</v>
      </c>
      <c r="U303" s="51">
        <v>34016.0071912846</v>
      </c>
      <c r="V303" s="51">
        <v>-263659.6676270614</v>
      </c>
    </row>
    <row r="304">
      <c r="A304" s="55">
        <v>45174.959971331016</v>
      </c>
      <c r="B304" s="56">
        <v>0.6837605704734071</v>
      </c>
      <c r="C304" s="57">
        <v>0.014387811115800675</v>
      </c>
      <c r="D304" s="58">
        <v>-0.8767998972119987</v>
      </c>
      <c r="E304" s="50">
        <v>20.28</v>
      </c>
      <c r="F304" s="57">
        <v>0.016267666190364682</v>
      </c>
      <c r="G304" s="58">
        <v>-0.6527281364835857</v>
      </c>
      <c r="H304" s="51">
        <v>-54755.0</v>
      </c>
      <c r="I304" s="57">
        <v>-0.021481474785862452</v>
      </c>
      <c r="J304" s="57">
        <v>-1.4930328604516865</v>
      </c>
      <c r="K304" s="51">
        <v>91428.67373510788</v>
      </c>
      <c r="L304" s="57">
        <v>0.035869285901663134</v>
      </c>
      <c r="M304" s="57">
        <v>2.4930328604516867</v>
      </c>
      <c r="N304" s="59">
        <v>-0.0018798550745640075</v>
      </c>
      <c r="O304" s="57">
        <v>-0.22407176072841295</v>
      </c>
      <c r="P304" s="51">
        <v>58.39805101008836</v>
      </c>
      <c r="Q304" s="35">
        <v>1808.3665549855955</v>
      </c>
      <c r="R304" s="13">
        <v>5363.531182865308</v>
      </c>
      <c r="S304" s="57">
        <v>-0.6427741573290213</v>
      </c>
      <c r="T304" s="53">
        <v>280235.69559610984</v>
      </c>
      <c r="U304" s="51">
        <v>36673.67373510788</v>
      </c>
      <c r="V304" s="51">
        <v>-261002.00108323817</v>
      </c>
    </row>
    <row r="305">
      <c r="A305" s="55">
        <v>45173.959961875</v>
      </c>
      <c r="B305" s="56">
        <v>0.6039082187807133</v>
      </c>
      <c r="C305" s="57">
        <v>-0.002059153612263942</v>
      </c>
      <c r="D305" s="58">
        <v>-0.8911877083277994</v>
      </c>
      <c r="E305" s="50">
        <v>19.33</v>
      </c>
      <c r="F305" s="57">
        <v>-0.0023973402806853894</v>
      </c>
      <c r="G305" s="58">
        <v>-0.6689958026739504</v>
      </c>
      <c r="H305" s="51">
        <v>-54755.0</v>
      </c>
      <c r="I305" s="57">
        <v>0.0034808974239345612</v>
      </c>
      <c r="J305" s="57">
        <v>-1.690450582804009</v>
      </c>
      <c r="K305" s="51">
        <v>87145.77235205301</v>
      </c>
      <c r="L305" s="57">
        <v>-0.005540051036198504</v>
      </c>
      <c r="M305" s="57">
        <v>2.6904505828040093</v>
      </c>
      <c r="N305" s="59">
        <v>3.381866684214474E-4</v>
      </c>
      <c r="O305" s="57">
        <v>-0.22219190565384894</v>
      </c>
      <c r="P305" s="51">
        <v>58.39805101008836</v>
      </c>
      <c r="Q305" s="35">
        <v>1675.67368608655</v>
      </c>
      <c r="R305" s="13">
        <v>5363.531182865308</v>
      </c>
      <c r="S305" s="57">
        <v>-0.6689863883494456</v>
      </c>
      <c r="T305" s="53">
        <v>280235.69559610984</v>
      </c>
      <c r="U305" s="51">
        <v>32390.772352053013</v>
      </c>
      <c r="V305" s="51">
        <v>-265284.902466293</v>
      </c>
    </row>
    <row r="306">
      <c r="A306" s="55">
        <v>45172.95996246528</v>
      </c>
      <c r="B306" s="56">
        <v>0.6153365213287781</v>
      </c>
      <c r="C306" s="57">
        <v>0.001310646713476471</v>
      </c>
      <c r="D306" s="58">
        <v>-0.8891285547155354</v>
      </c>
      <c r="E306" s="50">
        <v>19.47</v>
      </c>
      <c r="F306" s="57">
        <v>3.424771829549922E-4</v>
      </c>
      <c r="G306" s="58">
        <v>-0.666598462393265</v>
      </c>
      <c r="H306" s="51">
        <v>-54755.0</v>
      </c>
      <c r="I306" s="57">
        <v>-0.0021744347020813902</v>
      </c>
      <c r="J306" s="57">
        <v>-1.6590547854911524</v>
      </c>
      <c r="K306" s="51">
        <v>87758.73229313831</v>
      </c>
      <c r="L306" s="57">
        <v>0.0034850814155578612</v>
      </c>
      <c r="M306" s="57">
        <v>2.6590547854911524</v>
      </c>
      <c r="N306" s="59">
        <v>9.681695305214788E-4</v>
      </c>
      <c r="O306" s="57">
        <v>-0.2225300923222704</v>
      </c>
      <c r="P306" s="51">
        <v>58.39805101008836</v>
      </c>
      <c r="Q306" s="35">
        <v>1695.1069488001187</v>
      </c>
      <c r="R306" s="13">
        <v>5363.531182865308</v>
      </c>
      <c r="S306" s="57">
        <v>-0.6651475296680782</v>
      </c>
      <c r="T306" s="53">
        <v>280235.69559610984</v>
      </c>
      <c r="U306" s="51">
        <v>33003.73229313831</v>
      </c>
      <c r="V306" s="51">
        <v>-264671.94252520776</v>
      </c>
    </row>
    <row r="307">
      <c r="A307" s="55">
        <v>45171.9599591088</v>
      </c>
      <c r="B307" s="56">
        <v>0.6080624320689842</v>
      </c>
      <c r="C307" s="57">
        <v>0.003912059285019032</v>
      </c>
      <c r="D307" s="58">
        <v>-0.8904392014290119</v>
      </c>
      <c r="E307" s="50">
        <v>19.45</v>
      </c>
      <c r="F307" s="57">
        <v>0.003596010421027973</v>
      </c>
      <c r="G307" s="58">
        <v>-0.66694093957622</v>
      </c>
      <c r="H307" s="51">
        <v>-55055.0</v>
      </c>
      <c r="I307" s="57">
        <v>-0.006603948209300615</v>
      </c>
      <c r="J307" s="57">
        <v>-1.6881002377929166</v>
      </c>
      <c r="K307" s="51">
        <v>87668.58464825578</v>
      </c>
      <c r="L307" s="57">
        <v>0.010516007494319645</v>
      </c>
      <c r="M307" s="57">
        <v>2.6881002377929164</v>
      </c>
      <c r="N307" s="59">
        <v>3.160488639910586E-4</v>
      </c>
      <c r="O307" s="57">
        <v>-0.22349826185279187</v>
      </c>
      <c r="P307" s="51">
        <v>58.39805101008836</v>
      </c>
      <c r="Q307" s="35">
        <v>1676.7909844861585</v>
      </c>
      <c r="R307" s="13">
        <v>5363.531182865308</v>
      </c>
      <c r="S307" s="57">
        <v>-0.6687656765356738</v>
      </c>
      <c r="T307" s="53">
        <v>280235.69559610984</v>
      </c>
      <c r="U307" s="51">
        <v>32613.584648255783</v>
      </c>
      <c r="V307" s="51">
        <v>-265062.09017009026</v>
      </c>
    </row>
    <row r="308">
      <c r="A308" s="55">
        <v>45170.959971828706</v>
      </c>
      <c r="B308" s="56">
        <v>0.5863505030371287</v>
      </c>
      <c r="C308" s="57">
        <v>-0.00589050708256289</v>
      </c>
      <c r="D308" s="58">
        <v>-0.8943512607140309</v>
      </c>
      <c r="E308" s="50">
        <v>19.24</v>
      </c>
      <c r="F308" s="57">
        <v>-0.006678305067623347</v>
      </c>
      <c r="G308" s="58">
        <v>-0.670536949997248</v>
      </c>
      <c r="H308" s="51">
        <v>-55054.99999999999</v>
      </c>
      <c r="I308" s="57">
        <v>0.01031197339121056</v>
      </c>
      <c r="J308" s="57">
        <v>-1.7506087755562028</v>
      </c>
      <c r="K308" s="51">
        <v>86504.05976065836</v>
      </c>
      <c r="L308" s="57">
        <v>-0.01620248047377345</v>
      </c>
      <c r="M308" s="57">
        <v>2.7506087755562025</v>
      </c>
      <c r="N308" s="59">
        <v>7.877979850604566E-4</v>
      </c>
      <c r="O308" s="57">
        <v>-0.22381431071678293</v>
      </c>
      <c r="P308" s="51">
        <v>58.39805101008836</v>
      </c>
      <c r="Q308" s="35">
        <v>1634.5665156267344</v>
      </c>
      <c r="R308" s="13">
        <v>5363.531182865308</v>
      </c>
      <c r="S308" s="57">
        <v>-0.677106724111486</v>
      </c>
      <c r="T308" s="53">
        <v>280235.69559610984</v>
      </c>
      <c r="U308" s="51">
        <v>31449.05976065837</v>
      </c>
      <c r="V308" s="51">
        <v>-266226.6150576877</v>
      </c>
    </row>
    <row r="309">
      <c r="A309" s="55">
        <v>45169.95995615741</v>
      </c>
      <c r="B309" s="56">
        <v>0.6190428173453525</v>
      </c>
      <c r="C309" s="57">
        <v>-0.019521615314599616</v>
      </c>
      <c r="D309" s="58">
        <v>-0.888460753631468</v>
      </c>
      <c r="E309" s="50">
        <v>19.63</v>
      </c>
      <c r="F309" s="57">
        <v>-0.01969243801991505</v>
      </c>
      <c r="G309" s="58">
        <v>-0.6638586449296247</v>
      </c>
      <c r="H309" s="51">
        <v>-55055.0</v>
      </c>
      <c r="I309" s="57">
        <v>0.03236990798223246</v>
      </c>
      <c r="J309" s="57">
        <v>-1.6581572508512652</v>
      </c>
      <c r="K309" s="51">
        <v>88257.52043148251</v>
      </c>
      <c r="L309" s="57">
        <v>-0.051891523296832075</v>
      </c>
      <c r="M309" s="57">
        <v>2.658157250851265</v>
      </c>
      <c r="N309" s="59">
        <v>1.708227053154321E-4</v>
      </c>
      <c r="O309" s="57">
        <v>-0.22460210870184338</v>
      </c>
      <c r="P309" s="51">
        <v>58.39805101008836</v>
      </c>
      <c r="Q309" s="35">
        <v>1691.4172405238162</v>
      </c>
      <c r="R309" s="13">
        <v>5363.531182865308</v>
      </c>
      <c r="S309" s="57">
        <v>-0.6658763969127075</v>
      </c>
      <c r="T309" s="53">
        <v>280235.69559610984</v>
      </c>
      <c r="U309" s="51">
        <v>33202.52043148251</v>
      </c>
      <c r="V309" s="51">
        <v>-264473.1543868635</v>
      </c>
    </row>
    <row r="310">
      <c r="A310" s="55">
        <v>45168.95997113426</v>
      </c>
      <c r="B310" s="56">
        <v>0.7273877823413804</v>
      </c>
      <c r="C310" s="57">
        <v>-0.015382183166338659</v>
      </c>
      <c r="D310" s="58">
        <v>-0.8689391383168684</v>
      </c>
      <c r="E310" s="50">
        <v>20.78</v>
      </c>
      <c r="F310" s="57">
        <v>-0.017466336330707155</v>
      </c>
      <c r="G310" s="58">
        <v>-0.6441662069097096</v>
      </c>
      <c r="H310" s="51">
        <v>-54270.270000000004</v>
      </c>
      <c r="I310" s="57">
        <v>0.021397527585370266</v>
      </c>
      <c r="J310" s="57">
        <v>-1.3910592114255396</v>
      </c>
      <c r="K310" s="51">
        <v>93283.90044380011</v>
      </c>
      <c r="L310" s="57">
        <v>-0.036779710751708924</v>
      </c>
      <c r="M310" s="57">
        <v>2.3910592114255396</v>
      </c>
      <c r="N310" s="59">
        <v>0.0020841531643684963</v>
      </c>
      <c r="O310" s="57">
        <v>-0.22477293140715882</v>
      </c>
      <c r="P310" s="51">
        <v>58.39805101008836</v>
      </c>
      <c r="Q310" s="35">
        <v>1877.4605603368675</v>
      </c>
      <c r="R310" s="13">
        <v>5363.531182865308</v>
      </c>
      <c r="S310" s="57">
        <v>-0.6291252849712168</v>
      </c>
      <c r="T310" s="53">
        <v>280235.69559610984</v>
      </c>
      <c r="U310" s="51">
        <v>39013.63044380011</v>
      </c>
      <c r="V310" s="51">
        <v>-258662.04437454592</v>
      </c>
    </row>
    <row r="311">
      <c r="A311" s="55">
        <v>45167.95996753473</v>
      </c>
      <c r="B311" s="56">
        <v>0.8127588989145598</v>
      </c>
      <c r="C311" s="57">
        <v>0.02142123065313717</v>
      </c>
      <c r="D311" s="58">
        <v>-0.8535569551505298</v>
      </c>
      <c r="E311" s="50">
        <v>21.8</v>
      </c>
      <c r="F311" s="57">
        <v>0.02431587998980811</v>
      </c>
      <c r="G311" s="58">
        <v>-0.6266998705790024</v>
      </c>
      <c r="H311" s="51">
        <v>-54270.270000000004</v>
      </c>
      <c r="I311" s="57">
        <v>-0.026668236797926834</v>
      </c>
      <c r="J311" s="57">
        <v>-1.2449441971729684</v>
      </c>
      <c r="K311" s="51">
        <v>97862.80219801937</v>
      </c>
      <c r="L311" s="57">
        <v>0.048089467451064</v>
      </c>
      <c r="M311" s="57">
        <v>2.2449441971729684</v>
      </c>
      <c r="N311" s="59">
        <v>-0.0028946493366709403</v>
      </c>
      <c r="O311" s="57">
        <v>-0.2268570845715273</v>
      </c>
      <c r="P311" s="51">
        <v>58.39805101008836</v>
      </c>
      <c r="Q311" s="35">
        <v>1999.6574402761178</v>
      </c>
      <c r="R311" s="13">
        <v>5363.531182865308</v>
      </c>
      <c r="S311" s="57">
        <v>-0.6049864380722202</v>
      </c>
      <c r="T311" s="53">
        <v>280235.69559610984</v>
      </c>
      <c r="U311" s="51">
        <v>43592.53219801937</v>
      </c>
      <c r="V311" s="51">
        <v>-254083.14262032666</v>
      </c>
    </row>
    <row r="312">
      <c r="A312" s="55">
        <v>45166.959966435184</v>
      </c>
      <c r="B312" s="56">
        <v>0.6938710687896483</v>
      </c>
      <c r="C312" s="57">
        <v>-0.005579687745155493</v>
      </c>
      <c r="D312" s="58">
        <v>-0.8749781858036669</v>
      </c>
      <c r="E312" s="50">
        <v>20.38</v>
      </c>
      <c r="F312" s="57">
        <v>-0.006335827884668355</v>
      </c>
      <c r="G312" s="58">
        <v>-0.6510157505688106</v>
      </c>
      <c r="H312" s="51">
        <v>-54270.270000000004</v>
      </c>
      <c r="I312" s="57">
        <v>0.008136595647425736</v>
      </c>
      <c r="J312" s="57">
        <v>-1.4582528662988807</v>
      </c>
      <c r="K312" s="51">
        <v>91486.22290790731</v>
      </c>
      <c r="L312" s="57">
        <v>-0.01371628339258123</v>
      </c>
      <c r="M312" s="57">
        <v>2.458252866298881</v>
      </c>
      <c r="N312" s="59">
        <v>7.56140139512862E-4</v>
      </c>
      <c r="O312" s="57">
        <v>-0.22396243523485637</v>
      </c>
      <c r="P312" s="51">
        <v>58.39805101008836</v>
      </c>
      <c r="Q312" s="35">
        <v>1826.101712851193</v>
      </c>
      <c r="R312" s="13">
        <v>5363.531182865308</v>
      </c>
      <c r="S312" s="57">
        <v>-0.6392707433248338</v>
      </c>
      <c r="T312" s="53">
        <v>280235.69559610984</v>
      </c>
      <c r="U312" s="51">
        <v>37215.95290790731</v>
      </c>
      <c r="V312" s="51">
        <v>-260459.72191043873</v>
      </c>
    </row>
    <row r="313">
      <c r="A313" s="55">
        <v>45165.95996152778</v>
      </c>
      <c r="B313" s="56">
        <v>0.7248383357752612</v>
      </c>
      <c r="C313" s="57">
        <v>0.006333699602608989</v>
      </c>
      <c r="D313" s="58">
        <v>-0.8693984980585114</v>
      </c>
      <c r="E313" s="50">
        <v>20.75</v>
      </c>
      <c r="F313" s="57">
        <v>0.007192020842055946</v>
      </c>
      <c r="G313" s="58">
        <v>-0.6446799226841422</v>
      </c>
      <c r="H313" s="51">
        <v>-54270.270000000004</v>
      </c>
      <c r="I313" s="57">
        <v>-0.008841540194271608</v>
      </c>
      <c r="J313" s="57">
        <v>-1.3959519315740179</v>
      </c>
      <c r="K313" s="51">
        <v>93147.16022272213</v>
      </c>
      <c r="L313" s="57">
        <v>0.015175239796880598</v>
      </c>
      <c r="M313" s="57">
        <v>2.395951931574018</v>
      </c>
      <c r="N313" s="59">
        <v>-8.583212394469575E-4</v>
      </c>
      <c r="O313" s="57">
        <v>-0.22471857537436923</v>
      </c>
      <c r="P313" s="51">
        <v>58.39805101008836</v>
      </c>
      <c r="Q313" s="35">
        <v>1873.5850709745603</v>
      </c>
      <c r="R313" s="13">
        <v>5363.531182865308</v>
      </c>
      <c r="S313" s="57">
        <v>-0.6298908515259597</v>
      </c>
      <c r="T313" s="53">
        <v>280235.69559610984</v>
      </c>
      <c r="U313" s="51">
        <v>38876.890222722126</v>
      </c>
      <c r="V313" s="51">
        <v>-258798.7845956239</v>
      </c>
    </row>
    <row r="314">
      <c r="A314" s="55">
        <v>45164.95995587963</v>
      </c>
      <c r="B314" s="56">
        <v>0.6896863029807817</v>
      </c>
      <c r="C314" s="57">
        <v>6.03209485962708E-4</v>
      </c>
      <c r="D314" s="58">
        <v>-0.8757321976611204</v>
      </c>
      <c r="E314" s="50">
        <v>20.33</v>
      </c>
      <c r="F314" s="57">
        <v>6.849543659102064E-4</v>
      </c>
      <c r="G314" s="58">
        <v>-0.6518719435261981</v>
      </c>
      <c r="H314" s="51">
        <v>-54270.270000000004</v>
      </c>
      <c r="I314" s="57">
        <v>-8.849692489120674E-4</v>
      </c>
      <c r="J314" s="57">
        <v>-1.4671010146660368</v>
      </c>
      <c r="K314" s="51">
        <v>91261.77191941882</v>
      </c>
      <c r="L314" s="57">
        <v>0.0014881787348747753</v>
      </c>
      <c r="M314" s="57">
        <v>2.467101014666037</v>
      </c>
      <c r="N314" s="59">
        <v>-8.174487994749846E-5</v>
      </c>
      <c r="O314" s="57">
        <v>-0.22386025413492228</v>
      </c>
      <c r="P314" s="51">
        <v>58.39805101008836</v>
      </c>
      <c r="Q314" s="35">
        <v>1819.5524800501144</v>
      </c>
      <c r="R314" s="13">
        <v>5363.531182865308</v>
      </c>
      <c r="S314" s="57">
        <v>-0.6405644828046775</v>
      </c>
      <c r="T314" s="53">
        <v>280235.69559610984</v>
      </c>
      <c r="U314" s="51">
        <v>36991.50191941882</v>
      </c>
      <c r="V314" s="51">
        <v>-260684.17289892724</v>
      </c>
    </row>
    <row r="315">
      <c r="A315" s="55">
        <v>45163.95996028935</v>
      </c>
      <c r="B315" s="56">
        <v>0.6863384903336888</v>
      </c>
      <c r="C315" s="57">
        <v>-0.009048142289441286</v>
      </c>
      <c r="D315" s="58">
        <v>-0.8763354071470831</v>
      </c>
      <c r="E315" s="50">
        <v>20.29</v>
      </c>
      <c r="F315" s="57">
        <v>-0.010274315488651431</v>
      </c>
      <c r="G315" s="58">
        <v>-0.6525568978921084</v>
      </c>
      <c r="H315" s="51">
        <v>-54270.270000000004</v>
      </c>
      <c r="I315" s="57">
        <v>0.013339289099984974</v>
      </c>
      <c r="J315" s="57">
        <v>-1.4742572202419093</v>
      </c>
      <c r="K315" s="51">
        <v>91082.21112862806</v>
      </c>
      <c r="L315" s="57">
        <v>-0.02238743138942626</v>
      </c>
      <c r="M315" s="57">
        <v>2.4742572202419093</v>
      </c>
      <c r="N315" s="59">
        <v>0.0012261731992101454</v>
      </c>
      <c r="O315" s="57">
        <v>-0.22377850925497478</v>
      </c>
      <c r="P315" s="51">
        <v>58.39805101008836</v>
      </c>
      <c r="Q315" s="35">
        <v>1814.2898535548572</v>
      </c>
      <c r="R315" s="13">
        <v>5363.531182865308</v>
      </c>
      <c r="S315" s="57">
        <v>-0.6416040652827143</v>
      </c>
      <c r="T315" s="53">
        <v>280235.69559610984</v>
      </c>
      <c r="U315" s="51">
        <v>36811.94112862805</v>
      </c>
      <c r="V315" s="51">
        <v>-260863.733689718</v>
      </c>
    </row>
    <row r="316">
      <c r="A316" s="55">
        <v>45162.95998181713</v>
      </c>
      <c r="B316" s="56">
        <v>0.7365556800400878</v>
      </c>
      <c r="C316" s="57">
        <v>-0.006786106717080909</v>
      </c>
      <c r="D316" s="58">
        <v>-0.8672872648576418</v>
      </c>
      <c r="E316" s="50">
        <v>20.89</v>
      </c>
      <c r="F316" s="57">
        <v>-0.0077057366164884344</v>
      </c>
      <c r="G316" s="58">
        <v>-0.6422825824034569</v>
      </c>
      <c r="H316" s="51">
        <v>-54270.270000000004</v>
      </c>
      <c r="I316" s="57">
        <v>0.00932237825778829</v>
      </c>
      <c r="J316" s="57">
        <v>-1.3737447179136577</v>
      </c>
      <c r="K316" s="51">
        <v>93775.6229904899</v>
      </c>
      <c r="L316" s="57">
        <v>-0.0161084849748692</v>
      </c>
      <c r="M316" s="57">
        <v>2.3737447179136577</v>
      </c>
      <c r="N316" s="59">
        <v>9.196298994075258E-4</v>
      </c>
      <c r="O316" s="57">
        <v>-0.22500468245418492</v>
      </c>
      <c r="P316" s="51">
        <v>58.39805101008836</v>
      </c>
      <c r="Q316" s="35">
        <v>1891.1131158683527</v>
      </c>
      <c r="R316" s="13">
        <v>5363.531182865308</v>
      </c>
      <c r="S316" s="57">
        <v>-0.6264283507457405</v>
      </c>
      <c r="T316" s="53">
        <v>280235.69559610984</v>
      </c>
      <c r="U316" s="51">
        <v>39505.35299048989</v>
      </c>
      <c r="V316" s="51">
        <v>-258170.32182785615</v>
      </c>
    </row>
    <row r="317">
      <c r="A317" s="55">
        <v>45161.959973715275</v>
      </c>
      <c r="B317" s="56">
        <v>0.7742185723198869</v>
      </c>
      <c r="C317" s="57">
        <v>0.02065992489422419</v>
      </c>
      <c r="D317" s="58">
        <v>-0.8605011581405609</v>
      </c>
      <c r="E317" s="50">
        <v>21.34</v>
      </c>
      <c r="F317" s="57">
        <v>0.023459687032420407</v>
      </c>
      <c r="G317" s="58">
        <v>-0.6345768457869685</v>
      </c>
      <c r="H317" s="51">
        <v>-54270.270000000004</v>
      </c>
      <c r="I317" s="57">
        <v>-0.02700080869139674</v>
      </c>
      <c r="J317" s="57">
        <v>-1.3069170788198385</v>
      </c>
      <c r="K317" s="51">
        <v>95795.68188688628</v>
      </c>
      <c r="L317" s="57">
        <v>0.04766073358562093</v>
      </c>
      <c r="M317" s="57">
        <v>2.3069170788198385</v>
      </c>
      <c r="N317" s="59">
        <v>-0.0027997621381962157</v>
      </c>
      <c r="O317" s="57">
        <v>-0.22592431235359245</v>
      </c>
      <c r="P317" s="51">
        <v>58.39805101008836</v>
      </c>
      <c r="Q317" s="35">
        <v>1945.8955898259733</v>
      </c>
      <c r="R317" s="13">
        <v>5363.531182865308</v>
      </c>
      <c r="S317" s="57">
        <v>-0.6156065871109514</v>
      </c>
      <c r="T317" s="53">
        <v>280235.69559610984</v>
      </c>
      <c r="U317" s="51">
        <v>41525.41188688627</v>
      </c>
      <c r="V317" s="51">
        <v>-256150.26293145976</v>
      </c>
    </row>
    <row r="318">
      <c r="A318" s="55">
        <v>45160.95999106481</v>
      </c>
      <c r="B318" s="56">
        <v>0.6595559891569425</v>
      </c>
      <c r="C318" s="57">
        <v>-0.011503536236677436</v>
      </c>
      <c r="D318" s="58">
        <v>-0.8811610830347851</v>
      </c>
      <c r="E318" s="50">
        <v>19.97</v>
      </c>
      <c r="F318" s="57">
        <v>-0.023117209849465414</v>
      </c>
      <c r="G318" s="58">
        <v>-0.6580365328193889</v>
      </c>
      <c r="H318" s="51">
        <v>-54270.270000000004</v>
      </c>
      <c r="I318" s="57">
        <v>0.01764783014121554</v>
      </c>
      <c r="J318" s="57">
        <v>-1.5341221845286035</v>
      </c>
      <c r="K318" s="51">
        <v>89645.72480230173</v>
      </c>
      <c r="L318" s="57">
        <v>-0.029151366377892975</v>
      </c>
      <c r="M318" s="57">
        <v>2.5341221845286035</v>
      </c>
      <c r="N318" s="59">
        <v>0.011613673612787978</v>
      </c>
      <c r="O318" s="57">
        <v>-0.22312455021539623</v>
      </c>
      <c r="P318" s="51">
        <v>58.39805101008836</v>
      </c>
      <c r="Q318" s="35">
        <v>1771.4298849425002</v>
      </c>
      <c r="R318" s="13">
        <v>5363.531182865308</v>
      </c>
      <c r="S318" s="57">
        <v>-0.6500706498709936</v>
      </c>
      <c r="T318" s="53">
        <v>280235.69559610984</v>
      </c>
      <c r="U318" s="51">
        <v>35375.45480230173</v>
      </c>
      <c r="V318" s="51">
        <v>-262300.22001604433</v>
      </c>
    </row>
    <row r="319">
      <c r="A319" s="55">
        <v>45159.95999107639</v>
      </c>
      <c r="B319" s="56">
        <v>0.7234006152705025</v>
      </c>
      <c r="C319" s="57">
        <v>-0.0037123483565905113</v>
      </c>
      <c r="D319" s="58">
        <v>-0.8696575467981077</v>
      </c>
      <c r="E319" s="50">
        <v>21.32</v>
      </c>
      <c r="F319" s="57">
        <v>-0.00839069098239853</v>
      </c>
      <c r="G319" s="58">
        <v>-0.6349193229699235</v>
      </c>
      <c r="H319" s="51">
        <v>-54270.270000000004</v>
      </c>
      <c r="I319" s="57">
        <v>0.00519255932674325</v>
      </c>
      <c r="J319" s="57">
        <v>-1.3987263122882658</v>
      </c>
      <c r="K319" s="51">
        <v>93070.047714352</v>
      </c>
      <c r="L319" s="57">
        <v>-0.008904907683333761</v>
      </c>
      <c r="M319" s="57">
        <v>2.398726312288266</v>
      </c>
      <c r="N319" s="59">
        <v>0.0046783426258080185</v>
      </c>
      <c r="O319" s="57">
        <v>-0.2347382238281842</v>
      </c>
      <c r="P319" s="51">
        <v>58.39805101008836</v>
      </c>
      <c r="Q319" s="35">
        <v>1819.8770034874292</v>
      </c>
      <c r="R319" s="13">
        <v>5363.531182865308</v>
      </c>
      <c r="S319" s="57">
        <v>-0.6405003762450634</v>
      </c>
      <c r="T319" s="53">
        <v>280235.69559610984</v>
      </c>
      <c r="U319" s="51">
        <v>38799.77771435199</v>
      </c>
      <c r="V319" s="51">
        <v>-258875.89710399404</v>
      </c>
    </row>
    <row r="320">
      <c r="A320" s="55">
        <v>45158.95996903935</v>
      </c>
      <c r="B320" s="56">
        <v>0.7440041486495796</v>
      </c>
      <c r="C320" s="57">
        <v>0.003006104981884472</v>
      </c>
      <c r="D320" s="58">
        <v>-0.8659451984415172</v>
      </c>
      <c r="E320" s="50">
        <v>21.81</v>
      </c>
      <c r="F320" s="57">
        <v>-3.424771829549922E-4</v>
      </c>
      <c r="G320" s="58">
        <v>-0.626528631987525</v>
      </c>
      <c r="H320" s="51">
        <v>-54270.27000000001</v>
      </c>
      <c r="I320" s="57">
        <v>-0.004088277856915579</v>
      </c>
      <c r="J320" s="57">
        <v>-1.3599917107195345</v>
      </c>
      <c r="K320" s="51">
        <v>94175.12351656085</v>
      </c>
      <c r="L320" s="57">
        <v>0.007094382838800051</v>
      </c>
      <c r="M320" s="57">
        <v>2.3599917107195347</v>
      </c>
      <c r="N320" s="59">
        <v>0.0033485821648394642</v>
      </c>
      <c r="O320" s="57">
        <v>-0.23941656645399223</v>
      </c>
      <c r="P320" s="51">
        <v>58.39805101008836</v>
      </c>
      <c r="Q320" s="35">
        <v>1829.6585748079249</v>
      </c>
      <c r="R320" s="13">
        <v>5363.531182865308</v>
      </c>
      <c r="S320" s="57">
        <v>-0.638568118623965</v>
      </c>
      <c r="T320" s="53">
        <v>280235.69559610984</v>
      </c>
      <c r="U320" s="51">
        <v>39904.85351656084</v>
      </c>
      <c r="V320" s="51">
        <v>-257770.8213017852</v>
      </c>
    </row>
    <row r="321">
      <c r="A321" s="55">
        <v>45157.959970428245</v>
      </c>
      <c r="B321" s="56">
        <v>0.7273202660001208</v>
      </c>
      <c r="C321" s="57">
        <v>0.0066031412331658546</v>
      </c>
      <c r="D321" s="58">
        <v>-0.8689513034234017</v>
      </c>
      <c r="E321" s="50">
        <v>21.83</v>
      </c>
      <c r="F321" s="57">
        <v>0.00787697520796593</v>
      </c>
      <c r="G321" s="58">
        <v>-0.62618615480457</v>
      </c>
      <c r="H321" s="51">
        <v>-54270.270000000004</v>
      </c>
      <c r="I321" s="57">
        <v>-0.009186213103657475</v>
      </c>
      <c r="J321" s="57">
        <v>-1.3911883419239202</v>
      </c>
      <c r="K321" s="51">
        <v>93280.27918750359</v>
      </c>
      <c r="L321" s="57">
        <v>0.015789354336823328</v>
      </c>
      <c r="M321" s="57">
        <v>2.39118834192392</v>
      </c>
      <c r="N321" s="59">
        <v>-0.001273833974800076</v>
      </c>
      <c r="O321" s="57">
        <v>-0.2427651486188317</v>
      </c>
      <c r="P321" s="51">
        <v>58.39805101008836</v>
      </c>
      <c r="Q321" s="35">
        <v>1786.9908010766646</v>
      </c>
      <c r="R321" s="13">
        <v>5363.531182865308</v>
      </c>
      <c r="S321" s="57">
        <v>-0.6469967369170994</v>
      </c>
      <c r="T321" s="53">
        <v>280235.69559610984</v>
      </c>
      <c r="U321" s="51">
        <v>39010.00918750359</v>
      </c>
      <c r="V321" s="51">
        <v>-258665.66563084244</v>
      </c>
    </row>
    <row r="322">
      <c r="A322" s="55">
        <v>45156.95999974537</v>
      </c>
      <c r="B322" s="56">
        <v>0.69067283215605</v>
      </c>
      <c r="C322" s="57">
        <v>0.005454768844789237</v>
      </c>
      <c r="D322" s="58">
        <v>-0.8755544446565675</v>
      </c>
      <c r="E322" s="50">
        <v>21.37</v>
      </c>
      <c r="F322" s="57">
        <v>0.006507066476145851</v>
      </c>
      <c r="G322" s="58">
        <v>-0.6340631300125359</v>
      </c>
      <c r="H322" s="51">
        <v>-54270.27000000001</v>
      </c>
      <c r="I322" s="57">
        <v>-0.007991266177948108</v>
      </c>
      <c r="J322" s="57">
        <v>-1.46500546683695</v>
      </c>
      <c r="K322" s="51">
        <v>91314.6846650001</v>
      </c>
      <c r="L322" s="57">
        <v>0.013446035022737345</v>
      </c>
      <c r="M322" s="57">
        <v>2.46500546683695</v>
      </c>
      <c r="N322" s="59">
        <v>-0.0010522976313566135</v>
      </c>
      <c r="O322" s="57">
        <v>-0.24149131464403162</v>
      </c>
      <c r="P322" s="51">
        <v>58.39805101008836</v>
      </c>
      <c r="Q322" s="35">
        <v>1733.477522929344</v>
      </c>
      <c r="R322" s="13">
        <v>5363.531182865308</v>
      </c>
      <c r="S322" s="57">
        <v>-0.6575677828300865</v>
      </c>
      <c r="T322" s="53">
        <v>280235.69559610984</v>
      </c>
      <c r="U322" s="51">
        <v>37044.414665000084</v>
      </c>
      <c r="V322" s="51">
        <v>-260631.26015334597</v>
      </c>
    </row>
    <row r="323">
      <c r="A323" s="55">
        <v>45155.95997273148</v>
      </c>
      <c r="B323" s="56">
        <v>0.6603988650674701</v>
      </c>
      <c r="C323" s="57">
        <v>-0.02469000635009866</v>
      </c>
      <c r="D323" s="58">
        <v>-0.8810092135013567</v>
      </c>
      <c r="E323" s="50">
        <v>20.99</v>
      </c>
      <c r="F323" s="57">
        <v>-0.02945303773413377</v>
      </c>
      <c r="G323" s="58">
        <v>-0.6405701964886817</v>
      </c>
      <c r="H323" s="51">
        <v>-54270.27</v>
      </c>
      <c r="I323" s="57">
        <v>0.03782914293487938</v>
      </c>
      <c r="J323" s="57">
        <v>-1.5321641638511858</v>
      </c>
      <c r="K323" s="51">
        <v>89690.93266814937</v>
      </c>
      <c r="L323" s="57">
        <v>-0.06251914928497804</v>
      </c>
      <c r="M323" s="57">
        <v>2.532164163851186</v>
      </c>
      <c r="N323" s="59">
        <v>0.00476303138403511</v>
      </c>
      <c r="O323" s="57">
        <v>-0.240439017012675</v>
      </c>
      <c r="P323" s="51">
        <v>58.39805101008836</v>
      </c>
      <c r="Q323" s="35">
        <v>1687.501794575959</v>
      </c>
      <c r="R323" s="13">
        <v>5363.531182865308</v>
      </c>
      <c r="S323" s="57">
        <v>-0.6666498565159609</v>
      </c>
      <c r="T323" s="53">
        <v>280235.69559610984</v>
      </c>
      <c r="U323" s="51">
        <v>35420.66266814937</v>
      </c>
      <c r="V323" s="51">
        <v>-262255.01215019665</v>
      </c>
    </row>
    <row r="324">
      <c r="A324" s="55">
        <v>45154.95996320602</v>
      </c>
      <c r="B324" s="56">
        <v>0.7974284003105175</v>
      </c>
      <c r="C324" s="57">
        <v>-0.01894814440821524</v>
      </c>
      <c r="D324" s="58">
        <v>-0.8563192071512581</v>
      </c>
      <c r="E324" s="50">
        <v>22.71</v>
      </c>
      <c r="F324" s="57">
        <v>-0.022603494075032926</v>
      </c>
      <c r="G324" s="58">
        <v>-0.611117158754548</v>
      </c>
      <c r="H324" s="51">
        <v>-54270.27</v>
      </c>
      <c r="I324" s="57">
        <v>0.024042886459718502</v>
      </c>
      <c r="J324" s="57">
        <v>-1.2688781519574215</v>
      </c>
      <c r="K324" s="51">
        <v>97040.54696968423</v>
      </c>
      <c r="L324" s="57">
        <v>-0.04299103086793374</v>
      </c>
      <c r="M324" s="57">
        <v>2.2688781519574213</v>
      </c>
      <c r="N324" s="59">
        <v>0.0036553496668176866</v>
      </c>
      <c r="O324" s="57">
        <v>-0.24520204839671011</v>
      </c>
      <c r="P324" s="51">
        <v>58.39805101008836</v>
      </c>
      <c r="Q324" s="35">
        <v>1883.3235125356334</v>
      </c>
      <c r="R324" s="13">
        <v>5363.531182865308</v>
      </c>
      <c r="S324" s="57">
        <v>-0.6279671137840923</v>
      </c>
      <c r="T324" s="53">
        <v>280235.69559610984</v>
      </c>
      <c r="U324" s="51">
        <v>42770.27696968424</v>
      </c>
      <c r="V324" s="51">
        <v>-254905.3978486618</v>
      </c>
    </row>
    <row r="325">
      <c r="A325" s="55">
        <v>45153.95998789352</v>
      </c>
      <c r="B325" s="56">
        <v>0.9025906017761123</v>
      </c>
      <c r="C325" s="57">
        <v>-0.0122446259219533</v>
      </c>
      <c r="D325" s="58">
        <v>-0.8373710627430428</v>
      </c>
      <c r="E325" s="50">
        <v>24.03</v>
      </c>
      <c r="F325" s="57">
        <v>-0.01575395041593186</v>
      </c>
      <c r="G325" s="58">
        <v>-0.588513664679515</v>
      </c>
      <c r="H325" s="51">
        <v>-54270.270000000004</v>
      </c>
      <c r="I325" s="57">
        <v>0.013726706038030447</v>
      </c>
      <c r="J325" s="57">
        <v>-1.1210392318657882</v>
      </c>
      <c r="K325" s="51">
        <v>102680.94864295519</v>
      </c>
      <c r="L325" s="57">
        <v>-0.02597133195998375</v>
      </c>
      <c r="M325" s="57">
        <v>2.1210392318657885</v>
      </c>
      <c r="N325" s="59">
        <v>0.0035093244939785606</v>
      </c>
      <c r="O325" s="57">
        <v>-0.2488573980635278</v>
      </c>
      <c r="P325" s="51">
        <v>58.39805101008836</v>
      </c>
      <c r="Q325" s="35">
        <v>2014.5933684126169</v>
      </c>
      <c r="R325" s="13">
        <v>5363.531182865308</v>
      </c>
      <c r="S325" s="57">
        <v>-0.6020359856321857</v>
      </c>
      <c r="T325" s="53">
        <v>280235.69559610984</v>
      </c>
      <c r="U325" s="51">
        <v>48410.67864295519</v>
      </c>
      <c r="V325" s="51">
        <v>-249264.99617539084</v>
      </c>
    </row>
    <row r="326">
      <c r="A326" s="55">
        <v>45152.9599681713</v>
      </c>
      <c r="B326" s="56">
        <v>0.9705482756429529</v>
      </c>
      <c r="C326" s="57">
        <v>0.0074443779832429335</v>
      </c>
      <c r="D326" s="58">
        <v>-0.8251264368210895</v>
      </c>
      <c r="E326" s="50">
        <v>24.95</v>
      </c>
      <c r="F326" s="57">
        <v>0.00890440675683113</v>
      </c>
      <c r="G326" s="58">
        <v>-0.5727597142635832</v>
      </c>
      <c r="H326" s="51">
        <v>-54270.27000000001</v>
      </c>
      <c r="I326" s="57">
        <v>-0.007761093083766685</v>
      </c>
      <c r="J326" s="57">
        <v>-1.042544199291958</v>
      </c>
      <c r="K326" s="51">
        <v>106325.87592717084</v>
      </c>
      <c r="L326" s="57">
        <v>0.015205471067009618</v>
      </c>
      <c r="M326" s="57">
        <v>2.042544199291958</v>
      </c>
      <c r="N326" s="59">
        <v>-0.0014600287735881956</v>
      </c>
      <c r="O326" s="57">
        <v>-0.25236672255750636</v>
      </c>
      <c r="P326" s="51">
        <v>58.39805101008836</v>
      </c>
      <c r="Q326" s="35">
        <v>2086.3970311491316</v>
      </c>
      <c r="R326" s="13">
        <v>5363.531182865308</v>
      </c>
      <c r="S326" s="57">
        <v>-0.5878518458861824</v>
      </c>
      <c r="T326" s="53">
        <v>280235.69559610984</v>
      </c>
      <c r="U326" s="51">
        <v>52055.60592717083</v>
      </c>
      <c r="V326" s="51">
        <v>-245620.0688911752</v>
      </c>
    </row>
    <row r="327">
      <c r="A327" s="55">
        <v>45151.95996248843</v>
      </c>
      <c r="B327" s="56">
        <v>0.9292319778359543</v>
      </c>
      <c r="C327" s="57">
        <v>-0.0021379719352822013</v>
      </c>
      <c r="D327" s="58">
        <v>-0.8325708148043325</v>
      </c>
      <c r="E327" s="50">
        <v>24.43</v>
      </c>
      <c r="F327" s="57">
        <v>-0.005479634927280763</v>
      </c>
      <c r="G327" s="58">
        <v>-0.5816641210204143</v>
      </c>
      <c r="H327" s="51">
        <v>-54270.27000000001</v>
      </c>
      <c r="I327" s="57">
        <v>0.002328034820104019</v>
      </c>
      <c r="J327" s="57">
        <v>-1.0888986808878436</v>
      </c>
      <c r="K327" s="51">
        <v>104109.86568740616</v>
      </c>
      <c r="L327" s="57">
        <v>-0.004466006755386221</v>
      </c>
      <c r="M327" s="57">
        <v>2.088898680887844</v>
      </c>
      <c r="N327" s="59">
        <v>0.003341662991998562</v>
      </c>
      <c r="O327" s="57">
        <v>-0.25090669378391817</v>
      </c>
      <c r="P327" s="51">
        <v>58.39805101008836</v>
      </c>
      <c r="Q327" s="35">
        <v>2040.0980633404072</v>
      </c>
      <c r="R327" s="13">
        <v>5363.531182865308</v>
      </c>
      <c r="S327" s="57">
        <v>-0.596997772493081</v>
      </c>
      <c r="T327" s="53">
        <v>280235.69559610984</v>
      </c>
      <c r="U327" s="51">
        <v>49839.595687406145</v>
      </c>
      <c r="V327" s="51">
        <v>-247836.0791309399</v>
      </c>
    </row>
    <row r="328">
      <c r="A328" s="55">
        <v>45150.95999567129</v>
      </c>
      <c r="B328" s="56">
        <v>0.9410977220767708</v>
      </c>
      <c r="C328" s="57">
        <v>0.0033754894727769935</v>
      </c>
      <c r="D328" s="58">
        <v>-0.8304328428690503</v>
      </c>
      <c r="E328" s="50">
        <v>24.75</v>
      </c>
      <c r="F328" s="57">
        <v>0.004109726195460461</v>
      </c>
      <c r="G328" s="58">
        <v>-0.5761844860931336</v>
      </c>
      <c r="H328" s="51">
        <v>-54304.54637050815</v>
      </c>
      <c r="I328" s="57">
        <v>-0.003631515165605391</v>
      </c>
      <c r="J328" s="57">
        <v>-1.0758484643170185</v>
      </c>
      <c r="K328" s="51">
        <v>104780.56429649211</v>
      </c>
      <c r="L328" s="57">
        <v>0.007007004638382385</v>
      </c>
      <c r="M328" s="57">
        <v>2.0758484643170187</v>
      </c>
      <c r="N328" s="59">
        <v>-7.342367226834678E-4</v>
      </c>
      <c r="O328" s="57">
        <v>-0.25424835677591673</v>
      </c>
      <c r="P328" s="51">
        <v>58.39805101008836</v>
      </c>
      <c r="Q328" s="35">
        <v>2039.435067716524</v>
      </c>
      <c r="R328" s="13">
        <v>5363.531182865308</v>
      </c>
      <c r="S328" s="57">
        <v>-0.5971287410568247</v>
      </c>
      <c r="T328" s="53">
        <v>280235.69559610984</v>
      </c>
      <c r="U328" s="51">
        <v>50476.017925983964</v>
      </c>
      <c r="V328" s="51">
        <v>-247199.65689236208</v>
      </c>
    </row>
    <row r="329">
      <c r="A329" s="55">
        <v>45149.95997675926</v>
      </c>
      <c r="B329" s="56">
        <v>0.9223637555028587</v>
      </c>
      <c r="C329" s="57">
        <v>-0.002335390036313112</v>
      </c>
      <c r="D329" s="58">
        <v>-0.8338083323418273</v>
      </c>
      <c r="E329" s="50">
        <v>24.51</v>
      </c>
      <c r="F329" s="57">
        <v>-0.0029110560551178777</v>
      </c>
      <c r="G329" s="58">
        <v>-0.580294212288594</v>
      </c>
      <c r="H329" s="51">
        <v>-54293.29352034481</v>
      </c>
      <c r="I329" s="57">
        <v>0.0025630260357066025</v>
      </c>
      <c r="J329" s="57">
        <v>-1.0974723690064467</v>
      </c>
      <c r="K329" s="51">
        <v>103764.51033967767</v>
      </c>
      <c r="L329" s="57">
        <v>-0.004898416072019714</v>
      </c>
      <c r="M329" s="57">
        <v>2.0974723690064465</v>
      </c>
      <c r="N329" s="59">
        <v>5.756660188047658E-4</v>
      </c>
      <c r="O329" s="57">
        <v>-0.25351412005323326</v>
      </c>
      <c r="P329" s="51">
        <v>58.39805101008836</v>
      </c>
      <c r="Q329" s="35">
        <v>2018.409498952789</v>
      </c>
      <c r="R329" s="13">
        <v>5363.531182865308</v>
      </c>
      <c r="S329" s="57">
        <v>-0.6012821448557142</v>
      </c>
      <c r="T329" s="53">
        <v>280235.69559610984</v>
      </c>
      <c r="U329" s="51">
        <v>49471.21681933286</v>
      </c>
      <c r="V329" s="51">
        <v>-248204.4579990132</v>
      </c>
    </row>
    <row r="330">
      <c r="A330" s="55">
        <v>45148.96159784722</v>
      </c>
      <c r="B330" s="56">
        <v>0.9353251702043963</v>
      </c>
      <c r="C330" s="57">
        <v>0.00567011536038009</v>
      </c>
      <c r="D330" s="58">
        <v>-0.8314729423055142</v>
      </c>
      <c r="E330" s="50">
        <v>24.68</v>
      </c>
      <c r="F330" s="57">
        <v>0.006849543659100954</v>
      </c>
      <c r="G330" s="58">
        <v>-0.5773831562334761</v>
      </c>
      <c r="H330" s="51">
        <v>-54317.809601398156</v>
      </c>
      <c r="I330" s="57">
        <v>-0.006139332541966226</v>
      </c>
      <c r="J330" s="57">
        <v>-1.0827526693486325</v>
      </c>
      <c r="K330" s="51">
        <v>104484.21522575457</v>
      </c>
      <c r="L330" s="57">
        <v>0.011809447902346318</v>
      </c>
      <c r="M330" s="57">
        <v>2.0827526693486327</v>
      </c>
      <c r="N330" s="59">
        <v>-0.0011794282987208637</v>
      </c>
      <c r="O330" s="57">
        <v>-0.254089786072038</v>
      </c>
      <c r="P330" s="51">
        <v>58.39805101008836</v>
      </c>
      <c r="Q330" s="35">
        <v>2032.6744580371317</v>
      </c>
      <c r="R330" s="13">
        <v>5363.531182865308</v>
      </c>
      <c r="S330" s="57">
        <v>-0.5984642360553538</v>
      </c>
      <c r="T330" s="53">
        <v>280235.69559610984</v>
      </c>
      <c r="U330" s="51">
        <v>50166.40562435641</v>
      </c>
      <c r="V330" s="51">
        <v>-247509.26919398963</v>
      </c>
    </row>
    <row r="331">
      <c r="A331" s="55">
        <v>45147.95999310185</v>
      </c>
      <c r="B331" s="56">
        <v>0.9038560299542867</v>
      </c>
      <c r="C331" s="57">
        <v>-0.0016085701291292942</v>
      </c>
      <c r="D331" s="58">
        <v>-0.8371430576658943</v>
      </c>
      <c r="E331" s="50">
        <v>24.28</v>
      </c>
      <c r="F331" s="57">
        <v>-0.00188362450625279</v>
      </c>
      <c r="G331" s="58">
        <v>-0.5842326998925771</v>
      </c>
      <c r="H331" s="51">
        <v>-54312.24175623975</v>
      </c>
      <c r="I331" s="57">
        <v>0.001802138252072466</v>
      </c>
      <c r="J331" s="57">
        <v>-1.1203355199987137</v>
      </c>
      <c r="K331" s="51">
        <v>102790.79196439714</v>
      </c>
      <c r="L331" s="57">
        <v>-0.00341070838120176</v>
      </c>
      <c r="M331" s="57">
        <v>2.1203355199987137</v>
      </c>
      <c r="N331" s="59">
        <v>2.750543771234959E-4</v>
      </c>
      <c r="O331" s="57">
        <v>-0.25291035777331716</v>
      </c>
      <c r="P331" s="51">
        <v>58.39805101008836</v>
      </c>
      <c r="Q331" s="35">
        <v>1996.6453957231213</v>
      </c>
      <c r="R331" s="13">
        <v>5363.531182865308</v>
      </c>
      <c r="S331" s="57">
        <v>-0.6055814392077147</v>
      </c>
      <c r="T331" s="53">
        <v>280235.69559610984</v>
      </c>
      <c r="U331" s="51">
        <v>48478.55020815739</v>
      </c>
      <c r="V331" s="51">
        <v>-249197.12461018865</v>
      </c>
    </row>
    <row r="332">
      <c r="A332" s="55">
        <v>45146.95997710648</v>
      </c>
      <c r="B332" s="56">
        <v>0.9127835941709544</v>
      </c>
      <c r="C332" s="57">
        <v>0.019595703986027724</v>
      </c>
      <c r="D332" s="58">
        <v>-0.835534487536765</v>
      </c>
      <c r="E332" s="50">
        <v>24.39</v>
      </c>
      <c r="F332" s="57">
        <v>0.023459687032420518</v>
      </c>
      <c r="G332" s="58">
        <v>-0.5823490753863243</v>
      </c>
      <c r="H332" s="51">
        <v>-54299.100954431815</v>
      </c>
      <c r="I332" s="57">
        <v>-0.021733782663630578</v>
      </c>
      <c r="J332" s="57">
        <v>-1.1091095619288474</v>
      </c>
      <c r="K332" s="51">
        <v>103256.48336127041</v>
      </c>
      <c r="L332" s="57">
        <v>0.041329486649658305</v>
      </c>
      <c r="M332" s="57">
        <v>2.1091095619288476</v>
      </c>
      <c r="N332" s="59">
        <v>-0.0038639830463927938</v>
      </c>
      <c r="O332" s="57">
        <v>-0.25318541215044066</v>
      </c>
      <c r="P332" s="51">
        <v>58.39805101008836</v>
      </c>
      <c r="Q332" s="35">
        <v>2007.2727514078965</v>
      </c>
      <c r="R332" s="13">
        <v>5363.531182865308</v>
      </c>
      <c r="S332" s="57">
        <v>-0.6034821048225528</v>
      </c>
      <c r="T332" s="53">
        <v>280235.69559610984</v>
      </c>
      <c r="U332" s="51">
        <v>48957.382406838595</v>
      </c>
      <c r="V332" s="51">
        <v>-248718.29241150746</v>
      </c>
    </row>
    <row r="333">
      <c r="A333" s="55">
        <v>45145.95997090278</v>
      </c>
      <c r="B333" s="56">
        <v>0.8040274370485009</v>
      </c>
      <c r="C333" s="57">
        <v>-0.0017874317139945362</v>
      </c>
      <c r="D333" s="58">
        <v>-0.8551301915227927</v>
      </c>
      <c r="E333" s="50">
        <v>23.02</v>
      </c>
      <c r="F333" s="57">
        <v>-0.003424771829550477</v>
      </c>
      <c r="G333" s="58">
        <v>-0.6058087624187448</v>
      </c>
      <c r="H333" s="51">
        <v>-54332.2906918639</v>
      </c>
      <c r="I333" s="57">
        <v>0.0022519888819382263</v>
      </c>
      <c r="J333" s="57">
        <v>-1.25990205069457</v>
      </c>
      <c r="K333" s="51">
        <v>97456.50869112115</v>
      </c>
      <c r="L333" s="57">
        <v>-0.004039420595932762</v>
      </c>
      <c r="M333" s="57">
        <v>2.2599020506945697</v>
      </c>
      <c r="N333" s="59">
        <v>0.0016373401155559408</v>
      </c>
      <c r="O333" s="57">
        <v>-0.24932142910404786</v>
      </c>
      <c r="P333" s="51">
        <v>58.39805101008836</v>
      </c>
      <c r="Q333" s="35">
        <v>1873.3370112622613</v>
      </c>
      <c r="R333" s="13">
        <v>5363.531182865308</v>
      </c>
      <c r="S333" s="57">
        <v>-0.6299398533942558</v>
      </c>
      <c r="T333" s="53">
        <v>280235.69559610984</v>
      </c>
      <c r="U333" s="51">
        <v>43124.21799925726</v>
      </c>
      <c r="V333" s="51">
        <v>-254551.45681908878</v>
      </c>
    </row>
    <row r="334">
      <c r="A334" s="55">
        <v>45144.960097476855</v>
      </c>
      <c r="B334" s="56">
        <v>0.8139476830611702</v>
      </c>
      <c r="C334" s="57">
        <v>0.008642533982848533</v>
      </c>
      <c r="D334" s="58">
        <v>-0.8533427598087981</v>
      </c>
      <c r="E334" s="50">
        <v>23.22</v>
      </c>
      <c r="F334" s="57">
        <v>0.010445554080128927</v>
      </c>
      <c r="G334" s="58">
        <v>-0.6023839905891943</v>
      </c>
      <c r="H334" s="51">
        <v>-54646.92738088761</v>
      </c>
      <c r="I334" s="57">
        <v>-0.010818324120804471</v>
      </c>
      <c r="J334" s="57">
        <v>-1.2517537266586263</v>
      </c>
      <c r="K334" s="51">
        <v>98303.22032179988</v>
      </c>
      <c r="L334" s="57">
        <v>0.019460858103653004</v>
      </c>
      <c r="M334" s="57">
        <v>2.2517537266586265</v>
      </c>
      <c r="N334" s="59">
        <v>-0.0018030200972803945</v>
      </c>
      <c r="O334" s="57">
        <v>-0.2509587692196038</v>
      </c>
      <c r="P334" s="51">
        <v>58.39805101008836</v>
      </c>
      <c r="Q334" s="35">
        <v>1880.1159750608213</v>
      </c>
      <c r="R334" s="13">
        <v>5363.531182865308</v>
      </c>
      <c r="S334" s="57">
        <v>-0.6286007327117259</v>
      </c>
      <c r="T334" s="53">
        <v>280235.69559610984</v>
      </c>
      <c r="U334" s="51">
        <v>43656.292940912266</v>
      </c>
      <c r="V334" s="51">
        <v>-254019.38187743377</v>
      </c>
    </row>
    <row r="335">
      <c r="A335" s="55">
        <v>45143.959971435186</v>
      </c>
      <c r="B335" s="56">
        <v>0.7659816194563609</v>
      </c>
      <c r="C335" s="57">
        <v>-0.0028270009231520232</v>
      </c>
      <c r="D335" s="58">
        <v>-0.8619852937916467</v>
      </c>
      <c r="E335" s="50">
        <v>22.61</v>
      </c>
      <c r="F335" s="57">
        <v>-0.003424771829550477</v>
      </c>
      <c r="G335" s="58">
        <v>-0.6128295446693233</v>
      </c>
      <c r="H335" s="51">
        <v>-54637.12904280241</v>
      </c>
      <c r="I335" s="57">
        <v>0.003759630023212896</v>
      </c>
      <c r="J335" s="57">
        <v>-1.3299005290104464</v>
      </c>
      <c r="K335" s="51">
        <v>95720.74984822975</v>
      </c>
      <c r="L335" s="57">
        <v>-0.006586630946364919</v>
      </c>
      <c r="M335" s="57">
        <v>2.3299005290104464</v>
      </c>
      <c r="N335" s="59">
        <v>5.977709063984538E-4</v>
      </c>
      <c r="O335" s="57">
        <v>-0.2491557491223234</v>
      </c>
      <c r="P335" s="51">
        <v>58.39805101008836</v>
      </c>
      <c r="Q335" s="35">
        <v>1817.0553208946194</v>
      </c>
      <c r="R335" s="13">
        <v>5363.531182865308</v>
      </c>
      <c r="S335" s="57">
        <v>-0.6410577731617381</v>
      </c>
      <c r="T335" s="53">
        <v>280235.69559610984</v>
      </c>
      <c r="U335" s="51">
        <v>41083.620805427345</v>
      </c>
      <c r="V335" s="51">
        <v>-256592.0540129187</v>
      </c>
    </row>
    <row r="336">
      <c r="A336" s="55">
        <v>45142.95998597222</v>
      </c>
      <c r="B336" s="56">
        <v>0.7816714745798543</v>
      </c>
      <c r="C336" s="57">
        <v>-1.7276607348870598E-4</v>
      </c>
      <c r="D336" s="58">
        <v>-0.8591582928684947</v>
      </c>
      <c r="E336" s="50">
        <v>22.81</v>
      </c>
      <c r="F336" s="57">
        <v>0.0</v>
      </c>
      <c r="G336" s="58">
        <v>-0.6094047728397728</v>
      </c>
      <c r="H336" s="51">
        <v>-54642.311265969794</v>
      </c>
      <c r="I336" s="57">
        <v>2.2517122814877508E-4</v>
      </c>
      <c r="J336" s="57">
        <v>-1.3033301249593712</v>
      </c>
      <c r="K336" s="51">
        <v>96567.46147890849</v>
      </c>
      <c r="L336" s="57">
        <v>-3.9793730163748106E-4</v>
      </c>
      <c r="M336" s="57">
        <v>2.303330124959371</v>
      </c>
      <c r="N336" s="59">
        <v>-1.7276607348870598E-4</v>
      </c>
      <c r="O336" s="57">
        <v>-0.24975352002872186</v>
      </c>
      <c r="P336" s="51">
        <v>58.39805101008836</v>
      </c>
      <c r="Q336" s="35">
        <v>1838.0162302910433</v>
      </c>
      <c r="R336" s="13">
        <v>5363.531182865308</v>
      </c>
      <c r="S336" s="57">
        <v>-0.6369171422140776</v>
      </c>
      <c r="T336" s="53">
        <v>280235.69559610984</v>
      </c>
      <c r="U336" s="51">
        <v>41925.15021293869</v>
      </c>
      <c r="V336" s="51">
        <v>-255750.52460540735</v>
      </c>
    </row>
    <row r="337">
      <c r="A337" s="55">
        <v>45141.95995877315</v>
      </c>
      <c r="B337" s="56">
        <v>0.7826303262877167</v>
      </c>
      <c r="C337" s="57">
        <v>-0.004693514549171551</v>
      </c>
      <c r="D337" s="58">
        <v>-0.858985526795006</v>
      </c>
      <c r="E337" s="50">
        <v>22.81</v>
      </c>
      <c r="F337" s="57">
        <v>-0.005650873518758259</v>
      </c>
      <c r="G337" s="58">
        <v>-0.6094047728397728</v>
      </c>
      <c r="H337" s="51">
        <v>-54590.883008458324</v>
      </c>
      <c r="I337" s="57">
        <v>0.006103953990263689</v>
      </c>
      <c r="J337" s="57">
        <v>-1.3005081642585072</v>
      </c>
      <c r="K337" s="51">
        <v>96567.46147890849</v>
      </c>
      <c r="L337" s="57">
        <v>-0.010797468539435242</v>
      </c>
      <c r="M337" s="57">
        <v>2.3005081642585075</v>
      </c>
      <c r="N337" s="59">
        <v>9.57358969586708E-4</v>
      </c>
      <c r="O337" s="57">
        <v>-0.24958075395523316</v>
      </c>
      <c r="P337" s="51">
        <v>58.39805101008836</v>
      </c>
      <c r="Q337" s="35">
        <v>1840.270866744856</v>
      </c>
      <c r="R337" s="13">
        <v>5363.531182865308</v>
      </c>
      <c r="S337" s="57">
        <v>-0.6364717599408269</v>
      </c>
      <c r="T337" s="53">
        <v>280235.69559610984</v>
      </c>
      <c r="U337" s="51">
        <v>41976.578470450164</v>
      </c>
      <c r="V337" s="51">
        <v>-255699.0963478959</v>
      </c>
    </row>
    <row r="338">
      <c r="A338" s="55">
        <v>45140.959958437496</v>
      </c>
      <c r="B338" s="56">
        <v>0.8086793320356189</v>
      </c>
      <c r="C338" s="57">
        <v>-0.006646536678194259</v>
      </c>
      <c r="D338" s="58">
        <v>-0.8542920122458344</v>
      </c>
      <c r="E338" s="50">
        <v>23.14</v>
      </c>
      <c r="F338" s="57">
        <v>-0.008048213799443538</v>
      </c>
      <c r="G338" s="58">
        <v>-0.6037538993210145</v>
      </c>
      <c r="H338" s="51">
        <v>-54590.812088383864</v>
      </c>
      <c r="I338" s="57">
        <v>0.008365429685995138</v>
      </c>
      <c r="J338" s="57">
        <v>-1.2586148382269773</v>
      </c>
      <c r="K338" s="51">
        <v>97964.5356695284</v>
      </c>
      <c r="L338" s="57">
        <v>-0.015011966364189397</v>
      </c>
      <c r="M338" s="57">
        <v>2.2586148382269773</v>
      </c>
      <c r="N338" s="59">
        <v>0.0014016771212492785</v>
      </c>
      <c r="O338" s="57">
        <v>-0.25053811292481987</v>
      </c>
      <c r="P338" s="51">
        <v>58.39805101008836</v>
      </c>
      <c r="Q338" s="35">
        <v>1874.404649141942</v>
      </c>
      <c r="R338" s="13">
        <v>5363.531182865308</v>
      </c>
      <c r="S338" s="57">
        <v>-0.6297289515501663</v>
      </c>
      <c r="T338" s="53">
        <v>280235.69559610984</v>
      </c>
      <c r="U338" s="51">
        <v>43373.723581144535</v>
      </c>
      <c r="V338" s="51">
        <v>-254301.95123720152</v>
      </c>
    </row>
    <row r="339">
      <c r="A339" s="55">
        <v>45139.95999899306</v>
      </c>
      <c r="B339" s="56">
        <v>0.8455676105995974</v>
      </c>
      <c r="C339" s="57">
        <v>-0.004116216345903756</v>
      </c>
      <c r="D339" s="58">
        <v>-0.8476454755676401</v>
      </c>
      <c r="E339" s="50">
        <v>23.61</v>
      </c>
      <c r="F339" s="57">
        <v>-0.0023973402806852784</v>
      </c>
      <c r="G339" s="58">
        <v>-0.595705685521571</v>
      </c>
      <c r="H339" s="51">
        <v>-54602.07212959247</v>
      </c>
      <c r="I339" s="57">
        <v>0.004955741155832451</v>
      </c>
      <c r="J339" s="57">
        <v>-1.2039554628279308</v>
      </c>
      <c r="K339" s="51">
        <v>99954.30800162339</v>
      </c>
      <c r="L339" s="57">
        <v>-0.009071957501736207</v>
      </c>
      <c r="M339" s="57">
        <v>2.2039554628279308</v>
      </c>
      <c r="N339" s="59">
        <v>-0.0017188760652184776</v>
      </c>
      <c r="O339" s="57">
        <v>-0.25193979004606915</v>
      </c>
      <c r="P339" s="51">
        <v>58.39805101008836</v>
      </c>
      <c r="Q339" s="35">
        <v>1920.8909729788616</v>
      </c>
      <c r="R339" s="13">
        <v>5363.531182865308</v>
      </c>
      <c r="S339" s="57">
        <v>-0.6205460145181043</v>
      </c>
      <c r="T339" s="53">
        <v>280235.69559610984</v>
      </c>
      <c r="U339" s="51">
        <v>45352.23587203092</v>
      </c>
      <c r="V339" s="51">
        <v>-252323.43894631512</v>
      </c>
    </row>
    <row r="340">
      <c r="A340" s="55">
        <v>45138.95997484954</v>
      </c>
      <c r="B340" s="56">
        <v>0.8684126113193629</v>
      </c>
      <c r="C340" s="57">
        <v>-0.006803221769796752</v>
      </c>
      <c r="D340" s="58">
        <v>-0.8435292592217364</v>
      </c>
      <c r="E340" s="50">
        <v>23.75</v>
      </c>
      <c r="F340" s="57">
        <v>-0.00839069098239853</v>
      </c>
      <c r="G340" s="58">
        <v>-0.5933083452408857</v>
      </c>
      <c r="H340" s="51">
        <v>-54634.11455068988</v>
      </c>
      <c r="I340" s="57">
        <v>0.007979984570841685</v>
      </c>
      <c r="J340" s="57">
        <v>-1.1729714010307926</v>
      </c>
      <c r="K340" s="51">
        <v>101211.64790118599</v>
      </c>
      <c r="L340" s="57">
        <v>-0.014783206340638438</v>
      </c>
      <c r="M340" s="57">
        <v>2.1729714010307926</v>
      </c>
      <c r="N340" s="59">
        <v>0.0015874692126017775</v>
      </c>
      <c r="O340" s="57">
        <v>-0.25022091398085067</v>
      </c>
      <c r="P340" s="51">
        <v>58.39805101008836</v>
      </c>
      <c r="Q340" s="35">
        <v>1961.1592989682572</v>
      </c>
      <c r="R340" s="13">
        <v>5363.531182865308</v>
      </c>
      <c r="S340" s="57">
        <v>-0.6125913846092217</v>
      </c>
      <c r="T340" s="53">
        <v>280235.69559610984</v>
      </c>
      <c r="U340" s="51">
        <v>46577.53335049611</v>
      </c>
      <c r="V340" s="51">
        <v>-251098.14146784993</v>
      </c>
    </row>
    <row r="341">
      <c r="A341" s="55">
        <v>45137.95996912037</v>
      </c>
      <c r="B341" s="56">
        <v>0.9061704921417347</v>
      </c>
      <c r="C341" s="57">
        <v>-0.01401371004619767</v>
      </c>
      <c r="D341" s="58">
        <v>-0.8367260374519396</v>
      </c>
      <c r="E341" s="50">
        <v>24.24</v>
      </c>
      <c r="F341" s="57">
        <v>-0.01678138196479717</v>
      </c>
      <c r="G341" s="58">
        <v>-0.5849176542584872</v>
      </c>
      <c r="H341" s="51">
        <v>-54636.28802600752</v>
      </c>
      <c r="I341" s="57">
        <v>0.01575339031532074</v>
      </c>
      <c r="J341" s="57">
        <v>-1.1241413061486238</v>
      </c>
      <c r="K341" s="51">
        <v>103238.97500776673</v>
      </c>
      <c r="L341" s="57">
        <v>-0.029767100361518414</v>
      </c>
      <c r="M341" s="57">
        <v>2.124141306148624</v>
      </c>
      <c r="N341" s="59">
        <v>0.0027676719185995013</v>
      </c>
      <c r="O341" s="57">
        <v>-0.25180838319345245</v>
      </c>
      <c r="P341" s="51">
        <v>58.39805101008836</v>
      </c>
      <c r="Q341" s="35">
        <v>2005.0613441319806</v>
      </c>
      <c r="R341" s="13">
        <v>5363.531182865308</v>
      </c>
      <c r="S341" s="57">
        <v>-0.6039189475773858</v>
      </c>
      <c r="T341" s="53">
        <v>280235.69559610984</v>
      </c>
      <c r="U341" s="51">
        <v>48602.68698175921</v>
      </c>
      <c r="V341" s="51">
        <v>-249072.98783658684</v>
      </c>
    </row>
    <row r="342">
      <c r="A342" s="55">
        <v>45136.96010081019</v>
      </c>
      <c r="B342" s="56">
        <v>0.9839465828981324</v>
      </c>
      <c r="C342" s="57">
        <v>0.00308251417960681</v>
      </c>
      <c r="D342" s="58">
        <v>-0.822712327405742</v>
      </c>
      <c r="E342" s="50">
        <v>25.22</v>
      </c>
      <c r="F342" s="57">
        <v>0.003424771829550366</v>
      </c>
      <c r="G342" s="58">
        <v>-0.56813627229369</v>
      </c>
      <c r="H342" s="51">
        <v>-54638.60038128092</v>
      </c>
      <c r="I342" s="57">
        <v>-0.003191411189962411</v>
      </c>
      <c r="J342" s="57">
        <v>-1.0353273347697922</v>
      </c>
      <c r="K342" s="51">
        <v>107412.82795775069</v>
      </c>
      <c r="L342" s="57">
        <v>0.006273925369569222</v>
      </c>
      <c r="M342" s="57">
        <v>2.0353273347697924</v>
      </c>
      <c r="N342" s="59">
        <v>-3.422576499435559E-4</v>
      </c>
      <c r="O342" s="57">
        <v>-0.25457605511205195</v>
      </c>
      <c r="P342" s="51">
        <v>58.39805101008836</v>
      </c>
      <c r="Q342" s="35">
        <v>2092.554622381831</v>
      </c>
      <c r="R342" s="13">
        <v>5363.531182865308</v>
      </c>
      <c r="S342" s="57">
        <v>-0.5866354715228874</v>
      </c>
      <c r="T342" s="53">
        <v>280235.69559610984</v>
      </c>
      <c r="U342" s="51">
        <v>52774.22757646977</v>
      </c>
      <c r="V342" s="51">
        <v>-244901.44724187627</v>
      </c>
    </row>
    <row r="343">
      <c r="A343" s="55">
        <v>45135.95996231481</v>
      </c>
      <c r="B343" s="56">
        <v>0.9668386292013145</v>
      </c>
      <c r="C343" s="57">
        <v>8.039865786739764E-4</v>
      </c>
      <c r="D343" s="58">
        <v>-0.8257948415853488</v>
      </c>
      <c r="E343" s="50">
        <v>25.02</v>
      </c>
      <c r="F343" s="57">
        <v>0.0010274315488651986</v>
      </c>
      <c r="G343" s="58">
        <v>-0.5715610441232404</v>
      </c>
      <c r="H343" s="51">
        <v>-54641.33137920395</v>
      </c>
      <c r="I343" s="57">
        <v>-8.471605312183244E-4</v>
      </c>
      <c r="J343" s="57">
        <v>-1.0536998423724377</v>
      </c>
      <c r="K343" s="51">
        <v>106497.96946712214</v>
      </c>
      <c r="L343" s="57">
        <v>0.001651147109892301</v>
      </c>
      <c r="M343" s="57">
        <v>2.053699842372438</v>
      </c>
      <c r="N343" s="59">
        <v>-2.2344497019122223E-4</v>
      </c>
      <c r="O343" s="57">
        <v>-0.2542337974621084</v>
      </c>
      <c r="P343" s="51">
        <v>58.39805101008836</v>
      </c>
      <c r="Q343" s="35">
        <v>2072.6074375666744</v>
      </c>
      <c r="R343" s="13">
        <v>5363.531182865308</v>
      </c>
      <c r="S343" s="57">
        <v>-0.590575850692621</v>
      </c>
      <c r="T343" s="53">
        <v>280235.69559610984</v>
      </c>
      <c r="U343" s="51">
        <v>51856.63808791819</v>
      </c>
      <c r="V343" s="51">
        <v>-245819.03673042785</v>
      </c>
    </row>
    <row r="344">
      <c r="A344" s="55">
        <v>45134.96002053241</v>
      </c>
      <c r="B344" s="56">
        <v>0.9623765036896738</v>
      </c>
      <c r="C344" s="57">
        <v>-0.004471622798545072</v>
      </c>
      <c r="D344" s="58">
        <v>-0.8265988281640227</v>
      </c>
      <c r="E344" s="50">
        <v>24.96</v>
      </c>
      <c r="F344" s="57">
        <v>-0.005822112110235755</v>
      </c>
      <c r="G344" s="58">
        <v>-0.5725884756721056</v>
      </c>
      <c r="H344" s="51">
        <v>-54625.26781248579</v>
      </c>
      <c r="I344" s="57">
        <v>0.004732202994484029</v>
      </c>
      <c r="J344" s="57">
        <v>-1.0582741898587111</v>
      </c>
      <c r="K344" s="51">
        <v>106242.5786530523</v>
      </c>
      <c r="L344" s="57">
        <v>-0.0092038257930291</v>
      </c>
      <c r="M344" s="57">
        <v>2.058274189858711</v>
      </c>
      <c r="N344" s="59">
        <v>0.0013504893116906835</v>
      </c>
      <c r="O344" s="57">
        <v>-0.25401035249191717</v>
      </c>
      <c r="P344" s="51">
        <v>58.39805101008836</v>
      </c>
      <c r="Q344" s="35">
        <v>2068.0012355996196</v>
      </c>
      <c r="R344" s="13">
        <v>5363.531182865308</v>
      </c>
      <c r="S344" s="57">
        <v>-0.5914857626652006</v>
      </c>
      <c r="T344" s="53">
        <v>280235.69559610984</v>
      </c>
      <c r="U344" s="51">
        <v>51617.31084056651</v>
      </c>
      <c r="V344" s="51">
        <v>-246058.36397777952</v>
      </c>
    </row>
    <row r="345">
      <c r="A345" s="55">
        <v>45133.95997402778</v>
      </c>
      <c r="B345" s="56">
        <v>0.9871940102215987</v>
      </c>
      <c r="C345" s="57">
        <v>0.02851440674878447</v>
      </c>
      <c r="D345" s="58">
        <v>-0.8221272053654777</v>
      </c>
      <c r="E345" s="50">
        <v>25.3</v>
      </c>
      <c r="F345" s="57">
        <v>0.034247718295504326</v>
      </c>
      <c r="G345" s="58">
        <v>-0.5667663635618698</v>
      </c>
      <c r="H345" s="51">
        <v>-54677.7688611505</v>
      </c>
      <c r="I345" s="57">
        <v>-0.029445724866040905</v>
      </c>
      <c r="J345" s="57">
        <v>-1.032661318380616</v>
      </c>
      <c r="K345" s="51">
        <v>107626.173035807</v>
      </c>
      <c r="L345" s="57">
        <v>0.05796013161482538</v>
      </c>
      <c r="M345" s="57">
        <v>2.032661318380616</v>
      </c>
      <c r="N345" s="59">
        <v>-0.005733311546719855</v>
      </c>
      <c r="O345" s="57">
        <v>-0.25536084180360785</v>
      </c>
      <c r="P345" s="51">
        <v>58.39805101008836</v>
      </c>
      <c r="Q345" s="35">
        <v>2092.822299393538</v>
      </c>
      <c r="R345" s="13">
        <v>5363.531182865308</v>
      </c>
      <c r="S345" s="57">
        <v>-0.586582594441188</v>
      </c>
      <c r="T345" s="53">
        <v>280235.69559610984</v>
      </c>
      <c r="U345" s="51">
        <v>52948.404174656505</v>
      </c>
      <c r="V345" s="51">
        <v>-244727.27064368955</v>
      </c>
    </row>
    <row r="346">
      <c r="A346" s="55">
        <v>45132.959975543985</v>
      </c>
      <c r="B346" s="56">
        <v>0.8289390527658453</v>
      </c>
      <c r="C346" s="57">
        <v>-0.0017283160115745266</v>
      </c>
      <c r="D346" s="58">
        <v>-0.8506416121142621</v>
      </c>
      <c r="E346" s="50">
        <v>23.3</v>
      </c>
      <c r="F346" s="57">
        <v>-0.0023973402806852784</v>
      </c>
      <c r="G346" s="58">
        <v>-0.6010140818573741</v>
      </c>
      <c r="H346" s="51">
        <v>-54657.81626369646</v>
      </c>
      <c r="I346" s="57">
        <v>0.0021247237164892328</v>
      </c>
      <c r="J346" s="57">
        <v>-1.2293606622052708</v>
      </c>
      <c r="K346" s="51">
        <v>99118.17516736378</v>
      </c>
      <c r="L346" s="57">
        <v>-0.0038530397280637594</v>
      </c>
      <c r="M346" s="57">
        <v>2.229360662205271</v>
      </c>
      <c r="N346" s="59">
        <v>6.690242691107517E-4</v>
      </c>
      <c r="O346" s="57">
        <v>-0.249627530256888</v>
      </c>
      <c r="P346" s="51">
        <v>58.39805101008836</v>
      </c>
      <c r="Q346" s="35">
        <v>1908.16991002864</v>
      </c>
      <c r="R346" s="13">
        <v>5363.531182865308</v>
      </c>
      <c r="S346" s="57">
        <v>-0.6230589411255639</v>
      </c>
      <c r="T346" s="53">
        <v>280235.69559610984</v>
      </c>
      <c r="U346" s="51">
        <v>44460.358903667315</v>
      </c>
      <c r="V346" s="51">
        <v>-253215.31591467874</v>
      </c>
    </row>
    <row r="347">
      <c r="A347" s="55">
        <v>45131.95996736111</v>
      </c>
      <c r="B347" s="56">
        <v>0.8385312066300835</v>
      </c>
      <c r="C347" s="57">
        <v>-0.017895823802833388</v>
      </c>
      <c r="D347" s="58">
        <v>-0.8489132961026876</v>
      </c>
      <c r="E347" s="50">
        <v>23.44</v>
      </c>
      <c r="F347" s="57">
        <v>-0.021576062526167727</v>
      </c>
      <c r="G347" s="58">
        <v>-0.5986167415766889</v>
      </c>
      <c r="H347" s="51">
        <v>-54683.866025901356</v>
      </c>
      <c r="I347" s="57">
        <v>0.021759119244712244</v>
      </c>
      <c r="J347" s="57">
        <v>-1.2158769266194491</v>
      </c>
      <c r="K347" s="51">
        <v>99658.70256461344</v>
      </c>
      <c r="L347" s="57">
        <v>-0.03965494304754563</v>
      </c>
      <c r="M347" s="57">
        <v>2.2158769266194493</v>
      </c>
      <c r="N347" s="59">
        <v>0.003680238723334339</v>
      </c>
      <c r="O347" s="57">
        <v>-0.25029655452599875</v>
      </c>
      <c r="P347" s="51">
        <v>58.39805101008836</v>
      </c>
      <c r="Q347" s="35">
        <v>1918.7216953375462</v>
      </c>
      <c r="R347" s="13">
        <v>5363.531182865308</v>
      </c>
      <c r="S347" s="57">
        <v>-0.6209745349589794</v>
      </c>
      <c r="T347" s="53">
        <v>280235.69559610984</v>
      </c>
      <c r="U347" s="51">
        <v>44974.83653871209</v>
      </c>
      <c r="V347" s="51">
        <v>-252700.83827963396</v>
      </c>
    </row>
    <row r="348">
      <c r="A348" s="55">
        <v>45130.959973749996</v>
      </c>
      <c r="B348" s="56">
        <v>0.9378530287358087</v>
      </c>
      <c r="C348" s="57">
        <v>-0.008490130258577033</v>
      </c>
      <c r="D348" s="58">
        <v>-0.8310174722998542</v>
      </c>
      <c r="E348" s="50">
        <v>24.7</v>
      </c>
      <c r="F348" s="57">
        <v>-0.010445554080128816</v>
      </c>
      <c r="G348" s="58">
        <v>-0.5770406790505211</v>
      </c>
      <c r="H348" s="51">
        <v>-54713.79502692401</v>
      </c>
      <c r="I348" s="57">
        <v>0.00923476915140763</v>
      </c>
      <c r="J348" s="57">
        <v>-1.0877064155851244</v>
      </c>
      <c r="K348" s="51">
        <v>105015.78299257474</v>
      </c>
      <c r="L348" s="57">
        <v>-0.017724899409984663</v>
      </c>
      <c r="M348" s="57">
        <v>2.0877064155851244</v>
      </c>
      <c r="N348" s="59">
        <v>0.0019554238215517827</v>
      </c>
      <c r="O348" s="57">
        <v>-0.2539767932493331</v>
      </c>
      <c r="P348" s="51">
        <v>58.39805101008836</v>
      </c>
      <c r="Q348" s="35">
        <v>2036.5177314028635</v>
      </c>
      <c r="R348" s="13">
        <v>5363.531182865308</v>
      </c>
      <c r="S348" s="57">
        <v>-0.5977050334684095</v>
      </c>
      <c r="T348" s="53">
        <v>280235.69559610984</v>
      </c>
      <c r="U348" s="51">
        <v>50301.987965650726</v>
      </c>
      <c r="V348" s="51">
        <v>-247373.6868526953</v>
      </c>
    </row>
    <row r="349">
      <c r="A349" s="55">
        <v>45129.959965393515</v>
      </c>
      <c r="B349" s="56">
        <v>0.9849732516709117</v>
      </c>
      <c r="C349" s="57">
        <v>-0.004566915281162598</v>
      </c>
      <c r="D349" s="58">
        <v>-0.8225273420412772</v>
      </c>
      <c r="E349" s="50">
        <v>25.31</v>
      </c>
      <c r="F349" s="57">
        <v>-0.005479634927280652</v>
      </c>
      <c r="G349" s="58">
        <v>-0.5665951249703923</v>
      </c>
      <c r="H349" s="51">
        <v>-54716.47306745269</v>
      </c>
      <c r="I349" s="57">
        <v>0.004730055651966192</v>
      </c>
      <c r="J349" s="57">
        <v>-1.0357222240308481</v>
      </c>
      <c r="K349" s="51">
        <v>107545.76628712102</v>
      </c>
      <c r="L349" s="57">
        <v>-0.00929697093312879</v>
      </c>
      <c r="M349" s="57">
        <v>2.035722224030848</v>
      </c>
      <c r="N349" s="59">
        <v>9.127196461180542E-4</v>
      </c>
      <c r="O349" s="57">
        <v>-0.25593221707088487</v>
      </c>
      <c r="P349" s="51">
        <v>58.39805101008836</v>
      </c>
      <c r="Q349" s="35">
        <v>2087.2893409588437</v>
      </c>
      <c r="R349" s="13">
        <v>5363.531182865308</v>
      </c>
      <c r="S349" s="57">
        <v>-0.5876755784569827</v>
      </c>
      <c r="T349" s="53">
        <v>280235.69559610984</v>
      </c>
      <c r="U349" s="51">
        <v>52829.29321966833</v>
      </c>
      <c r="V349" s="51">
        <v>-244846.38159867772</v>
      </c>
    </row>
    <row r="350">
      <c r="A350" s="55">
        <v>45128.95996020833</v>
      </c>
      <c r="B350" s="56">
        <v>1.0103196314813638</v>
      </c>
      <c r="C350" s="57">
        <v>0.0014265295462552174</v>
      </c>
      <c r="D350" s="58">
        <v>-0.8179604267601146</v>
      </c>
      <c r="E350" s="50">
        <v>25.63</v>
      </c>
      <c r="F350" s="57">
        <v>0.001712385914775183</v>
      </c>
      <c r="G350" s="58">
        <v>-0.5611154900431117</v>
      </c>
      <c r="H350" s="51">
        <v>-54717.63983107956</v>
      </c>
      <c r="I350" s="57">
        <v>-0.0014404526008783224</v>
      </c>
      <c r="J350" s="57">
        <v>-1.0097600885026563</v>
      </c>
      <c r="K350" s="51">
        <v>108906.39263890617</v>
      </c>
      <c r="L350" s="57">
        <v>0.00286698214713354</v>
      </c>
      <c r="M350" s="57">
        <v>2.0097600885026563</v>
      </c>
      <c r="N350" s="59">
        <v>-2.8585636851996554E-4</v>
      </c>
      <c r="O350" s="57">
        <v>-0.2568449367170029</v>
      </c>
      <c r="P350" s="51">
        <v>58.39805101008836</v>
      </c>
      <c r="Q350" s="35">
        <v>2114.2704958184395</v>
      </c>
      <c r="R350" s="13">
        <v>5363.531182865308</v>
      </c>
      <c r="S350" s="57">
        <v>-0.5823457045139027</v>
      </c>
      <c r="T350" s="53">
        <v>280235.69559610984</v>
      </c>
      <c r="U350" s="51">
        <v>54188.752807826604</v>
      </c>
      <c r="V350" s="51">
        <v>-243486.92201051943</v>
      </c>
    </row>
    <row r="351">
      <c r="A351" s="55">
        <v>45127.959972662036</v>
      </c>
      <c r="B351" s="56">
        <v>1.0024023924996477</v>
      </c>
      <c r="C351" s="57">
        <v>-0.016339877937072367</v>
      </c>
      <c r="D351" s="58">
        <v>-0.8193869563063698</v>
      </c>
      <c r="E351" s="50">
        <v>25.53</v>
      </c>
      <c r="F351" s="57">
        <v>-0.02003491520287004</v>
      </c>
      <c r="G351" s="58">
        <v>-0.5628278759578869</v>
      </c>
      <c r="H351" s="51">
        <v>-54717.36533052988</v>
      </c>
      <c r="I351" s="57">
        <v>0.016629589444549408</v>
      </c>
      <c r="J351" s="57">
        <v>-1.0177303348649709</v>
      </c>
      <c r="K351" s="51">
        <v>108481.47499302667</v>
      </c>
      <c r="L351" s="57">
        <v>-0.03296946738162178</v>
      </c>
      <c r="M351" s="57">
        <v>2.017730334864971</v>
      </c>
      <c r="N351" s="59">
        <v>0.0036950372657976738</v>
      </c>
      <c r="O351" s="57">
        <v>-0.25655908034848296</v>
      </c>
      <c r="P351" s="51">
        <v>58.39805101008836</v>
      </c>
      <c r="Q351" s="35">
        <v>2105.9189056990517</v>
      </c>
      <c r="R351" s="13">
        <v>5363.531182865308</v>
      </c>
      <c r="S351" s="57">
        <v>-0.5839954827681043</v>
      </c>
      <c r="T351" s="53">
        <v>280235.69559610984</v>
      </c>
      <c r="U351" s="51">
        <v>53764.10966249679</v>
      </c>
      <c r="V351" s="51">
        <v>-243911.56515584927</v>
      </c>
    </row>
    <row r="352">
      <c r="A352" s="55">
        <v>45126.95997520833</v>
      </c>
      <c r="B352" s="56">
        <v>1.0930887150503992</v>
      </c>
      <c r="C352" s="57">
        <v>0.01965204585195779</v>
      </c>
      <c r="D352" s="58">
        <v>-0.8030470783692975</v>
      </c>
      <c r="E352" s="50">
        <v>26.7</v>
      </c>
      <c r="F352" s="57">
        <v>0.023459687032420407</v>
      </c>
      <c r="G352" s="58">
        <v>-0.5427929607550168</v>
      </c>
      <c r="H352" s="51">
        <v>-54758.38898223288</v>
      </c>
      <c r="I352" s="57">
        <v>-0.01835492679909554</v>
      </c>
      <c r="J352" s="57">
        <v>-0.9339957242806338</v>
      </c>
      <c r="K352" s="51">
        <v>113386.48283609709</v>
      </c>
      <c r="L352" s="57">
        <v>0.03800697265105333</v>
      </c>
      <c r="M352" s="57">
        <v>1.9339957242806338</v>
      </c>
      <c r="N352" s="59">
        <v>-0.0038076411804626176</v>
      </c>
      <c r="O352" s="57">
        <v>-0.26025411761428063</v>
      </c>
      <c r="P352" s="51">
        <v>58.39805101008836</v>
      </c>
      <c r="Q352" s="35">
        <v>2195.808758571693</v>
      </c>
      <c r="R352" s="13">
        <v>5363.531182865308</v>
      </c>
      <c r="S352" s="57">
        <v>-0.566238585887065</v>
      </c>
      <c r="T352" s="53">
        <v>280235.69559610984</v>
      </c>
      <c r="U352" s="51">
        <v>58628.09385386421</v>
      </c>
      <c r="V352" s="51">
        <v>-239047.58096448184</v>
      </c>
    </row>
    <row r="353">
      <c r="A353" s="55">
        <v>45125.95996021991</v>
      </c>
      <c r="B353" s="56">
        <v>0.9840198605720334</v>
      </c>
      <c r="C353" s="57">
        <v>-0.01562499582195609</v>
      </c>
      <c r="D353" s="58">
        <v>-0.8226991242212552</v>
      </c>
      <c r="E353" s="50">
        <v>25.33</v>
      </c>
      <c r="F353" s="57">
        <v>-0.019007483654004842</v>
      </c>
      <c r="G353" s="58">
        <v>-0.5662526477874372</v>
      </c>
      <c r="H353" s="51">
        <v>-54790.36688470609</v>
      </c>
      <c r="I353" s="57">
        <v>0.01622071115476234</v>
      </c>
      <c r="J353" s="57">
        <v>-1.0381257914942388</v>
      </c>
      <c r="K353" s="51">
        <v>107568.52472802768</v>
      </c>
      <c r="L353" s="57">
        <v>-0.03184570697671842</v>
      </c>
      <c r="M353" s="57">
        <v>2.0381257914942386</v>
      </c>
      <c r="N353" s="59">
        <v>0.003382487832048753</v>
      </c>
      <c r="O353" s="57">
        <v>-0.256446476433818</v>
      </c>
      <c r="P353" s="51">
        <v>58.39805101008836</v>
      </c>
      <c r="Q353" s="35">
        <v>2083.6224967754283</v>
      </c>
      <c r="R353" s="13">
        <v>5363.531182865308</v>
      </c>
      <c r="S353" s="57">
        <v>-0.5883999291146259</v>
      </c>
      <c r="T353" s="53">
        <v>280235.69559610984</v>
      </c>
      <c r="U353" s="51">
        <v>52778.15784332159</v>
      </c>
      <c r="V353" s="51">
        <v>-244897.51697502445</v>
      </c>
    </row>
    <row r="354">
      <c r="A354" s="55">
        <v>45124.95999974537</v>
      </c>
      <c r="B354" s="56">
        <v>1.0707385873838895</v>
      </c>
      <c r="C354" s="57">
        <v>-0.016135397185942923</v>
      </c>
      <c r="D354" s="58">
        <v>-0.8070741283992992</v>
      </c>
      <c r="E354" s="50">
        <v>26.44</v>
      </c>
      <c r="F354" s="57">
        <v>-0.019349960836960056</v>
      </c>
      <c r="G354" s="58">
        <v>-0.5472451641334324</v>
      </c>
      <c r="H354" s="51">
        <v>-54787.13404916442</v>
      </c>
      <c r="I354" s="57">
        <v>0.015393040972935274</v>
      </c>
      <c r="J354" s="57">
        <v>-0.9539920706969404</v>
      </c>
      <c r="K354" s="51">
        <v>112216.47306782063</v>
      </c>
      <c r="L354" s="57">
        <v>-0.031528438158878194</v>
      </c>
      <c r="M354" s="57">
        <v>1.9539920706969403</v>
      </c>
      <c r="N354" s="59">
        <v>0.0032145636510171327</v>
      </c>
      <c r="O354" s="57">
        <v>-0.25982896426586677</v>
      </c>
      <c r="P354" s="51">
        <v>58.39805101008836</v>
      </c>
      <c r="Q354" s="35">
        <v>2172.062746545242</v>
      </c>
      <c r="R354" s="13">
        <v>5363.531182865308</v>
      </c>
      <c r="S354" s="57">
        <v>-0.57092938772303</v>
      </c>
      <c r="T354" s="53">
        <v>280235.69559610984</v>
      </c>
      <c r="U354" s="51">
        <v>57429.3390186562</v>
      </c>
      <c r="V354" s="51">
        <v>-240246.33579968984</v>
      </c>
    </row>
    <row r="355">
      <c r="A355" s="55">
        <v>45123.959980960644</v>
      </c>
      <c r="B355" s="56">
        <v>1.1602900417658726</v>
      </c>
      <c r="C355" s="57">
        <v>0.0011151244429891127</v>
      </c>
      <c r="D355" s="58">
        <v>-0.7909387312133562</v>
      </c>
      <c r="E355" s="50">
        <v>27.57</v>
      </c>
      <c r="F355" s="57">
        <v>0.0010274315488651986</v>
      </c>
      <c r="G355" s="58">
        <v>-0.5278952032964723</v>
      </c>
      <c r="H355" s="51">
        <v>-54779.850056590825</v>
      </c>
      <c r="I355" s="57">
        <v>-9.815834921407614E-4</v>
      </c>
      <c r="J355" s="57">
        <v>-0.880245696623426</v>
      </c>
      <c r="K355" s="51">
        <v>117012.30432103462</v>
      </c>
      <c r="L355" s="57">
        <v>0.0020967079351298743</v>
      </c>
      <c r="M355" s="57">
        <v>1.880245696623426</v>
      </c>
      <c r="N355" s="59">
        <v>8.769289412391412E-5</v>
      </c>
      <c r="O355" s="57">
        <v>-0.2630435279168839</v>
      </c>
      <c r="P355" s="51">
        <v>58.39805101008836</v>
      </c>
      <c r="Q355" s="35">
        <v>2257.2526029903443</v>
      </c>
      <c r="R355" s="13">
        <v>5363.531182865308</v>
      </c>
      <c r="S355" s="57">
        <v>-0.5541009310300429</v>
      </c>
      <c r="T355" s="53">
        <v>280235.69559610984</v>
      </c>
      <c r="U355" s="51">
        <v>62232.4542644438</v>
      </c>
      <c r="V355" s="51">
        <v>-235443.22055390224</v>
      </c>
    </row>
    <row r="356">
      <c r="A356" s="55">
        <v>45122.95997295139</v>
      </c>
      <c r="B356" s="56">
        <v>1.1541011011072833</v>
      </c>
      <c r="C356" s="57">
        <v>0.015259752414944372</v>
      </c>
      <c r="D356" s="58">
        <v>-0.7920538556563453</v>
      </c>
      <c r="E356" s="50">
        <v>27.51</v>
      </c>
      <c r="F356" s="57">
        <v>0.018322529288094858</v>
      </c>
      <c r="G356" s="58">
        <v>-0.5289226348453375</v>
      </c>
      <c r="H356" s="51">
        <v>-54788.6834609222</v>
      </c>
      <c r="I356" s="57">
        <v>-0.013506540743791812</v>
      </c>
      <c r="J356" s="57">
        <v>-0.8851087734925775</v>
      </c>
      <c r="K356" s="51">
        <v>116689.1923042928</v>
      </c>
      <c r="L356" s="57">
        <v>0.028766293158736182</v>
      </c>
      <c r="M356" s="57">
        <v>1.8851087734925775</v>
      </c>
      <c r="N356" s="59">
        <v>-0.0030627768731504856</v>
      </c>
      <c r="O356" s="57">
        <v>-0.2631312208110078</v>
      </c>
      <c r="P356" s="51">
        <v>58.39805101008836</v>
      </c>
      <c r="Q356" s="35">
        <v>2250.1093727143075</v>
      </c>
      <c r="R356" s="13">
        <v>5363.531182865308</v>
      </c>
      <c r="S356" s="57">
        <v>-0.5555120091368101</v>
      </c>
      <c r="T356" s="53">
        <v>280235.69559610984</v>
      </c>
      <c r="U356" s="51">
        <v>61900.5088433706</v>
      </c>
      <c r="V356" s="51">
        <v>-235775.16597497545</v>
      </c>
    </row>
    <row r="357">
      <c r="A357" s="55">
        <v>45121.96007939815</v>
      </c>
      <c r="B357" s="56">
        <v>1.0694094752043417</v>
      </c>
      <c r="C357" s="57">
        <v>0.010939217456966466</v>
      </c>
      <c r="D357" s="58">
        <v>-0.8073136080712897</v>
      </c>
      <c r="E357" s="50">
        <v>26.44</v>
      </c>
      <c r="F357" s="57">
        <v>0.013014132952291702</v>
      </c>
      <c r="G357" s="58">
        <v>-0.5472451641334324</v>
      </c>
      <c r="H357" s="51">
        <v>-54792.520574392554</v>
      </c>
      <c r="I357" s="57">
        <v>-0.010449924279787217</v>
      </c>
      <c r="J357" s="57">
        <v>-0.955271647254105</v>
      </c>
      <c r="K357" s="51">
        <v>112150.57232008368</v>
      </c>
      <c r="L357" s="57">
        <v>0.021389141736753683</v>
      </c>
      <c r="M357" s="57">
        <v>1.955271647254105</v>
      </c>
      <c r="N357" s="59">
        <v>-0.0020749154953252358</v>
      </c>
      <c r="O357" s="57">
        <v>-0.26006844393785733</v>
      </c>
      <c r="P357" s="51">
        <v>58.39805101008836</v>
      </c>
      <c r="Q357" s="35">
        <v>2169.366556191041</v>
      </c>
      <c r="R357" s="13">
        <v>5363.531182865308</v>
      </c>
      <c r="S357" s="57">
        <v>-0.5714619948256251</v>
      </c>
      <c r="T357" s="53">
        <v>280235.69559610984</v>
      </c>
      <c r="U357" s="51">
        <v>57358.051745691126</v>
      </c>
      <c r="V357" s="51">
        <v>-240317.6230726549</v>
      </c>
    </row>
    <row r="358">
      <c r="A358" s="55">
        <v>45120.95997784722</v>
      </c>
      <c r="B358" s="56">
        <v>1.008696818318178</v>
      </c>
      <c r="C358" s="57">
        <v>0.05167388791923311</v>
      </c>
      <c r="D358" s="58">
        <v>-0.8182528255282562</v>
      </c>
      <c r="E358" s="50">
        <v>25.68</v>
      </c>
      <c r="F358" s="57">
        <v>0.062330847297817904</v>
      </c>
      <c r="G358" s="58">
        <v>-0.5602592970857241</v>
      </c>
      <c r="H358" s="51">
        <v>-54761.30723187564</v>
      </c>
      <c r="I358" s="57">
        <v>-0.05230388291577035</v>
      </c>
      <c r="J358" s="57">
        <v>-1.012191747551915</v>
      </c>
      <c r="K358" s="51">
        <v>108863.02003907964</v>
      </c>
      <c r="L358" s="57">
        <v>0.10397777083500347</v>
      </c>
      <c r="M358" s="57">
        <v>2.012191747551915</v>
      </c>
      <c r="N358" s="59">
        <v>-0.010656959378584796</v>
      </c>
      <c r="O358" s="57">
        <v>-0.2579935284425321</v>
      </c>
      <c r="P358" s="51">
        <v>58.39805101008836</v>
      </c>
      <c r="Q358" s="35">
        <v>2106.764517414486</v>
      </c>
      <c r="R358" s="13">
        <v>5363.531182865308</v>
      </c>
      <c r="S358" s="57">
        <v>-0.5838284401092</v>
      </c>
      <c r="T358" s="53">
        <v>280235.69559610984</v>
      </c>
      <c r="U358" s="51">
        <v>54101.712807204</v>
      </c>
      <c r="V358" s="51">
        <v>-243573.96201114205</v>
      </c>
    </row>
    <row r="359">
      <c r="A359" s="55">
        <v>45119.95997054398</v>
      </c>
      <c r="B359" s="56">
        <v>0.7219067403664344</v>
      </c>
      <c r="C359" s="57">
        <v>0.002686045926183711</v>
      </c>
      <c r="D359" s="58">
        <v>-0.8699267134474893</v>
      </c>
      <c r="E359" s="50">
        <v>22.04</v>
      </c>
      <c r="F359" s="57">
        <v>0.003596010421027973</v>
      </c>
      <c r="G359" s="58">
        <v>-0.622590144383542</v>
      </c>
      <c r="H359" s="51">
        <v>-54712.62708816601</v>
      </c>
      <c r="I359" s="57">
        <v>-0.003795504773020272</v>
      </c>
      <c r="J359" s="57">
        <v>-1.4130453749958256</v>
      </c>
      <c r="K359" s="51">
        <v>93432.28043852473</v>
      </c>
      <c r="L359" s="57">
        <v>0.006481550699203982</v>
      </c>
      <c r="M359" s="57">
        <v>2.4130453749958254</v>
      </c>
      <c r="N359" s="59">
        <v>-9.09964494844262E-4</v>
      </c>
      <c r="O359" s="57">
        <v>-0.2473365690639473</v>
      </c>
      <c r="P359" s="51">
        <v>58.39805101008836</v>
      </c>
      <c r="Q359" s="35">
        <v>1756.790079417365</v>
      </c>
      <c r="R359" s="13">
        <v>5363.531182865308</v>
      </c>
      <c r="S359" s="57">
        <v>-0.6529626060680588</v>
      </c>
      <c r="T359" s="53">
        <v>280235.69559610984</v>
      </c>
      <c r="U359" s="51">
        <v>38719.65335035872</v>
      </c>
      <c r="V359" s="51">
        <v>-258956.02146798733</v>
      </c>
    </row>
    <row r="360">
      <c r="A360" s="55">
        <v>45118.959973171295</v>
      </c>
      <c r="B360" s="56">
        <v>0.7069991854761145</v>
      </c>
      <c r="C360" s="57">
        <v>0.0031916258291024846</v>
      </c>
      <c r="D360" s="58">
        <v>-0.872612759373673</v>
      </c>
      <c r="E360" s="50">
        <v>21.83</v>
      </c>
      <c r="F360" s="57">
        <v>0.003596010421027862</v>
      </c>
      <c r="G360" s="58">
        <v>-0.62618615480457</v>
      </c>
      <c r="H360" s="51">
        <v>-54621.96264488073</v>
      </c>
      <c r="I360" s="57">
        <v>-0.004597375687611822</v>
      </c>
      <c r="J360" s="57">
        <v>-1.440449455475377</v>
      </c>
      <c r="K360" s="51">
        <v>92542.04546156964</v>
      </c>
      <c r="L360" s="57">
        <v>0.007789001516714307</v>
      </c>
      <c r="M360" s="57">
        <v>2.440449455475377</v>
      </c>
      <c r="N360" s="59">
        <v>-4.0438459192537746E-4</v>
      </c>
      <c r="O360" s="57">
        <v>-0.24642660456910304</v>
      </c>
      <c r="P360" s="51">
        <v>58.39805101008836</v>
      </c>
      <c r="Q360" s="35">
        <v>1737.0628867012783</v>
      </c>
      <c r="R360" s="13">
        <v>5363.531182865308</v>
      </c>
      <c r="S360" s="57">
        <v>-0.6568595278630943</v>
      </c>
      <c r="T360" s="53">
        <v>280235.69559610984</v>
      </c>
      <c r="U360" s="51">
        <v>37920.082816688904</v>
      </c>
      <c r="V360" s="51">
        <v>-259755.59200165715</v>
      </c>
    </row>
    <row r="361">
      <c r="A361" s="55">
        <v>45117.95997707176</v>
      </c>
      <c r="B361" s="56">
        <v>0.689285662124596</v>
      </c>
      <c r="C361" s="57">
        <v>0.005617097014758765</v>
      </c>
      <c r="D361" s="58">
        <v>-0.8758043852027755</v>
      </c>
      <c r="E361" s="50">
        <v>21.62</v>
      </c>
      <c r="F361" s="57">
        <v>0.006849543659100954</v>
      </c>
      <c r="G361" s="58">
        <v>-0.6297821652255978</v>
      </c>
      <c r="H361" s="51">
        <v>-54627.86776604062</v>
      </c>
      <c r="I361" s="57">
        <v>-0.008299970824031304</v>
      </c>
      <c r="J361" s="57">
        <v>-1.4776263970914802</v>
      </c>
      <c r="K361" s="51">
        <v>91597.88121028378</v>
      </c>
      <c r="L361" s="57">
        <v>0.01391706783879007</v>
      </c>
      <c r="M361" s="57">
        <v>2.4776263970914805</v>
      </c>
      <c r="N361" s="59">
        <v>-0.0012324466443421889</v>
      </c>
      <c r="O361" s="57">
        <v>-0.24602221997717766</v>
      </c>
      <c r="P361" s="51">
        <v>58.39805101008836</v>
      </c>
      <c r="Q361" s="35">
        <v>1709.9913711490826</v>
      </c>
      <c r="R361" s="13">
        <v>5363.531182865308</v>
      </c>
      <c r="S361" s="57">
        <v>-0.6622072517130251</v>
      </c>
      <c r="T361" s="53">
        <v>280235.69559610984</v>
      </c>
      <c r="U361" s="51">
        <v>36970.013444243166</v>
      </c>
      <c r="V361" s="51">
        <v>-260705.66137410287</v>
      </c>
    </row>
    <row r="362">
      <c r="A362" s="55">
        <v>45116.95996163195</v>
      </c>
      <c r="B362" s="56">
        <v>0.6581107736926849</v>
      </c>
      <c r="C362" s="57">
        <v>-0.008237736086348035</v>
      </c>
      <c r="D362" s="58">
        <v>-0.8814214822175342</v>
      </c>
      <c r="E362" s="50">
        <v>21.22</v>
      </c>
      <c r="F362" s="57">
        <v>-0.010103076897173824</v>
      </c>
      <c r="G362" s="58">
        <v>-0.6366317088846988</v>
      </c>
      <c r="H362" s="51">
        <v>-54605.253006445964</v>
      </c>
      <c r="I362" s="57">
        <v>0.012743623547836746</v>
      </c>
      <c r="J362" s="57">
        <v>-1.5469812839666082</v>
      </c>
      <c r="K362" s="51">
        <v>89903.1933063007</v>
      </c>
      <c r="L362" s="57">
        <v>-0.02098135963418478</v>
      </c>
      <c r="M362" s="57">
        <v>2.546981283966608</v>
      </c>
      <c r="N362" s="59">
        <v>0.0018653408108257885</v>
      </c>
      <c r="O362" s="57">
        <v>-0.24478977333283547</v>
      </c>
      <c r="P362" s="51">
        <v>58.39805101008836</v>
      </c>
      <c r="Q362" s="35">
        <v>1663.4279123399972</v>
      </c>
      <c r="R362" s="13">
        <v>5363.531182865308</v>
      </c>
      <c r="S362" s="57">
        <v>-0.6714054260349802</v>
      </c>
      <c r="T362" s="53">
        <v>280235.69559610984</v>
      </c>
      <c r="U362" s="51">
        <v>35297.94029985474</v>
      </c>
      <c r="V362" s="51">
        <v>-262377.7345184913</v>
      </c>
    </row>
    <row r="363">
      <c r="A363" s="55">
        <v>45115.960075509254</v>
      </c>
      <c r="B363" s="56">
        <v>0.7038302089719162</v>
      </c>
      <c r="C363" s="57">
        <v>0.005853349522825235</v>
      </c>
      <c r="D363" s="58">
        <v>-0.8731837461311862</v>
      </c>
      <c r="E363" s="50">
        <v>21.81</v>
      </c>
      <c r="F363" s="57">
        <v>0.007020782250578339</v>
      </c>
      <c r="G363" s="58">
        <v>-0.626528631987525</v>
      </c>
      <c r="H363" s="51">
        <v>-54598.46397773418</v>
      </c>
      <c r="I363" s="57">
        <v>-0.008465772938022262</v>
      </c>
      <c r="J363" s="57">
        <v>-1.4463125608696077</v>
      </c>
      <c r="K363" s="51">
        <v>92348.577926068</v>
      </c>
      <c r="L363" s="57">
        <v>0.014319122460847496</v>
      </c>
      <c r="M363" s="57">
        <v>2.4463125608696075</v>
      </c>
      <c r="N363" s="59">
        <v>-0.0011674327277531038</v>
      </c>
      <c r="O363" s="57">
        <v>-0.24665511414366126</v>
      </c>
      <c r="P363" s="51">
        <v>58.39805101008836</v>
      </c>
      <c r="Q363" s="35">
        <v>1730.8626294513444</v>
      </c>
      <c r="R363" s="13">
        <v>5363.531182865308</v>
      </c>
      <c r="S363" s="57">
        <v>-0.658084330497703</v>
      </c>
      <c r="T363" s="53">
        <v>280235.69559610984</v>
      </c>
      <c r="U363" s="51">
        <v>37750.11394833382</v>
      </c>
      <c r="V363" s="51">
        <v>-259925.5608700122</v>
      </c>
    </row>
    <row r="364">
      <c r="A364" s="55">
        <v>45114.9599678588</v>
      </c>
      <c r="B364" s="56">
        <v>0.6713441191202366</v>
      </c>
      <c r="C364" s="57">
        <v>0.013778261347734633</v>
      </c>
      <c r="D364" s="58">
        <v>-0.8790370956540114</v>
      </c>
      <c r="E364" s="50">
        <v>21.4</v>
      </c>
      <c r="F364" s="57">
        <v>0.016610143373319675</v>
      </c>
      <c r="G364" s="58">
        <v>-0.6335494142381033</v>
      </c>
      <c r="H364" s="51">
        <v>-54604.82904034648</v>
      </c>
      <c r="I364" s="57">
        <v>-0.02089440061711281</v>
      </c>
      <c r="J364" s="57">
        <v>-1.516475852052856</v>
      </c>
      <c r="K364" s="51">
        <v>90612.54321952567</v>
      </c>
      <c r="L364" s="57">
        <v>0.034672661964847445</v>
      </c>
      <c r="M364" s="57">
        <v>2.516475852052856</v>
      </c>
      <c r="N364" s="59">
        <v>-0.002831882025585042</v>
      </c>
      <c r="O364" s="57">
        <v>-0.24548768141590815</v>
      </c>
      <c r="P364" s="51">
        <v>58.39805101008836</v>
      </c>
      <c r="Q364" s="35">
        <v>1682.603466316785</v>
      </c>
      <c r="R364" s="13">
        <v>5363.531182865308</v>
      </c>
      <c r="S364" s="57">
        <v>-0.667617475296146</v>
      </c>
      <c r="T364" s="53">
        <v>280235.69559610984</v>
      </c>
      <c r="U364" s="51">
        <v>36007.714179179195</v>
      </c>
      <c r="V364" s="51">
        <v>-261667.96063916685</v>
      </c>
    </row>
    <row r="365">
      <c r="A365" s="55">
        <v>45113.95997199074</v>
      </c>
      <c r="B365" s="56">
        <v>0.594874768640309</v>
      </c>
      <c r="C365" s="57">
        <v>0.025235403613593554</v>
      </c>
      <c r="D365" s="58">
        <v>-0.8928153570017461</v>
      </c>
      <c r="E365" s="50">
        <v>20.43</v>
      </c>
      <c r="F365" s="57">
        <v>0.028596844776746178</v>
      </c>
      <c r="G365" s="58">
        <v>-0.650159557611423</v>
      </c>
      <c r="H365" s="51">
        <v>-54548.02515682835</v>
      </c>
      <c r="I365" s="57">
        <v>-0.04314330137196661</v>
      </c>
      <c r="J365" s="57">
        <v>-1.7096338950064034</v>
      </c>
      <c r="K365" s="51">
        <v>86454.28609149708</v>
      </c>
      <c r="L365" s="57">
        <v>0.06837870498556017</v>
      </c>
      <c r="M365" s="57">
        <v>2.7096338950064034</v>
      </c>
      <c r="N365" s="59">
        <v>-0.003361441163152623</v>
      </c>
      <c r="O365" s="57">
        <v>-0.2426557993903231</v>
      </c>
      <c r="P365" s="51">
        <v>58.39805101008836</v>
      </c>
      <c r="Q365" s="35">
        <v>1561.7357285691987</v>
      </c>
      <c r="R365" s="13">
        <v>5363.531182865308</v>
      </c>
      <c r="S365" s="57">
        <v>-0.6914937626282572</v>
      </c>
      <c r="T365" s="53">
        <v>280235.69559610984</v>
      </c>
      <c r="U365" s="51">
        <v>31906.26093466873</v>
      </c>
      <c r="V365" s="51">
        <v>-265769.41388367733</v>
      </c>
    </row>
    <row r="366">
      <c r="A366" s="55">
        <v>45112.96007108796</v>
      </c>
      <c r="B366" s="56">
        <v>0.45481827858486534</v>
      </c>
      <c r="C366" s="57">
        <v>-0.009202513692817771</v>
      </c>
      <c r="D366" s="58">
        <v>-0.9180507606153396</v>
      </c>
      <c r="E366" s="50">
        <v>18.76</v>
      </c>
      <c r="F366" s="57">
        <v>-0.01164422422047151</v>
      </c>
      <c r="G366" s="58">
        <v>-0.6787564023881691</v>
      </c>
      <c r="H366" s="51">
        <v>-54755.23582298538</v>
      </c>
      <c r="I366" s="57">
        <v>0.020655887150359355</v>
      </c>
      <c r="J366" s="57">
        <v>-2.24459184086632</v>
      </c>
      <c r="K366" s="51">
        <v>79149.53095766435</v>
      </c>
      <c r="L366" s="57">
        <v>-0.029858400843177126</v>
      </c>
      <c r="M366" s="57">
        <v>3.24459184086632</v>
      </c>
      <c r="N366" s="59">
        <v>0.00244171052765374</v>
      </c>
      <c r="O366" s="57">
        <v>-0.2392943582271705</v>
      </c>
      <c r="P366" s="51">
        <v>58.39805101008836</v>
      </c>
      <c r="Q366" s="35">
        <v>1300.3355615500516</v>
      </c>
      <c r="R366" s="13">
        <v>5363.531182865308</v>
      </c>
      <c r="S366" s="57">
        <v>-0.7431309125635441</v>
      </c>
      <c r="T366" s="53">
        <v>280235.69559610984</v>
      </c>
      <c r="U366" s="51">
        <v>24394.29513467897</v>
      </c>
      <c r="V366" s="51">
        <v>-273281.3796836671</v>
      </c>
    </row>
    <row r="367">
      <c r="A367" s="55">
        <v>45111.95996807871</v>
      </c>
      <c r="B367" s="56">
        <v>0.5058922295800037</v>
      </c>
      <c r="C367" s="57">
        <v>0.004881359677723074</v>
      </c>
      <c r="D367" s="58">
        <v>-0.9088482469225219</v>
      </c>
      <c r="E367" s="50">
        <v>19.44</v>
      </c>
      <c r="F367" s="57">
        <v>0.005822112110235755</v>
      </c>
      <c r="G367" s="58">
        <v>-0.6671121781676976</v>
      </c>
      <c r="H367" s="51">
        <v>-55082.719137218905</v>
      </c>
      <c r="I367" s="57">
        <v>-0.00990941023135611</v>
      </c>
      <c r="J367" s="57">
        <v>-2.0300512327701257</v>
      </c>
      <c r="K367" s="51">
        <v>82216.37874543246</v>
      </c>
      <c r="L367" s="57">
        <v>0.014790769909079184</v>
      </c>
      <c r="M367" s="57">
        <v>3.0300512327701257</v>
      </c>
      <c r="N367" s="59">
        <v>-9.407524325126815E-4</v>
      </c>
      <c r="O367" s="57">
        <v>-0.24173606875482423</v>
      </c>
      <c r="P367" s="51">
        <v>58.39805101008836</v>
      </c>
      <c r="Q367" s="35">
        <v>1395.7643831385574</v>
      </c>
      <c r="R367" s="13">
        <v>5363.531182865308</v>
      </c>
      <c r="S367" s="57">
        <v>-0.724279844392067</v>
      </c>
      <c r="T367" s="53">
        <v>280235.69559610984</v>
      </c>
      <c r="U367" s="51">
        <v>27133.65960821356</v>
      </c>
      <c r="V367" s="51">
        <v>-270542.01521013246</v>
      </c>
    </row>
    <row r="368">
      <c r="A368" s="55">
        <v>45110.95996045139</v>
      </c>
      <c r="B368" s="56">
        <v>0.47880068336864035</v>
      </c>
      <c r="C368" s="57">
        <v>-0.005431146885819804</v>
      </c>
      <c r="D368" s="58">
        <v>-0.9137296066002449</v>
      </c>
      <c r="E368" s="50">
        <v>19.1</v>
      </c>
      <c r="F368" s="57">
        <v>-0.006507066476145851</v>
      </c>
      <c r="G368" s="58">
        <v>-0.6729342902779334</v>
      </c>
      <c r="H368" s="51">
        <v>-55097.8403927891</v>
      </c>
      <c r="I368" s="57">
        <v>0.01165255066298028</v>
      </c>
      <c r="J368" s="57">
        <v>-2.1455046066612478</v>
      </c>
      <c r="K368" s="51">
        <v>80778.43796490536</v>
      </c>
      <c r="L368" s="57">
        <v>-0.017083697548800084</v>
      </c>
      <c r="M368" s="57">
        <v>3.1455046066612478</v>
      </c>
      <c r="N368" s="59">
        <v>0.0010759195903260466</v>
      </c>
      <c r="O368" s="57">
        <v>-0.24079531632231155</v>
      </c>
      <c r="P368" s="51">
        <v>58.39805101008836</v>
      </c>
      <c r="Q368" s="35">
        <v>1344.5339042992805</v>
      </c>
      <c r="R368" s="13">
        <v>5363.531182865308</v>
      </c>
      <c r="S368" s="57">
        <v>-0.7343999447242391</v>
      </c>
      <c r="T368" s="53">
        <v>280235.69559610984</v>
      </c>
      <c r="U368" s="51">
        <v>25680.59757211626</v>
      </c>
      <c r="V368" s="51">
        <v>-271995.0772462298</v>
      </c>
    </row>
    <row r="369">
      <c r="A369" s="55">
        <v>45109.95996047454</v>
      </c>
      <c r="B369" s="56">
        <v>0.5089435485849404</v>
      </c>
      <c r="C369" s="57">
        <v>0.015795511480580116</v>
      </c>
      <c r="D369" s="58">
        <v>-0.9082984597144251</v>
      </c>
      <c r="E369" s="50">
        <v>19.48</v>
      </c>
      <c r="F369" s="57">
        <v>0.018836245062527346</v>
      </c>
      <c r="G369" s="58">
        <v>-0.6664272238017875</v>
      </c>
      <c r="H369" s="51">
        <v>-55088.1364420149</v>
      </c>
      <c r="I369" s="57">
        <v>-0.03187658564973678</v>
      </c>
      <c r="J369" s="57">
        <v>-2.018078723751848</v>
      </c>
      <c r="K369" s="51">
        <v>82385.45432840513</v>
      </c>
      <c r="L369" s="57">
        <v>0.04767209713031689</v>
      </c>
      <c r="M369" s="57">
        <v>3.018078723751848</v>
      </c>
      <c r="N369" s="59">
        <v>-0.0030407335819472303</v>
      </c>
      <c r="O369" s="57">
        <v>-0.2418712359126376</v>
      </c>
      <c r="P369" s="51">
        <v>58.39805101008836</v>
      </c>
      <c r="Q369" s="35">
        <v>1401.299686159663</v>
      </c>
      <c r="R369" s="13">
        <v>5363.531182865308</v>
      </c>
      <c r="S369" s="57">
        <v>-0.7231863972252291</v>
      </c>
      <c r="T369" s="53">
        <v>280235.69559610984</v>
      </c>
      <c r="U369" s="51">
        <v>27297.317886390236</v>
      </c>
      <c r="V369" s="51">
        <v>-270378.3569319558</v>
      </c>
    </row>
    <row r="370">
      <c r="A370" s="55">
        <v>45108.95997243056</v>
      </c>
      <c r="B370" s="56">
        <v>0.42127845986772083</v>
      </c>
      <c r="C370" s="57">
        <v>-0.01035047677108325</v>
      </c>
      <c r="D370" s="58">
        <v>-0.9240939711950052</v>
      </c>
      <c r="E370" s="50">
        <v>18.38</v>
      </c>
      <c r="F370" s="57">
        <v>-0.012500417177859102</v>
      </c>
      <c r="G370" s="58">
        <v>-0.6852634688643149</v>
      </c>
      <c r="H370" s="51">
        <v>-55092.090342393545</v>
      </c>
      <c r="I370" s="57">
        <v>0.025236550262381887</v>
      </c>
      <c r="J370" s="57">
        <v>-2.438201719643172</v>
      </c>
      <c r="K370" s="51">
        <v>77687.46868970117</v>
      </c>
      <c r="L370" s="57">
        <v>-0.035587027033465134</v>
      </c>
      <c r="M370" s="57">
        <v>3.438201719643172</v>
      </c>
      <c r="N370" s="59">
        <v>0.002149940406775852</v>
      </c>
      <c r="O370" s="57">
        <v>-0.23883050233069036</v>
      </c>
      <c r="P370" s="51">
        <v>58.39805101008836</v>
      </c>
      <c r="Q370" s="35">
        <v>1229.3459383736467</v>
      </c>
      <c r="R370" s="13">
        <v>5363.531182865308</v>
      </c>
      <c r="S370" s="57">
        <v>-0.7571542464336446</v>
      </c>
      <c r="T370" s="53">
        <v>280235.69559610984</v>
      </c>
      <c r="U370" s="51">
        <v>22595.378347307626</v>
      </c>
      <c r="V370" s="51">
        <v>-275080.2964710384</v>
      </c>
    </row>
    <row r="371">
      <c r="A371" s="55">
        <v>45107.95997548611</v>
      </c>
      <c r="B371" s="56">
        <v>0.47872360594723296</v>
      </c>
      <c r="C371" s="57">
        <v>0.020233692382562007</v>
      </c>
      <c r="D371" s="58">
        <v>-0.913743494423922</v>
      </c>
      <c r="E371" s="50">
        <v>19.11</v>
      </c>
      <c r="F371" s="57">
        <v>0.02431587998980811</v>
      </c>
      <c r="G371" s="58">
        <v>-0.6727630516864558</v>
      </c>
      <c r="H371" s="51">
        <v>-55096.52488799713</v>
      </c>
      <c r="I371" s="57">
        <v>-0.04341743307921421</v>
      </c>
      <c r="J371" s="57">
        <v>-2.1457988121156095</v>
      </c>
      <c r="K371" s="51">
        <v>80772.98839282859</v>
      </c>
      <c r="L371" s="57">
        <v>0.06365112546177622</v>
      </c>
      <c r="M371" s="57">
        <v>3.1457988121156095</v>
      </c>
      <c r="N371" s="59">
        <v>-0.004082187607246102</v>
      </c>
      <c r="O371" s="57">
        <v>-0.24098044273746622</v>
      </c>
      <c r="P371" s="51">
        <v>58.39805101008836</v>
      </c>
      <c r="Q371" s="35">
        <v>1343.6139981596784</v>
      </c>
      <c r="R371" s="13">
        <v>5363.531182865308</v>
      </c>
      <c r="S371" s="57">
        <v>-0.7345816635494361</v>
      </c>
      <c r="T371" s="53">
        <v>280235.69559610984</v>
      </c>
      <c r="U371" s="51">
        <v>25676.463504831452</v>
      </c>
      <c r="V371" s="51">
        <v>-271999.2113135146</v>
      </c>
    </row>
    <row r="372">
      <c r="A372" s="55">
        <v>45106.96008258102</v>
      </c>
      <c r="B372" s="56">
        <v>0.36642661322401354</v>
      </c>
      <c r="C372" s="57">
        <v>0.023479296104327196</v>
      </c>
      <c r="D372" s="58">
        <v>-0.933977186806484</v>
      </c>
      <c r="E372" s="50">
        <v>17.69</v>
      </c>
      <c r="F372" s="57">
        <v>0.028254367593791074</v>
      </c>
      <c r="G372" s="58">
        <v>-0.6970789316762639</v>
      </c>
      <c r="H372" s="51">
        <v>-55073.60336889698</v>
      </c>
      <c r="I372" s="57">
        <v>-0.06579474274052005</v>
      </c>
      <c r="J372" s="57">
        <v>-2.8022451119560685</v>
      </c>
      <c r="K372" s="51">
        <v>74726.98883968244</v>
      </c>
      <c r="L372" s="57">
        <v>0.08927403884484725</v>
      </c>
      <c r="M372" s="57">
        <v>3.8022451119560685</v>
      </c>
      <c r="N372" s="59">
        <v>-0.004775071489463878</v>
      </c>
      <c r="O372" s="57">
        <v>-0.23689825513022011</v>
      </c>
      <c r="P372" s="51">
        <v>58.39805101008836</v>
      </c>
      <c r="Q372" s="35">
        <v>1110.9884381450233</v>
      </c>
      <c r="R372" s="13">
        <v>5363.531182865308</v>
      </c>
      <c r="S372" s="57">
        <v>-0.7805346599007237</v>
      </c>
      <c r="T372" s="53">
        <v>280235.69559610984</v>
      </c>
      <c r="U372" s="51">
        <v>19653.385470785463</v>
      </c>
      <c r="V372" s="51">
        <v>-278022.2893475606</v>
      </c>
    </row>
    <row r="373">
      <c r="A373" s="55">
        <v>45105.95996284722</v>
      </c>
      <c r="B373" s="56">
        <v>0.2361165198449979</v>
      </c>
      <c r="C373" s="57">
        <v>-0.011663359597740897</v>
      </c>
      <c r="D373" s="58">
        <v>-0.9574564829108112</v>
      </c>
      <c r="E373" s="50">
        <v>16.04</v>
      </c>
      <c r="F373" s="57">
        <v>-0.01438404168411167</v>
      </c>
      <c r="G373" s="58">
        <v>-0.725333299270055</v>
      </c>
      <c r="H373" s="51">
        <v>-55092.78358311563</v>
      </c>
      <c r="I373" s="57">
        <v>0.05073896971689701</v>
      </c>
      <c r="J373" s="57">
        <v>-4.350287692983826</v>
      </c>
      <c r="K373" s="51">
        <v>67756.95374178575</v>
      </c>
      <c r="L373" s="57">
        <v>-0.062402329314637905</v>
      </c>
      <c r="M373" s="57">
        <v>5.350287692983826</v>
      </c>
      <c r="N373" s="59">
        <v>0.0027206820863707737</v>
      </c>
      <c r="O373" s="57">
        <v>-0.23212318364075624</v>
      </c>
      <c r="P373" s="51">
        <v>58.39805101008836</v>
      </c>
      <c r="Q373" s="35">
        <v>789.5367929345459</v>
      </c>
      <c r="R373" s="13">
        <v>5363.531182865308</v>
      </c>
      <c r="S373" s="57">
        <v>-0.8440344158112172</v>
      </c>
      <c r="T373" s="53">
        <v>280235.69559610984</v>
      </c>
      <c r="U373" s="51">
        <v>12664.170158670117</v>
      </c>
      <c r="V373" s="51">
        <v>-285011.50465967593</v>
      </c>
    </row>
    <row r="374">
      <c r="A374" s="55">
        <v>45104.95995645833</v>
      </c>
      <c r="B374" s="56">
        <v>0.3008481656124597</v>
      </c>
      <c r="C374" s="57">
        <v>0.009980201160981639</v>
      </c>
      <c r="D374" s="58">
        <v>-0.9457931233130703</v>
      </c>
      <c r="E374" s="50">
        <v>16.88</v>
      </c>
      <c r="F374" s="57">
        <v>0.011986701403426503</v>
      </c>
      <c r="G374" s="58">
        <v>-0.7109492575859433</v>
      </c>
      <c r="H374" s="51">
        <v>-55127.14694369166</v>
      </c>
      <c r="I374" s="57">
        <v>-0.03409628637868234</v>
      </c>
      <c r="J374" s="57">
        <v>-3.4163926987748887</v>
      </c>
      <c r="K374" s="51">
        <v>71263.21554126832</v>
      </c>
      <c r="L374" s="57">
        <v>0.04407648753966398</v>
      </c>
      <c r="M374" s="57">
        <v>4.416392698774889</v>
      </c>
      <c r="N374" s="59">
        <v>-0.002006500242444864</v>
      </c>
      <c r="O374" s="57">
        <v>-0.234843865727127</v>
      </c>
      <c r="P374" s="51">
        <v>58.39805101008836</v>
      </c>
      <c r="Q374" s="35">
        <v>955.9282344535937</v>
      </c>
      <c r="R374" s="13">
        <v>5363.531182865308</v>
      </c>
      <c r="S374" s="57">
        <v>-0.811165348007453</v>
      </c>
      <c r="T374" s="53">
        <v>280235.69559610984</v>
      </c>
      <c r="U374" s="51">
        <v>16136.068597576661</v>
      </c>
      <c r="V374" s="51">
        <v>-281539.6062207694</v>
      </c>
    </row>
    <row r="375">
      <c r="A375" s="55">
        <v>45103.95997707176</v>
      </c>
      <c r="B375" s="56">
        <v>0.2454580491690119</v>
      </c>
      <c r="C375" s="57">
        <v>-0.010855235771430105</v>
      </c>
      <c r="D375" s="58">
        <v>-0.9557733244740519</v>
      </c>
      <c r="E375" s="50">
        <v>16.18</v>
      </c>
      <c r="F375" s="57">
        <v>-0.013014132952291702</v>
      </c>
      <c r="G375" s="58">
        <v>-0.7229359589893698</v>
      </c>
      <c r="H375" s="51">
        <v>-55099.15543975015</v>
      </c>
      <c r="I375" s="57">
        <v>0.0454314460883822</v>
      </c>
      <c r="J375" s="57">
        <v>-4.185210440841204</v>
      </c>
      <c r="K375" s="51">
        <v>68264.36092190878</v>
      </c>
      <c r="L375" s="57">
        <v>-0.0562866818598123</v>
      </c>
      <c r="M375" s="57">
        <v>5.185210440841204</v>
      </c>
      <c r="N375" s="59">
        <v>0.0021588971808615964</v>
      </c>
      <c r="O375" s="57">
        <v>-0.23283736548468215</v>
      </c>
      <c r="P375" s="51">
        <v>58.39805101008836</v>
      </c>
      <c r="Q375" s="35">
        <v>813.6715378342786</v>
      </c>
      <c r="R375" s="13">
        <v>5363.531182865308</v>
      </c>
      <c r="S375" s="57">
        <v>-0.8392668234441238</v>
      </c>
      <c r="T375" s="53">
        <v>280235.69559610984</v>
      </c>
      <c r="U375" s="51">
        <v>13165.205482158628</v>
      </c>
      <c r="V375" s="51">
        <v>-284510.4693361874</v>
      </c>
    </row>
    <row r="376">
      <c r="A376" s="55">
        <v>45102.959961307875</v>
      </c>
      <c r="B376" s="56">
        <v>0.30570460770044877</v>
      </c>
      <c r="C376" s="57">
        <v>0.005333047361672061</v>
      </c>
      <c r="D376" s="58">
        <v>-0.9449180887026218</v>
      </c>
      <c r="E376" s="50">
        <v>16.94</v>
      </c>
      <c r="F376" s="57">
        <v>0.0061645892931907476</v>
      </c>
      <c r="G376" s="58">
        <v>-0.7099218260370781</v>
      </c>
      <c r="H376" s="51">
        <v>-55074.300002756616</v>
      </c>
      <c r="I376" s="57">
        <v>-0.017913154768429793</v>
      </c>
      <c r="J376" s="57">
        <v>-3.3588966220644085</v>
      </c>
      <c r="K376" s="51">
        <v>71470.84511848794</v>
      </c>
      <c r="L376" s="57">
        <v>0.023246202130101853</v>
      </c>
      <c r="M376" s="57">
        <v>4.3588966220644085</v>
      </c>
      <c r="N376" s="59">
        <v>-8.315419315186867E-4</v>
      </c>
      <c r="O376" s="57">
        <v>-0.23499626266554374</v>
      </c>
      <c r="P376" s="51">
        <v>58.39805101008836</v>
      </c>
      <c r="Q376" s="35">
        <v>967.9188380006683</v>
      </c>
      <c r="R376" s="13">
        <v>5363.531182865308</v>
      </c>
      <c r="S376" s="57">
        <v>-0.8087967168002301</v>
      </c>
      <c r="T376" s="53">
        <v>280235.69559610984</v>
      </c>
      <c r="U376" s="51">
        <v>16396.545115731322</v>
      </c>
      <c r="V376" s="51">
        <v>-281279.12970261474</v>
      </c>
    </row>
    <row r="377">
      <c r="A377" s="55">
        <v>45101.959958472224</v>
      </c>
      <c r="B377" s="56">
        <v>0.2761061948431686</v>
      </c>
      <c r="C377" s="57">
        <v>-0.007867149695427678</v>
      </c>
      <c r="D377" s="58">
        <v>-0.9502511360642939</v>
      </c>
      <c r="E377" s="50">
        <v>16.58</v>
      </c>
      <c r="F377" s="57">
        <v>-0.009418122531263728</v>
      </c>
      <c r="G377" s="58">
        <v>-0.7160864153302688</v>
      </c>
      <c r="H377" s="51">
        <v>-55101.507539758844</v>
      </c>
      <c r="I377" s="57">
        <v>0.029272133725890253</v>
      </c>
      <c r="J377" s="57">
        <v>-3.720805483452663</v>
      </c>
      <c r="K377" s="51">
        <v>69910.53418326622</v>
      </c>
      <c r="L377" s="57">
        <v>-0.03713928342131793</v>
      </c>
      <c r="M377" s="57">
        <v>4.720805483452663</v>
      </c>
      <c r="N377" s="59">
        <v>0.0015509728358360508</v>
      </c>
      <c r="O377" s="57">
        <v>-0.23416472073402506</v>
      </c>
      <c r="P377" s="51">
        <v>58.39805101008836</v>
      </c>
      <c r="Q377" s="35">
        <v>893.1861666771641</v>
      </c>
      <c r="R377" s="13">
        <v>5363.531182865308</v>
      </c>
      <c r="S377" s="57">
        <v>-0.8235594547058782</v>
      </c>
      <c r="T377" s="53">
        <v>280235.69559610984</v>
      </c>
      <c r="U377" s="51">
        <v>14809.026643507379</v>
      </c>
      <c r="V377" s="51">
        <v>-282866.6481748387</v>
      </c>
    </row>
    <row r="378">
      <c r="A378" s="55">
        <v>45100.95996666666</v>
      </c>
      <c r="B378" s="56">
        <v>0.3197688756527927</v>
      </c>
      <c r="C378" s="57">
        <v>0.005775356148663313</v>
      </c>
      <c r="D378" s="58">
        <v>-0.9423839863688662</v>
      </c>
      <c r="E378" s="50">
        <v>17.13</v>
      </c>
      <c r="F378" s="57">
        <v>0.0059933507017133625</v>
      </c>
      <c r="G378" s="58">
        <v>-0.7066682927990051</v>
      </c>
      <c r="H378" s="51">
        <v>-55078.75542964194</v>
      </c>
      <c r="I378" s="57">
        <v>-0.01854711375790266</v>
      </c>
      <c r="J378" s="57">
        <v>-3.2114233790058693</v>
      </c>
      <c r="K378" s="51">
        <v>72229.64116763273</v>
      </c>
      <c r="L378" s="57">
        <v>0.024322469906565974</v>
      </c>
      <c r="M378" s="57">
        <v>4.211423379005869</v>
      </c>
      <c r="N378" s="59">
        <v>-2.1799455305004933E-4</v>
      </c>
      <c r="O378" s="57">
        <v>-0.2357156935698611</v>
      </c>
      <c r="P378" s="51">
        <v>58.39805101008836</v>
      </c>
      <c r="Q378" s="35">
        <v>1001.2192491529939</v>
      </c>
      <c r="R378" s="13">
        <v>5363.531182865308</v>
      </c>
      <c r="S378" s="57">
        <v>-0.8022185330783604</v>
      </c>
      <c r="T378" s="53">
        <v>280235.69559610984</v>
      </c>
      <c r="U378" s="51">
        <v>17150.885737990786</v>
      </c>
      <c r="V378" s="51">
        <v>-280524.78908035526</v>
      </c>
    </row>
    <row r="379">
      <c r="A379" s="55">
        <v>45099.9599831713</v>
      </c>
      <c r="B379" s="48">
        <v>0.287715649027711</v>
      </c>
      <c r="C379" s="57">
        <v>1.9858227109370574E-5</v>
      </c>
      <c r="D379" s="49">
        <v>-0.9481593425175295</v>
      </c>
      <c r="E379" s="50">
        <v>16.78</v>
      </c>
      <c r="F379" s="57">
        <v>-0.004623441969893172</v>
      </c>
      <c r="G379" s="58">
        <v>-0.7126616435007185</v>
      </c>
      <c r="H379" s="51">
        <v>-55111.315207154155</v>
      </c>
      <c r="I379" s="7">
        <v>-0.0010062474663299229</v>
      </c>
      <c r="J379" s="7">
        <v>-3.551894491636477</v>
      </c>
      <c r="K379" s="51">
        <v>70627.34906934315</v>
      </c>
      <c r="L379" s="7">
        <v>0.0012895462717137254</v>
      </c>
      <c r="M379" s="7">
        <v>4.551894491636477</v>
      </c>
      <c r="N379" s="52">
        <v>7.970145798162909E-4</v>
      </c>
      <c r="O379" s="7">
        <v>-0.23470068443699477</v>
      </c>
      <c r="P379" s="53">
        <v>58.39805101008836</v>
      </c>
      <c r="Q379" s="54">
        <v>926.3303798321789</v>
      </c>
      <c r="R379" s="13">
        <v>5363.531182865308</v>
      </c>
      <c r="S379" s="7">
        <v>-0.8170121264325675</v>
      </c>
      <c r="T379" s="53">
        <v>280235.69559610984</v>
      </c>
      <c r="U379" s="53">
        <v>15516.033862188997</v>
      </c>
      <c r="V379" s="53">
        <v>-282159.64095615706</v>
      </c>
    </row>
    <row r="380">
      <c r="A380" s="55">
        <v>45098.95997369213</v>
      </c>
      <c r="B380" s="56">
        <v>0.3042834237668448</v>
      </c>
      <c r="C380" s="57">
        <v>0.024411983740539878</v>
      </c>
      <c r="D380" s="58">
        <v>-0.9451741578798478</v>
      </c>
      <c r="E380" s="50">
        <v>17.05</v>
      </c>
      <c r="F380" s="57">
        <v>0.027911890410836082</v>
      </c>
      <c r="G380" s="58">
        <v>-0.7080382015308253</v>
      </c>
      <c r="H380" s="51">
        <v>-55576.44137912203</v>
      </c>
      <c r="I380" s="57">
        <v>-0.08313141045417101</v>
      </c>
      <c r="J380" s="57">
        <v>-3.4053525243062666</v>
      </c>
      <c r="K380" s="51">
        <v>71896.76092972244</v>
      </c>
      <c r="L380" s="57">
        <v>0.10754339419471089</v>
      </c>
      <c r="M380" s="57">
        <v>4.405352524306267</v>
      </c>
      <c r="N380" s="59">
        <v>-0.0034999066702962045</v>
      </c>
      <c r="O380" s="57">
        <v>-0.23713595634902251</v>
      </c>
      <c r="P380" s="51">
        <v>58.39805101008836</v>
      </c>
      <c r="Q380" s="35">
        <v>957.2034927038364</v>
      </c>
      <c r="R380" s="13">
        <v>5363.531182865308</v>
      </c>
      <c r="S380" s="57">
        <v>-0.8109134327075321</v>
      </c>
      <c r="T380" s="53">
        <v>280235.69559610984</v>
      </c>
      <c r="U380" s="51">
        <v>16320.319550600412</v>
      </c>
      <c r="V380" s="51">
        <v>-281355.3552677456</v>
      </c>
    </row>
    <row r="381">
      <c r="A381" s="55">
        <v>45097.95996954861</v>
      </c>
      <c r="B381" s="56">
        <v>0.1687969140068484</v>
      </c>
      <c r="C381" s="57">
        <v>1.9858227109370574E-5</v>
      </c>
      <c r="D381" s="58">
        <v>-0.9695861416203877</v>
      </c>
      <c r="E381" s="50">
        <v>15.42</v>
      </c>
      <c r="F381" s="57">
        <v>0.0</v>
      </c>
      <c r="G381" s="58">
        <v>-0.7359500919416614</v>
      </c>
      <c r="H381" s="51">
        <v>-55930.883560639384</v>
      </c>
      <c r="I381" s="57">
        <v>-1.2268099428748358E-4</v>
      </c>
      <c r="J381" s="57">
        <v>-6.177842241999219</v>
      </c>
      <c r="K381" s="51">
        <v>64984.34937762009</v>
      </c>
      <c r="L381" s="57">
        <v>1.4253922139685415E-4</v>
      </c>
      <c r="M381" s="57">
        <v>7.177842241999219</v>
      </c>
      <c r="N381" s="59">
        <v>1.9858227109370574E-5</v>
      </c>
      <c r="O381" s="57">
        <v>-0.2336360496787263</v>
      </c>
      <c r="P381" s="51">
        <v>58.39805101008836</v>
      </c>
      <c r="Q381" s="35">
        <v>587.12489085478</v>
      </c>
      <c r="R381" s="13">
        <v>5363.531182865308</v>
      </c>
      <c r="S381" s="57">
        <v>-0.8840189875717008</v>
      </c>
      <c r="T381" s="53">
        <v>280235.69559610984</v>
      </c>
      <c r="U381" s="51">
        <v>9053.465816980708</v>
      </c>
      <c r="V381" s="51">
        <v>-288622.20900136535</v>
      </c>
    </row>
    <row r="382">
      <c r="A382" s="55">
        <v>45096.959973414356</v>
      </c>
      <c r="B382" s="56">
        <v>0.1686867008463913</v>
      </c>
      <c r="C382" s="57">
        <v>-5.033197248727195E-5</v>
      </c>
      <c r="D382" s="58">
        <v>-0.9696059998474971</v>
      </c>
      <c r="E382" s="50">
        <v>15.42</v>
      </c>
      <c r="F382" s="57">
        <v>-6.849543659100954E-4</v>
      </c>
      <c r="G382" s="58">
        <v>-0.7359500919416614</v>
      </c>
      <c r="H382" s="51">
        <v>-55936.794871794875</v>
      </c>
      <c r="I382" s="57">
        <v>3.111790283994052E-4</v>
      </c>
      <c r="J382" s="57">
        <v>-6.182531957755019</v>
      </c>
      <c r="K382" s="51">
        <v>64984.3493776201</v>
      </c>
      <c r="L382" s="57">
        <v>-3.6151100088667714E-4</v>
      </c>
      <c r="M382" s="57">
        <v>7.182531957755019</v>
      </c>
      <c r="N382" s="59">
        <v>6.346223934228234E-4</v>
      </c>
      <c r="O382" s="57">
        <v>-0.23365590790583568</v>
      </c>
      <c r="P382" s="51">
        <v>58.39805101008836</v>
      </c>
      <c r="Q382" s="35">
        <v>586.7415373427513</v>
      </c>
      <c r="R382" s="13">
        <v>5363.531182865308</v>
      </c>
      <c r="S382" s="57">
        <v>-0.884094715460495</v>
      </c>
      <c r="T382" s="53">
        <v>280235.69559610984</v>
      </c>
      <c r="U382" s="51">
        <v>9047.554505825225</v>
      </c>
      <c r="V382" s="51">
        <v>-288628.1203125208</v>
      </c>
    </row>
    <row r="383">
      <c r="A383" s="55">
        <v>45095.959968483796</v>
      </c>
      <c r="B383" s="56">
        <v>0.16896604329369586</v>
      </c>
      <c r="C383" s="57">
        <v>-0.0029445656106433793</v>
      </c>
      <c r="D383" s="58">
        <v>-0.9695556678750098</v>
      </c>
      <c r="E383" s="50">
        <v>15.46</v>
      </c>
      <c r="F383" s="57">
        <v>-0.003596010421027973</v>
      </c>
      <c r="G383" s="58">
        <v>-0.7352651375757513</v>
      </c>
      <c r="H383" s="51">
        <v>-56051.8952725545</v>
      </c>
      <c r="I383" s="57">
        <v>0.018212171849126473</v>
      </c>
      <c r="J383" s="57">
        <v>-6.185011392952852</v>
      </c>
      <c r="K383" s="51">
        <v>65114.432382254825</v>
      </c>
      <c r="L383" s="57">
        <v>-0.021156737459769853</v>
      </c>
      <c r="M383" s="57">
        <v>7.185011392952852</v>
      </c>
      <c r="N383" s="59">
        <v>6.514448103845938E-4</v>
      </c>
      <c r="O383" s="57">
        <v>-0.2342905302992585</v>
      </c>
      <c r="P383" s="51">
        <v>58.39805101008836</v>
      </c>
      <c r="Q383" s="35">
        <v>586.1925685446521</v>
      </c>
      <c r="R383" s="13">
        <v>5363.531182865308</v>
      </c>
      <c r="S383" s="57">
        <v>-0.8842031590948679</v>
      </c>
      <c r="T383" s="53">
        <v>280235.69559610984</v>
      </c>
      <c r="U383" s="51">
        <v>9062.537109700323</v>
      </c>
      <c r="V383" s="51">
        <v>-288613.1377086457</v>
      </c>
    </row>
    <row r="384">
      <c r="A384" s="55">
        <v>45094.95996096065</v>
      </c>
      <c r="B384" s="56">
        <v>0.18530838243276623</v>
      </c>
      <c r="C384" s="57">
        <v>0.004906734330644258</v>
      </c>
      <c r="D384" s="58">
        <v>-0.9666111022643664</v>
      </c>
      <c r="E384" s="50">
        <v>15.67</v>
      </c>
      <c r="F384" s="57">
        <v>0.005822112110235755</v>
      </c>
      <c r="G384" s="58">
        <v>-0.7316691271547233</v>
      </c>
      <c r="H384" s="51">
        <v>-56059.84777688545</v>
      </c>
      <c r="I384" s="57">
        <v>-0.027675726467554992</v>
      </c>
      <c r="J384" s="57">
        <v>-5.640355601629067</v>
      </c>
      <c r="K384" s="51">
        <v>65998.91044178091</v>
      </c>
      <c r="L384" s="57">
        <v>0.03258246079819925</v>
      </c>
      <c r="M384" s="57">
        <v>6.640355601629067</v>
      </c>
      <c r="N384" s="59">
        <v>-9.153777795914975E-4</v>
      </c>
      <c r="O384" s="57">
        <v>-0.2349419751096431</v>
      </c>
      <c r="P384" s="51">
        <v>58.39805101008836</v>
      </c>
      <c r="Q384" s="35">
        <v>634.2733034394042</v>
      </c>
      <c r="R384" s="13">
        <v>5363.531182865308</v>
      </c>
      <c r="S384" s="57">
        <v>-0.8747052611207735</v>
      </c>
      <c r="T384" s="53">
        <v>280235.69559610984</v>
      </c>
      <c r="U384" s="51">
        <v>9939.062664895464</v>
      </c>
      <c r="V384" s="51">
        <v>-287736.6121534506</v>
      </c>
    </row>
    <row r="385">
      <c r="A385" s="55">
        <v>45093.95996628472</v>
      </c>
      <c r="B385" s="56">
        <v>0.15807600689769055</v>
      </c>
      <c r="C385" s="57">
        <v>0.006655932321466107</v>
      </c>
      <c r="D385" s="58">
        <v>-0.9715178365950107</v>
      </c>
      <c r="E385" s="50">
        <v>15.33</v>
      </c>
      <c r="F385" s="57">
        <v>0.008048213799443538</v>
      </c>
      <c r="G385" s="58">
        <v>-0.7374912392649591</v>
      </c>
      <c r="H385" s="51">
        <v>-56050.05739562769</v>
      </c>
      <c r="I385" s="57">
        <v>-0.04400161719677157</v>
      </c>
      <c r="J385" s="57">
        <v>-6.610887111165713</v>
      </c>
      <c r="K385" s="51">
        <v>64528.50460749428</v>
      </c>
      <c r="L385" s="57">
        <v>0.05065754951823768</v>
      </c>
      <c r="M385" s="57">
        <v>7.610887111165713</v>
      </c>
      <c r="N385" s="59">
        <v>-0.0013922814779774306</v>
      </c>
      <c r="O385" s="57">
        <v>-0.2340265973300516</v>
      </c>
      <c r="P385" s="51">
        <v>58.39805101008836</v>
      </c>
      <c r="Q385" s="35">
        <v>553.062440434872</v>
      </c>
      <c r="R385" s="13">
        <v>5363.531182865308</v>
      </c>
      <c r="S385" s="57">
        <v>-0.8907477049996709</v>
      </c>
      <c r="T385" s="53">
        <v>280235.69559610984</v>
      </c>
      <c r="U385" s="51">
        <v>8478.447211866587</v>
      </c>
      <c r="V385" s="51">
        <v>-289197.2276064794</v>
      </c>
    </row>
    <row r="386">
      <c r="A386" s="55">
        <v>45092.95996841435</v>
      </c>
      <c r="B386" s="56">
        <v>0.1211355825135537</v>
      </c>
      <c r="C386" s="57">
        <v>0.005724537711899291</v>
      </c>
      <c r="D386" s="58">
        <v>-0.9781737689164768</v>
      </c>
      <c r="E386" s="50">
        <v>14.86</v>
      </c>
      <c r="F386" s="57">
        <v>0.007192020842055946</v>
      </c>
      <c r="G386" s="58">
        <v>-0.7455394530644026</v>
      </c>
      <c r="H386" s="51">
        <v>-56052.9975151648</v>
      </c>
      <c r="I386" s="57">
        <v>-0.049387514141589726</v>
      </c>
      <c r="J386" s="57">
        <v>-8.62733667365498</v>
      </c>
      <c r="K386" s="51">
        <v>62550.13558169373</v>
      </c>
      <c r="L386" s="57">
        <v>0.05511205185348902</v>
      </c>
      <c r="M386" s="57">
        <v>9.62733667365498</v>
      </c>
      <c r="N386" s="59">
        <v>-0.0014674831301566549</v>
      </c>
      <c r="O386" s="57">
        <v>-0.23263431585207417</v>
      </c>
      <c r="P386" s="51">
        <v>58.39805101008836</v>
      </c>
      <c r="Q386" s="35">
        <v>437.22328846089675</v>
      </c>
      <c r="R386" s="13">
        <v>5363.531182865308</v>
      </c>
      <c r="S386" s="57">
        <v>-0.9136306424019968</v>
      </c>
      <c r="T386" s="53">
        <v>280235.69559610984</v>
      </c>
      <c r="U386" s="51">
        <v>6497.138066528925</v>
      </c>
      <c r="V386" s="51">
        <v>-291178.5367518171</v>
      </c>
    </row>
    <row r="387">
      <c r="A387" s="55">
        <v>45091.959970358796</v>
      </c>
      <c r="B387" s="56">
        <v>0.08936439821251273</v>
      </c>
      <c r="C387" s="57">
        <v>-0.0076195088358180785</v>
      </c>
      <c r="D387" s="58">
        <v>-0.9838983066283761</v>
      </c>
      <c r="E387" s="50">
        <v>14.44</v>
      </c>
      <c r="F387" s="57">
        <v>-0.009246883939786232</v>
      </c>
      <c r="G387" s="58">
        <v>-0.7527314739064586</v>
      </c>
      <c r="H387" s="51">
        <v>-55989.148905755734</v>
      </c>
      <c r="I387" s="57">
        <v>0.0890053154994334</v>
      </c>
      <c r="J387" s="57">
        <v>-11.681240538895867</v>
      </c>
      <c r="K387" s="51">
        <v>60782.23134587197</v>
      </c>
      <c r="L387" s="57">
        <v>-0.09662482433525148</v>
      </c>
      <c r="M387" s="57">
        <v>12.681240538895867</v>
      </c>
      <c r="N387" s="59">
        <v>0.0016273751039681539</v>
      </c>
      <c r="O387" s="57">
        <v>-0.23116683272191751</v>
      </c>
      <c r="P387" s="51">
        <v>58.39805101008836</v>
      </c>
      <c r="Q387" s="35">
        <v>331.9309169055567</v>
      </c>
      <c r="R387" s="13">
        <v>5363.531182865308</v>
      </c>
      <c r="S387" s="57">
        <v>-0.9344301623068435</v>
      </c>
      <c r="T387" s="53">
        <v>280235.69559610984</v>
      </c>
      <c r="U387" s="51">
        <v>4793.082440116239</v>
      </c>
      <c r="V387" s="51">
        <v>-292882.59237822983</v>
      </c>
    </row>
    <row r="388">
      <c r="A388" s="55">
        <v>45090.95997271991</v>
      </c>
      <c r="B388" s="56">
        <v>0.13165267225130287</v>
      </c>
      <c r="C388" s="57">
        <v>-0.0038891408611176903</v>
      </c>
      <c r="D388" s="58">
        <v>-0.976278797792558</v>
      </c>
      <c r="E388" s="50">
        <v>14.98</v>
      </c>
      <c r="F388" s="57">
        <v>-0.004623441969893061</v>
      </c>
      <c r="G388" s="58">
        <v>-0.7434845899666723</v>
      </c>
      <c r="H388" s="51">
        <v>-55956.545718230765</v>
      </c>
      <c r="I388" s="57">
        <v>0.030819424712347117</v>
      </c>
      <c r="J388" s="57">
        <v>-7.924481476222489</v>
      </c>
      <c r="K388" s="51">
        <v>63017.77059283349</v>
      </c>
      <c r="L388" s="57">
        <v>-0.03470856557346481</v>
      </c>
      <c r="M388" s="57">
        <v>8.924481476222489</v>
      </c>
      <c r="N388" s="59">
        <v>7.343011087753704E-4</v>
      </c>
      <c r="O388" s="57">
        <v>-0.23279420782588567</v>
      </c>
      <c r="P388" s="51">
        <v>58.39805101008836</v>
      </c>
      <c r="Q388" s="35">
        <v>471.37682741006176</v>
      </c>
      <c r="R388" s="13">
        <v>5363.531182865308</v>
      </c>
      <c r="S388" s="57">
        <v>-0.9068839312898743</v>
      </c>
      <c r="T388" s="53">
        <v>280235.69559610984</v>
      </c>
      <c r="U388" s="51">
        <v>7061.224874602725</v>
      </c>
      <c r="V388" s="51">
        <v>-290614.4499437433</v>
      </c>
    </row>
    <row r="389">
      <c r="A389" s="55">
        <v>45089.96008287037</v>
      </c>
      <c r="B389" s="56">
        <v>0.1532374040305065</v>
      </c>
      <c r="C389" s="57">
        <v>-0.006105929487268735</v>
      </c>
      <c r="D389" s="58">
        <v>-0.9723896569314403</v>
      </c>
      <c r="E389" s="50">
        <v>15.25</v>
      </c>
      <c r="F389" s="57">
        <v>-0.007534498025010938</v>
      </c>
      <c r="G389" s="58">
        <v>-0.7388611479967793</v>
      </c>
      <c r="H389" s="51">
        <v>-55934.677404360154</v>
      </c>
      <c r="I389" s="57">
        <v>0.04155447239564386</v>
      </c>
      <c r="J389" s="57">
        <v>-6.805593232330584</v>
      </c>
      <c r="K389" s="51">
        <v>64153.60490925972</v>
      </c>
      <c r="L389" s="57">
        <v>-0.047660401882912595</v>
      </c>
      <c r="M389" s="57">
        <v>7.805593232330584</v>
      </c>
      <c r="N389" s="59">
        <v>0.001428568537742203</v>
      </c>
      <c r="O389" s="57">
        <v>-0.23352850893466104</v>
      </c>
      <c r="P389" s="51">
        <v>58.39805101008836</v>
      </c>
      <c r="Q389" s="35">
        <v>538.9460658950533</v>
      </c>
      <c r="R389" s="13">
        <v>5363.531182865308</v>
      </c>
      <c r="S389" s="57">
        <v>-0.8935362623176236</v>
      </c>
      <c r="T389" s="53">
        <v>280235.69559610984</v>
      </c>
      <c r="U389" s="51">
        <v>8218.927504899562</v>
      </c>
      <c r="V389" s="51">
        <v>-289456.7473134465</v>
      </c>
    </row>
    <row r="390">
      <c r="A390" s="55">
        <v>45088.959959201384</v>
      </c>
      <c r="B390" s="56">
        <v>0.18712531268484778</v>
      </c>
      <c r="C390" s="57">
        <v>0.002985379905434904</v>
      </c>
      <c r="D390" s="58">
        <v>-0.9662837274441716</v>
      </c>
      <c r="E390" s="50">
        <v>15.69</v>
      </c>
      <c r="F390" s="57">
        <v>0.003596010421027973</v>
      </c>
      <c r="G390" s="58">
        <v>-0.7313266499717683</v>
      </c>
      <c r="H390" s="51">
        <v>-55928.711978115025</v>
      </c>
      <c r="I390" s="57">
        <v>-0.01663609992391084</v>
      </c>
      <c r="J390" s="57">
        <v>-5.572523581881391</v>
      </c>
      <c r="K390" s="51">
        <v>65965.22616353053</v>
      </c>
      <c r="L390" s="57">
        <v>0.019621479829345746</v>
      </c>
      <c r="M390" s="57">
        <v>6.572523581881391</v>
      </c>
      <c r="N390" s="59">
        <v>-6.106305155930691E-4</v>
      </c>
      <c r="O390" s="57">
        <v>-0.23495707747240324</v>
      </c>
      <c r="P390" s="51">
        <v>58.39805101008836</v>
      </c>
      <c r="Q390" s="35">
        <v>639.6758563043663</v>
      </c>
      <c r="R390" s="13">
        <v>5363.531182865308</v>
      </c>
      <c r="S390" s="57">
        <v>-0.8736380375015134</v>
      </c>
      <c r="T390" s="53">
        <v>280235.69559610984</v>
      </c>
      <c r="U390" s="51">
        <v>10036.514185415508</v>
      </c>
      <c r="V390" s="51">
        <v>-287639.1606329305</v>
      </c>
    </row>
    <row r="391">
      <c r="A391" s="55">
        <v>45087.95996652778</v>
      </c>
      <c r="B391" s="56">
        <v>0.1705564542096839</v>
      </c>
      <c r="C391" s="57">
        <v>-0.03371038996609066</v>
      </c>
      <c r="D391" s="58">
        <v>-0.9692691073496065</v>
      </c>
      <c r="E391" s="50">
        <v>15.48</v>
      </c>
      <c r="F391" s="57">
        <v>-0.036645058576189715</v>
      </c>
      <c r="G391" s="58">
        <v>-0.7349226603927963</v>
      </c>
      <c r="H391" s="51">
        <v>-55934.48717948718</v>
      </c>
      <c r="I391" s="57">
        <v>0.2061222691619715</v>
      </c>
      <c r="J391" s="57">
        <v>-6.114502661325195</v>
      </c>
      <c r="K391" s="51">
        <v>65082.326386963214</v>
      </c>
      <c r="L391" s="57">
        <v>-0.23983265912806215</v>
      </c>
      <c r="M391" s="57">
        <v>7.114502661325195</v>
      </c>
      <c r="N391" s="59">
        <v>0.002934668610099056</v>
      </c>
      <c r="O391" s="57">
        <v>-0.23434644695681017</v>
      </c>
      <c r="P391" s="51">
        <v>58.39805101008836</v>
      </c>
      <c r="Q391" s="35">
        <v>590.9456852374699</v>
      </c>
      <c r="R391" s="13">
        <v>5363.531182865308</v>
      </c>
      <c r="S391" s="57">
        <v>-0.8832642254969068</v>
      </c>
      <c r="T391" s="53">
        <v>280235.69559610984</v>
      </c>
      <c r="U391" s="51">
        <v>9147.839207476034</v>
      </c>
      <c r="V391" s="51">
        <v>-288527.83561087004</v>
      </c>
    </row>
    <row r="392">
      <c r="A392" s="55">
        <v>45086.96001270833</v>
      </c>
      <c r="B392" s="56">
        <v>0.3576491185214874</v>
      </c>
      <c r="C392" s="57">
        <v>-0.017781094884749438</v>
      </c>
      <c r="D392" s="58">
        <v>-0.9355587173835158</v>
      </c>
      <c r="E392" s="50">
        <v>17.62</v>
      </c>
      <c r="F392" s="57">
        <v>-0.021747301117645224</v>
      </c>
      <c r="G392" s="58">
        <v>-0.6982776018166066</v>
      </c>
      <c r="H392" s="51">
        <v>-54873.42447432945</v>
      </c>
      <c r="I392" s="57">
        <v>0.050864296331034696</v>
      </c>
      <c r="J392" s="57">
        <v>-2.8605829202711357</v>
      </c>
      <c r="K392" s="51">
        <v>74056.02676335114</v>
      </c>
      <c r="L392" s="57">
        <v>-0.06864539121578414</v>
      </c>
      <c r="M392" s="57">
        <v>3.8605829202711357</v>
      </c>
      <c r="N392" s="59">
        <v>0.003966206232895786</v>
      </c>
      <c r="O392" s="57">
        <v>-0.23728111556690923</v>
      </c>
      <c r="P392" s="51">
        <v>58.39805101008836</v>
      </c>
      <c r="Q392" s="35">
        <v>1088.6834443258622</v>
      </c>
      <c r="R392" s="13">
        <v>5363.531182865308</v>
      </c>
      <c r="S392" s="57">
        <v>-0.7849408021127954</v>
      </c>
      <c r="T392" s="53">
        <v>280235.69559610984</v>
      </c>
      <c r="U392" s="51">
        <v>19182.602289021692</v>
      </c>
      <c r="V392" s="51">
        <v>-278493.07252932433</v>
      </c>
    </row>
    <row r="393">
      <c r="A393" s="55">
        <v>45085.95996594908</v>
      </c>
      <c r="B393" s="56">
        <v>0.4563341951318467</v>
      </c>
      <c r="C393" s="57">
        <v>0.0026646921356662245</v>
      </c>
      <c r="D393" s="58">
        <v>-0.9177776224987664</v>
      </c>
      <c r="E393" s="50">
        <v>18.89</v>
      </c>
      <c r="F393" s="57">
        <v>0.003424771829550366</v>
      </c>
      <c r="G393" s="58">
        <v>-0.6765303006989614</v>
      </c>
      <c r="H393" s="51">
        <v>-54883.80516444989</v>
      </c>
      <c r="I393" s="57">
        <v>-0.0059752747140941545</v>
      </c>
      <c r="J393" s="57">
        <v>-2.242388392308675</v>
      </c>
      <c r="K393" s="51">
        <v>79359.40687229841</v>
      </c>
      <c r="L393" s="57">
        <v>0.008639966849760379</v>
      </c>
      <c r="M393" s="57">
        <v>3.242388392308675</v>
      </c>
      <c r="N393" s="59">
        <v>-7.600796938841414E-4</v>
      </c>
      <c r="O393" s="57">
        <v>-0.24124732179980501</v>
      </c>
      <c r="P393" s="51">
        <v>58.39805101008836</v>
      </c>
      <c r="Q393" s="35">
        <v>1295.6909321253847</v>
      </c>
      <c r="R393" s="13">
        <v>5363.531182865308</v>
      </c>
      <c r="S393" s="57">
        <v>-0.74404841551976</v>
      </c>
      <c r="T393" s="53">
        <v>280235.69559610984</v>
      </c>
      <c r="U393" s="51">
        <v>24475.601707848517</v>
      </c>
      <c r="V393" s="51">
        <v>-273200.07311049756</v>
      </c>
    </row>
    <row r="394">
      <c r="A394" s="55">
        <v>45084.95996309028</v>
      </c>
      <c r="B394" s="56">
        <v>0.4415451537788988</v>
      </c>
      <c r="C394" s="57">
        <v>-0.02442392046828401</v>
      </c>
      <c r="D394" s="58">
        <v>-0.9204423146344326</v>
      </c>
      <c r="E394" s="50">
        <v>18.69</v>
      </c>
      <c r="F394" s="57">
        <v>-0.029281799142656162</v>
      </c>
      <c r="G394" s="58">
        <v>-0.6799550725285117</v>
      </c>
      <c r="H394" s="51">
        <v>-54822.368362014975</v>
      </c>
      <c r="I394" s="57">
        <v>0.05653894290356759</v>
      </c>
      <c r="J394" s="57">
        <v>-2.314900385340959</v>
      </c>
      <c r="K394" s="51">
        <v>78504.75604019589</v>
      </c>
      <c r="L394" s="57">
        <v>-0.0809628633718516</v>
      </c>
      <c r="M394" s="57">
        <v>3.314900385340959</v>
      </c>
      <c r="N394" s="59">
        <v>0.004857878674372151</v>
      </c>
      <c r="O394" s="57">
        <v>-0.24048724210592087</v>
      </c>
      <c r="P394" s="51">
        <v>58.39805101008836</v>
      </c>
      <c r="Q394" s="35">
        <v>1267.1154455955545</v>
      </c>
      <c r="R394" s="13">
        <v>5363.531182865308</v>
      </c>
      <c r="S394" s="57">
        <v>-0.7496932347225974</v>
      </c>
      <c r="T394" s="53">
        <v>280235.69559610984</v>
      </c>
      <c r="U394" s="51">
        <v>23682.387678180916</v>
      </c>
      <c r="V394" s="51">
        <v>-273993.2871401651</v>
      </c>
    </row>
    <row r="395">
      <c r="A395" s="55">
        <v>45083.95996357639</v>
      </c>
      <c r="B395" s="56">
        <v>0.5770979123778751</v>
      </c>
      <c r="C395" s="57">
        <v>0.0077449769751061215</v>
      </c>
      <c r="D395" s="58">
        <v>-0.8960183941661486</v>
      </c>
      <c r="E395" s="50">
        <v>20.4</v>
      </c>
      <c r="F395" s="57">
        <v>0.009246883939786121</v>
      </c>
      <c r="G395" s="58">
        <v>-0.6506732733858556</v>
      </c>
      <c r="H395" s="51">
        <v>-54817.322866683506</v>
      </c>
      <c r="I395" s="57">
        <v>-0.013716335075915803</v>
      </c>
      <c r="J395" s="57">
        <v>-1.7709975278174228</v>
      </c>
      <c r="K395" s="51">
        <v>85770.11755197048</v>
      </c>
      <c r="L395" s="57">
        <v>0.021461312051021926</v>
      </c>
      <c r="M395" s="57">
        <v>2.770997527817423</v>
      </c>
      <c r="N395" s="59">
        <v>-0.0015019069646799998</v>
      </c>
      <c r="O395" s="57">
        <v>-0.24534512078029302</v>
      </c>
      <c r="P395" s="51">
        <v>58.39805101008836</v>
      </c>
      <c r="Q395" s="35">
        <v>1517.2938571219108</v>
      </c>
      <c r="R395" s="13">
        <v>5363.531182865308</v>
      </c>
      <c r="S395" s="57">
        <v>-0.7002728372765158</v>
      </c>
      <c r="T395" s="53">
        <v>280235.69559610984</v>
      </c>
      <c r="U395" s="51">
        <v>30952.79468528698</v>
      </c>
      <c r="V395" s="51">
        <v>-266722.88013305905</v>
      </c>
    </row>
    <row r="396">
      <c r="A396" s="55">
        <v>45082.95998738426</v>
      </c>
      <c r="B396" s="56">
        <v>0.5341132901660366</v>
      </c>
      <c r="C396" s="57">
        <v>-0.030782593923561974</v>
      </c>
      <c r="D396" s="58">
        <v>-0.9037633711412547</v>
      </c>
      <c r="E396" s="50">
        <v>19.86</v>
      </c>
      <c r="F396" s="57">
        <v>-0.0378437287165323</v>
      </c>
      <c r="G396" s="58">
        <v>-0.6599201573256417</v>
      </c>
      <c r="H396" s="51">
        <v>-54833.179696616106</v>
      </c>
      <c r="I396" s="57">
        <v>0.058920292718135314</v>
      </c>
      <c r="J396" s="57">
        <v>-1.9140782243511927</v>
      </c>
      <c r="K396" s="51">
        <v>83480.48313438584</v>
      </c>
      <c r="L396" s="57">
        <v>-0.08970288664169729</v>
      </c>
      <c r="M396" s="57">
        <v>2.9140782243511927</v>
      </c>
      <c r="N396" s="59">
        <v>0.007061134792970325</v>
      </c>
      <c r="O396" s="57">
        <v>-0.24384321381561302</v>
      </c>
      <c r="P396" s="51">
        <v>58.39805101008836</v>
      </c>
      <c r="Q396" s="35">
        <v>1442.4624087497348</v>
      </c>
      <c r="R396" s="13">
        <v>5363.531182865308</v>
      </c>
      <c r="S396" s="57">
        <v>-0.7150550876611749</v>
      </c>
      <c r="T396" s="53">
        <v>280235.69559610984</v>
      </c>
      <c r="U396" s="51">
        <v>28647.303437769733</v>
      </c>
      <c r="V396" s="51">
        <v>-269028.3713805763</v>
      </c>
    </row>
    <row r="397">
      <c r="A397" s="55">
        <v>45081.959959733795</v>
      </c>
      <c r="B397" s="56">
        <v>0.7049566864418054</v>
      </c>
      <c r="C397" s="57">
        <v>0.014629071555685491</v>
      </c>
      <c r="D397" s="58">
        <v>-0.8729807772176927</v>
      </c>
      <c r="E397" s="50">
        <v>22.07</v>
      </c>
      <c r="F397" s="57">
        <v>0.017637574922184762</v>
      </c>
      <c r="G397" s="58">
        <v>-0.6220764286091094</v>
      </c>
      <c r="H397" s="51">
        <v>-54844.18284020359</v>
      </c>
      <c r="I397" s="57">
        <v>-0.02121947019960747</v>
      </c>
      <c r="J397" s="57">
        <v>-1.4505001304310843</v>
      </c>
      <c r="K397" s="51">
        <v>92654.71569682875</v>
      </c>
      <c r="L397" s="57">
        <v>0.035848541755292965</v>
      </c>
      <c r="M397" s="57">
        <v>2.4505001304310845</v>
      </c>
      <c r="N397" s="59">
        <v>-0.003008503366499271</v>
      </c>
      <c r="O397" s="57">
        <v>-0.25090434860858335</v>
      </c>
      <c r="P397" s="51">
        <v>58.39805101008836</v>
      </c>
      <c r="Q397" s="35">
        <v>1713.2094633722318</v>
      </c>
      <c r="R397" s="13">
        <v>5363.531182865308</v>
      </c>
      <c r="S397" s="57">
        <v>-0.6615715477939065</v>
      </c>
      <c r="T397" s="53">
        <v>280235.69559610984</v>
      </c>
      <c r="U397" s="51">
        <v>37810.532856625156</v>
      </c>
      <c r="V397" s="51">
        <v>-259865.1419617209</v>
      </c>
    </row>
    <row r="398">
      <c r="A398" s="55">
        <v>45080.95996962963</v>
      </c>
      <c r="B398" s="56">
        <v>0.6237653393077508</v>
      </c>
      <c r="C398" s="57">
        <v>-0.00462272469827818</v>
      </c>
      <c r="D398" s="58">
        <v>-0.8876098487733782</v>
      </c>
      <c r="E398" s="50">
        <v>21.04</v>
      </c>
      <c r="F398" s="57">
        <v>-0.005308396335803267</v>
      </c>
      <c r="G398" s="58">
        <v>-0.6397140035312942</v>
      </c>
      <c r="H398" s="51">
        <v>-54839.31273785538</v>
      </c>
      <c r="I398" s="57">
        <v>0.007577368902204047</v>
      </c>
      <c r="J398" s="57">
        <v>-1.6391564275991557</v>
      </c>
      <c r="K398" s="51">
        <v>88295.12684717598</v>
      </c>
      <c r="L398" s="57">
        <v>-0.012200093600482227</v>
      </c>
      <c r="M398" s="57">
        <v>2.639156427599156</v>
      </c>
      <c r="N398" s="59">
        <v>6.856716375250871E-4</v>
      </c>
      <c r="O398" s="57">
        <v>-0.24789584524208408</v>
      </c>
      <c r="P398" s="51">
        <v>58.39805101008836</v>
      </c>
      <c r="Q398" s="35">
        <v>1590.1052333327282</v>
      </c>
      <c r="R398" s="13">
        <v>5363.531182865308</v>
      </c>
      <c r="S398" s="57">
        <v>-0.6858896331903565</v>
      </c>
      <c r="T398" s="53">
        <v>280235.69559610984</v>
      </c>
      <c r="U398" s="51">
        <v>33455.8141093206</v>
      </c>
      <c r="V398" s="51">
        <v>-264219.86070902547</v>
      </c>
    </row>
    <row r="399">
      <c r="A399" s="55">
        <v>45079.9599737963</v>
      </c>
      <c r="B399" s="56">
        <v>0.6494214613831949</v>
      </c>
      <c r="C399" s="57">
        <v>0.010491874915808386</v>
      </c>
      <c r="D399" s="58">
        <v>-0.8829871240751</v>
      </c>
      <c r="E399" s="50">
        <v>21.35</v>
      </c>
      <c r="F399" s="57">
        <v>0.012500417177859102</v>
      </c>
      <c r="G399" s="58">
        <v>-0.6344056071954909</v>
      </c>
      <c r="H399" s="51">
        <v>-54832.51409686695</v>
      </c>
      <c r="I399" s="57">
        <v>-0.01651635705154516</v>
      </c>
      <c r="J399" s="57">
        <v>-1.5742045329438237</v>
      </c>
      <c r="K399" s="51">
        <v>89664.40090024695</v>
      </c>
      <c r="L399" s="57">
        <v>0.027008231967353545</v>
      </c>
      <c r="M399" s="57">
        <v>2.5742045329438237</v>
      </c>
      <c r="N399" s="59">
        <v>-0.0020085422620507165</v>
      </c>
      <c r="O399" s="57">
        <v>-0.24858151687960917</v>
      </c>
      <c r="P399" s="51">
        <v>58.39805101008836</v>
      </c>
      <c r="Q399" s="35">
        <v>1631.470107886651</v>
      </c>
      <c r="R399" s="13">
        <v>5363.531182865308</v>
      </c>
      <c r="S399" s="57">
        <v>-0.6777183904028995</v>
      </c>
      <c r="T399" s="53">
        <v>280235.69559610984</v>
      </c>
      <c r="U399" s="51">
        <v>34831.88680338</v>
      </c>
      <c r="V399" s="51">
        <v>-262843.78801496606</v>
      </c>
    </row>
    <row r="400">
      <c r="A400" s="55">
        <v>45078.95997247685</v>
      </c>
      <c r="B400" s="56">
        <v>0.5911915556004581</v>
      </c>
      <c r="C400" s="57">
        <v>-4.980691869117537E-4</v>
      </c>
      <c r="D400" s="58">
        <v>-0.8934789989909084</v>
      </c>
      <c r="E400" s="50">
        <v>20.62</v>
      </c>
      <c r="F400" s="57">
        <v>-6.849543659099844E-4</v>
      </c>
      <c r="G400" s="58">
        <v>-0.64690602437335</v>
      </c>
      <c r="H400" s="51">
        <v>-54870.42213674498</v>
      </c>
      <c r="I400" s="57">
        <v>8.618851350278302E-4</v>
      </c>
      <c r="J400" s="57">
        <v>-1.7304526312336126</v>
      </c>
      <c r="K400" s="51">
        <v>86579.13299445203</v>
      </c>
      <c r="L400" s="57">
        <v>-0.001359954321939584</v>
      </c>
      <c r="M400" s="57">
        <v>2.7304526312336126</v>
      </c>
      <c r="N400" s="59">
        <v>1.8688517899823065E-4</v>
      </c>
      <c r="O400" s="57">
        <v>-0.24657297461755845</v>
      </c>
      <c r="P400" s="51">
        <v>58.39805101008836</v>
      </c>
      <c r="Q400" s="35">
        <v>1537.7648330604775</v>
      </c>
      <c r="R400" s="13">
        <v>5363.531182865308</v>
      </c>
      <c r="S400" s="57">
        <v>-0.6962289880857692</v>
      </c>
      <c r="T400" s="53">
        <v>280235.69559610984</v>
      </c>
      <c r="U400" s="51">
        <v>31708.710857707047</v>
      </c>
      <c r="V400" s="51">
        <v>-265966.96396063897</v>
      </c>
    </row>
    <row r="401">
      <c r="A401" s="55">
        <v>45077.959969710646</v>
      </c>
      <c r="B401" s="56">
        <v>0.5939558395878185</v>
      </c>
      <c r="C401" s="57">
        <v>-0.007863653677303573</v>
      </c>
      <c r="D401" s="58">
        <v>-0.8929809298039967</v>
      </c>
      <c r="E401" s="50">
        <v>20.66</v>
      </c>
      <c r="F401" s="57">
        <v>-0.00976059971421872</v>
      </c>
      <c r="G401" s="58">
        <v>-0.64622107000744</v>
      </c>
      <c r="H401" s="51">
        <v>-54806.021459549076</v>
      </c>
      <c r="I401" s="57">
        <v>0.013528452922541507</v>
      </c>
      <c r="J401" s="57">
        <v>-1.7203775086875874</v>
      </c>
      <c r="K401" s="51">
        <v>86662.99539857631</v>
      </c>
      <c r="L401" s="57">
        <v>-0.021392106599845077</v>
      </c>
      <c r="M401" s="57">
        <v>2.720377508687587</v>
      </c>
      <c r="N401" s="59">
        <v>0.001896946036915148</v>
      </c>
      <c r="O401" s="57">
        <v>-0.24675985979655668</v>
      </c>
      <c r="P401" s="51">
        <v>58.39805101008836</v>
      </c>
      <c r="Q401" s="35">
        <v>1541.9638886266814</v>
      </c>
      <c r="R401" s="13">
        <v>5363.531182865308</v>
      </c>
      <c r="S401" s="57">
        <v>-0.6953995040638911</v>
      </c>
      <c r="T401" s="53">
        <v>280235.69559610984</v>
      </c>
      <c r="U401" s="51">
        <v>31856.973939027237</v>
      </c>
      <c r="V401" s="51">
        <v>-265818.7008793188</v>
      </c>
    </row>
    <row r="402">
      <c r="A402" s="55">
        <v>45076.959970578704</v>
      </c>
      <c r="B402" s="56">
        <v>0.6375991174968534</v>
      </c>
      <c r="C402" s="57">
        <v>0.008977029164719541</v>
      </c>
      <c r="D402" s="58">
        <v>-0.8851172761266931</v>
      </c>
      <c r="E402" s="50">
        <v>21.23</v>
      </c>
      <c r="F402" s="57">
        <v>0.011130508446038911</v>
      </c>
      <c r="G402" s="58">
        <v>-0.6364604702932213</v>
      </c>
      <c r="H402" s="51">
        <v>-54838.057346232425</v>
      </c>
      <c r="I402" s="57">
        <v>-0.014395164314656086</v>
      </c>
      <c r="J402" s="57">
        <v>-1.6035554803843413</v>
      </c>
      <c r="K402" s="51">
        <v>89035.84970018877</v>
      </c>
      <c r="L402" s="57">
        <v>0.023372193479375625</v>
      </c>
      <c r="M402" s="57">
        <v>2.6035554803843413</v>
      </c>
      <c r="N402" s="59">
        <v>-0.0021534792813193704</v>
      </c>
      <c r="O402" s="57">
        <v>-0.24865680583347183</v>
      </c>
      <c r="P402" s="51">
        <v>58.39805101008836</v>
      </c>
      <c r="Q402" s="35">
        <v>1610.8239450756641</v>
      </c>
      <c r="R402" s="13">
        <v>5363.531182865308</v>
      </c>
      <c r="S402" s="57">
        <v>-0.6817968461162853</v>
      </c>
      <c r="T402" s="53">
        <v>280235.69559610984</v>
      </c>
      <c r="U402" s="51">
        <v>34197.79235395635</v>
      </c>
      <c r="V402" s="51">
        <v>-263477.88246438967</v>
      </c>
    </row>
    <row r="403">
      <c r="A403" s="55">
        <v>45075.9599747801</v>
      </c>
      <c r="B403" s="56">
        <v>0.5877766056326598</v>
      </c>
      <c r="C403" s="57">
        <v>-0.0028370934141519477</v>
      </c>
      <c r="D403" s="58">
        <v>-0.8940943052914126</v>
      </c>
      <c r="E403" s="50">
        <v>20.58</v>
      </c>
      <c r="F403" s="57">
        <v>-0.003938487603982965</v>
      </c>
      <c r="G403" s="58">
        <v>-0.6475909787392602</v>
      </c>
      <c r="H403" s="51">
        <v>-54832.51409686695</v>
      </c>
      <c r="I403" s="57">
        <v>0.004934567957478533</v>
      </c>
      <c r="J403" s="57">
        <v>-1.7393040119384133</v>
      </c>
      <c r="K403" s="51">
        <v>86358.06323635143</v>
      </c>
      <c r="L403" s="57">
        <v>-0.007771661371630482</v>
      </c>
      <c r="M403" s="57">
        <v>2.7393040119384136</v>
      </c>
      <c r="N403" s="59">
        <v>0.0011013941898310176</v>
      </c>
      <c r="O403" s="57">
        <v>-0.24650332655215246</v>
      </c>
      <c r="P403" s="51">
        <v>58.39805101008836</v>
      </c>
      <c r="Q403" s="35">
        <v>1531.8536996834052</v>
      </c>
      <c r="R403" s="13">
        <v>5363.531182865308</v>
      </c>
      <c r="S403" s="57">
        <v>-0.6973966770125211</v>
      </c>
      <c r="T403" s="53">
        <v>280235.69559610984</v>
      </c>
      <c r="U403" s="51">
        <v>31525.54913948448</v>
      </c>
      <c r="V403" s="51">
        <v>-266150.1256788616</v>
      </c>
    </row>
    <row r="404">
      <c r="A404" s="55">
        <v>45074.959970185184</v>
      </c>
      <c r="B404" s="56">
        <v>0.6035224740812032</v>
      </c>
      <c r="C404" s="57">
        <v>0.012802070647939257</v>
      </c>
      <c r="D404" s="58">
        <v>-0.8912572118772607</v>
      </c>
      <c r="E404" s="50">
        <v>20.81</v>
      </c>
      <c r="F404" s="57">
        <v>0.014212803092634285</v>
      </c>
      <c r="G404" s="58">
        <v>-0.6436524911352772</v>
      </c>
      <c r="H404" s="51">
        <v>-54847.72097053726</v>
      </c>
      <c r="I404" s="57">
        <v>-0.02169177021570569</v>
      </c>
      <c r="J404" s="57">
        <v>-1.6943954468176132</v>
      </c>
      <c r="K404" s="51">
        <v>87217.80380660211</v>
      </c>
      <c r="L404" s="57">
        <v>0.034493840863644945</v>
      </c>
      <c r="M404" s="57">
        <v>2.6943954468176132</v>
      </c>
      <c r="N404" s="59">
        <v>-0.0014107324446950287</v>
      </c>
      <c r="O404" s="57">
        <v>-0.24760472074198348</v>
      </c>
      <c r="P404" s="51">
        <v>58.39805101008836</v>
      </c>
      <c r="Q404" s="35">
        <v>1555.5061430112855</v>
      </c>
      <c r="R404" s="13">
        <v>5363.531182865308</v>
      </c>
      <c r="S404" s="57">
        <v>-0.6927243587948814</v>
      </c>
      <c r="T404" s="53">
        <v>280235.69559610984</v>
      </c>
      <c r="U404" s="51">
        <v>32370.082836064852</v>
      </c>
      <c r="V404" s="51">
        <v>-265305.5919822812</v>
      </c>
    </row>
    <row r="405">
      <c r="A405" s="55">
        <v>45073.959959907406</v>
      </c>
      <c r="B405" s="56">
        <v>0.5324709819851401</v>
      </c>
      <c r="C405" s="57">
        <v>0.007509229109595061</v>
      </c>
      <c r="D405" s="58">
        <v>-0.9040592825252</v>
      </c>
      <c r="E405" s="50">
        <v>19.98</v>
      </c>
      <c r="F405" s="57">
        <v>0.009075645348308514</v>
      </c>
      <c r="G405" s="58">
        <v>-0.6578652942279115</v>
      </c>
      <c r="H405" s="51">
        <v>-55145.362568738936</v>
      </c>
      <c r="I405" s="57">
        <v>-0.014499667480941196</v>
      </c>
      <c r="J405" s="57">
        <v>-1.9309129165354626</v>
      </c>
      <c r="K405" s="51">
        <v>83704.58038560631</v>
      </c>
      <c r="L405" s="57">
        <v>0.022008896590536255</v>
      </c>
      <c r="M405" s="57">
        <v>2.9309129165354624</v>
      </c>
      <c r="N405" s="59">
        <v>-0.0015664162387134528</v>
      </c>
      <c r="O405" s="57">
        <v>-0.24619398829728845</v>
      </c>
      <c r="P405" s="51">
        <v>58.39805101008836</v>
      </c>
      <c r="Q405" s="35">
        <v>1429.3902811244934</v>
      </c>
      <c r="R405" s="13">
        <v>5363.531182865308</v>
      </c>
      <c r="S405" s="57">
        <v>-0.7176373638006861</v>
      </c>
      <c r="T405" s="53">
        <v>280235.69559610984</v>
      </c>
      <c r="U405" s="51">
        <v>28559.217816867378</v>
      </c>
      <c r="V405" s="51">
        <v>-269116.45700147864</v>
      </c>
    </row>
    <row r="406">
      <c r="A406" s="55">
        <v>45072.959970219905</v>
      </c>
      <c r="B406" s="56">
        <v>0.4907947604268877</v>
      </c>
      <c r="C406" s="57">
        <v>0.003150735477636668</v>
      </c>
      <c r="D406" s="58">
        <v>-0.911568511634795</v>
      </c>
      <c r="E406" s="50">
        <v>19.45</v>
      </c>
      <c r="F406" s="57">
        <v>0.00376724901250558</v>
      </c>
      <c r="G406" s="58">
        <v>-0.66694093957622</v>
      </c>
      <c r="H406" s="51">
        <v>-55143.51908823941</v>
      </c>
      <c r="I406" s="57">
        <v>-0.006600185471077559</v>
      </c>
      <c r="J406" s="57">
        <v>-2.0948078688053764</v>
      </c>
      <c r="K406" s="51">
        <v>81467.42206254252</v>
      </c>
      <c r="L406" s="57">
        <v>0.009750920948714227</v>
      </c>
      <c r="M406" s="57">
        <v>3.0948078688053764</v>
      </c>
      <c r="N406" s="59">
        <v>-6.165135348689121E-4</v>
      </c>
      <c r="O406" s="57">
        <v>-0.244627572058575</v>
      </c>
      <c r="P406" s="51">
        <v>58.39805101008836</v>
      </c>
      <c r="Q406" s="35">
        <v>1353.4140346685406</v>
      </c>
      <c r="R406" s="13">
        <v>5363.531182865308</v>
      </c>
      <c r="S406" s="57">
        <v>-0.7326457583036589</v>
      </c>
      <c r="T406" s="53">
        <v>280235.69559610984</v>
      </c>
      <c r="U406" s="51">
        <v>26323.902974303113</v>
      </c>
      <c r="V406" s="51">
        <v>-271351.77184404293</v>
      </c>
    </row>
    <row r="407">
      <c r="A407" s="55">
        <v>45071.959957280094</v>
      </c>
      <c r="B407" s="56">
        <v>0.47330817852600404</v>
      </c>
      <c r="C407" s="57">
        <v>1.273052943813191E-4</v>
      </c>
      <c r="D407" s="58">
        <v>-0.9147192471124317</v>
      </c>
      <c r="E407" s="50">
        <v>19.23</v>
      </c>
      <c r="F407" s="57">
        <v>0.0</v>
      </c>
      <c r="G407" s="58">
        <v>-0.6707081885887256</v>
      </c>
      <c r="H407" s="51">
        <v>-55143.29781283213</v>
      </c>
      <c r="I407" s="57">
        <v>-2.765316392782011E-4</v>
      </c>
      <c r="J407" s="57">
        <v>-2.1721927640330696</v>
      </c>
      <c r="K407" s="51">
        <v>80529.30347765563</v>
      </c>
      <c r="L407" s="57">
        <v>4.038369336595202E-4</v>
      </c>
      <c r="M407" s="57">
        <v>3.1721927640330696</v>
      </c>
      <c r="N407" s="59">
        <v>1.273052943813191E-4</v>
      </c>
      <c r="O407" s="57">
        <v>-0.24401105852370608</v>
      </c>
      <c r="P407" s="51">
        <v>58.39805101008836</v>
      </c>
      <c r="Q407" s="35">
        <v>1320.125099574805</v>
      </c>
      <c r="R407" s="13">
        <v>5363.531182865308</v>
      </c>
      <c r="S407" s="57">
        <v>-0.7392216750378489</v>
      </c>
      <c r="T407" s="53">
        <v>280235.69559610984</v>
      </c>
      <c r="U407" s="51">
        <v>25386.005664823504</v>
      </c>
      <c r="V407" s="51">
        <v>-272289.6691535225</v>
      </c>
    </row>
    <row r="408">
      <c r="A408" s="55">
        <v>45070.95996949074</v>
      </c>
      <c r="B408" s="56">
        <v>0.47260163414218764</v>
      </c>
      <c r="C408" s="57">
        <v>-0.01226248918398043</v>
      </c>
      <c r="D408" s="58">
        <v>-0.914846552406813</v>
      </c>
      <c r="E408" s="50">
        <v>19.23</v>
      </c>
      <c r="F408" s="57">
        <v>-0.015068996050021877</v>
      </c>
      <c r="G408" s="58">
        <v>-0.6707081885887256</v>
      </c>
      <c r="H408" s="51">
        <v>-55164.55732629172</v>
      </c>
      <c r="I408" s="57">
        <v>0.026686596681524895</v>
      </c>
      <c r="J408" s="57">
        <v>-2.176278917039776</v>
      </c>
      <c r="K408" s="51">
        <v>80512.66730170231</v>
      </c>
      <c r="L408" s="57">
        <v>-0.03894908586550533</v>
      </c>
      <c r="M408" s="57">
        <v>3.176278917039776</v>
      </c>
      <c r="N408" s="59">
        <v>0.002806506866041447</v>
      </c>
      <c r="O408" s="57">
        <v>-0.2441383638180874</v>
      </c>
      <c r="P408" s="51">
        <v>58.39805101008836</v>
      </c>
      <c r="Q408" s="35">
        <v>1318.154444899147</v>
      </c>
      <c r="R408" s="13">
        <v>5363.531182865308</v>
      </c>
      <c r="S408" s="57">
        <v>-0.7396109593757971</v>
      </c>
      <c r="T408" s="53">
        <v>280235.69559610984</v>
      </c>
      <c r="U408" s="51">
        <v>25348.109975410596</v>
      </c>
      <c r="V408" s="51">
        <v>-272327.5648429354</v>
      </c>
    </row>
    <row r="409">
      <c r="A409" s="55">
        <v>45069.9599678125</v>
      </c>
      <c r="B409" s="56">
        <v>0.5406584491132792</v>
      </c>
      <c r="C409" s="57">
        <v>0.006065514277868944</v>
      </c>
      <c r="D409" s="58">
        <v>-0.9025840632228326</v>
      </c>
      <c r="E409" s="50">
        <v>20.11</v>
      </c>
      <c r="F409" s="57">
        <v>0.007192020842055835</v>
      </c>
      <c r="G409" s="58">
        <v>-0.6556391925387037</v>
      </c>
      <c r="H409" s="51">
        <v>-55181.32213768788</v>
      </c>
      <c r="I409" s="57">
        <v>-0.011542140943869166</v>
      </c>
      <c r="J409" s="57">
        <v>-1.9029121711876307</v>
      </c>
      <c r="K409" s="51">
        <v>84179.67685589253</v>
      </c>
      <c r="L409" s="57">
        <v>0.01760765522173811</v>
      </c>
      <c r="M409" s="57">
        <v>2.902912171187631</v>
      </c>
      <c r="N409" s="59">
        <v>-0.001126506564186891</v>
      </c>
      <c r="O409" s="57">
        <v>-0.24694487068412885</v>
      </c>
      <c r="P409" s="51">
        <v>58.39805101008836</v>
      </c>
      <c r="Q409" s="35">
        <v>1441.986808463682</v>
      </c>
      <c r="R409" s="13">
        <v>5363.531182865308</v>
      </c>
      <c r="S409" s="57">
        <v>-0.7151490380345057</v>
      </c>
      <c r="T409" s="53">
        <v>280235.69559610984</v>
      </c>
      <c r="U409" s="51">
        <v>28998.354718204646</v>
      </c>
      <c r="V409" s="51">
        <v>-268677.3201001414</v>
      </c>
    </row>
    <row r="410">
      <c r="A410" s="55">
        <v>45068.96015263889</v>
      </c>
      <c r="B410" s="56">
        <v>0.5069948448711066</v>
      </c>
      <c r="C410" s="57">
        <v>9.741592238001751E-4</v>
      </c>
      <c r="D410" s="58">
        <v>-0.9086495775007015</v>
      </c>
      <c r="E410" s="50">
        <v>19.69</v>
      </c>
      <c r="F410" s="57">
        <v>0.0011986701403426947</v>
      </c>
      <c r="G410" s="58">
        <v>-0.6628312133807596</v>
      </c>
      <c r="H410" s="51">
        <v>-55211.74042034048</v>
      </c>
      <c r="I410" s="57">
        <v>-0.0019779143316670175</v>
      </c>
      <c r="J410" s="57">
        <v>-2.0303809514333957</v>
      </c>
      <c r="K410" s="51">
        <v>82404.53908276018</v>
      </c>
      <c r="L410" s="57">
        <v>0.0029520735554671926</v>
      </c>
      <c r="M410" s="57">
        <v>3.0303809514333957</v>
      </c>
      <c r="N410" s="59">
        <v>-2.2451091654251965E-4</v>
      </c>
      <c r="O410" s="57">
        <v>-0.24581836411994196</v>
      </c>
      <c r="P410" s="51">
        <v>58.39805101008836</v>
      </c>
      <c r="Q410" s="35">
        <v>1381.0461484215184</v>
      </c>
      <c r="R410" s="13">
        <v>5363.531182865308</v>
      </c>
      <c r="S410" s="57">
        <v>-0.7271872935399891</v>
      </c>
      <c r="T410" s="53">
        <v>280235.69559610984</v>
      </c>
      <c r="U410" s="51">
        <v>27192.7986624197</v>
      </c>
      <c r="V410" s="51">
        <v>-270482.8761559263</v>
      </c>
    </row>
    <row r="411">
      <c r="A411" s="55">
        <v>45067.95996429399</v>
      </c>
      <c r="B411" s="56">
        <v>0.5015882611790158</v>
      </c>
      <c r="C411" s="57">
        <v>-0.008750594529920108</v>
      </c>
      <c r="D411" s="58">
        <v>-0.9096237367245017</v>
      </c>
      <c r="E411" s="50">
        <v>19.62</v>
      </c>
      <c r="F411" s="57">
        <v>-0.01078803126308392</v>
      </c>
      <c r="G411" s="58">
        <v>-0.6640298835211023</v>
      </c>
      <c r="H411" s="51">
        <v>-55208.76720877982</v>
      </c>
      <c r="I411" s="57">
        <v>0.01795758300764387</v>
      </c>
      <c r="J411" s="57">
        <v>-2.0521557645304154</v>
      </c>
      <c r="K411" s="51">
        <v>82111.5823668743</v>
      </c>
      <c r="L411" s="57">
        <v>-0.02670817753756398</v>
      </c>
      <c r="M411" s="57">
        <v>3.0521557645304154</v>
      </c>
      <c r="N411" s="59">
        <v>0.002037436733163811</v>
      </c>
      <c r="O411" s="57">
        <v>-0.24559385320339944</v>
      </c>
      <c r="P411" s="51">
        <v>58.39805101008836</v>
      </c>
      <c r="Q411" s="35">
        <v>1371.193433134275</v>
      </c>
      <c r="R411" s="13">
        <v>5363.531182865308</v>
      </c>
      <c r="S411" s="57">
        <v>-0.7291336049840818</v>
      </c>
      <c r="T411" s="53">
        <v>280235.69559610984</v>
      </c>
      <c r="U411" s="51">
        <v>26902.815158094476</v>
      </c>
      <c r="V411" s="51">
        <v>-270772.8596602516</v>
      </c>
    </row>
    <row r="412">
      <c r="A412" s="55">
        <v>45066.95996078703</v>
      </c>
      <c r="B412" s="56">
        <v>0.5501540608200719</v>
      </c>
      <c r="C412" s="57">
        <v>-0.0015178583095715181</v>
      </c>
      <c r="D412" s="58">
        <v>-0.9008731421945816</v>
      </c>
      <c r="E412" s="50">
        <v>20.25</v>
      </c>
      <c r="F412" s="57">
        <v>-0.00188362450625279</v>
      </c>
      <c r="G412" s="58">
        <v>-0.6532418522580183</v>
      </c>
      <c r="H412" s="51">
        <v>-55205.50133195206</v>
      </c>
      <c r="I412" s="57">
        <v>0.002839742126150228</v>
      </c>
      <c r="J412" s="57">
        <v>-1.870887492095273</v>
      </c>
      <c r="K412" s="51">
        <v>84713.1556218022</v>
      </c>
      <c r="L412" s="57">
        <v>-0.0043576004357217465</v>
      </c>
      <c r="M412" s="57">
        <v>2.870887492095273</v>
      </c>
      <c r="N412" s="59">
        <v>3.6576619668127197E-4</v>
      </c>
      <c r="O412" s="57">
        <v>-0.24763128993656325</v>
      </c>
      <c r="P412" s="51">
        <v>58.39805101008836</v>
      </c>
      <c r="Q412" s="35">
        <v>1457.1681130790193</v>
      </c>
      <c r="R412" s="13">
        <v>5363.531182865308</v>
      </c>
      <c r="S412" s="57">
        <v>-0.7121501137737648</v>
      </c>
      <c r="T412" s="53">
        <v>280235.69559610984</v>
      </c>
      <c r="U412" s="51">
        <v>29507.654289850143</v>
      </c>
      <c r="V412" s="51">
        <v>-268168.0205284959</v>
      </c>
    </row>
    <row r="413">
      <c r="A413" s="55">
        <v>45065.959970497686</v>
      </c>
      <c r="B413" s="56">
        <v>0.5585781744381941</v>
      </c>
      <c r="C413" s="57">
        <v>-0.02171496548322227</v>
      </c>
      <c r="D413" s="58">
        <v>-0.8993552838850101</v>
      </c>
      <c r="E413" s="50">
        <v>20.36</v>
      </c>
      <c r="F413" s="57">
        <v>-0.026370743087538284</v>
      </c>
      <c r="G413" s="58">
        <v>-0.6513582277517656</v>
      </c>
      <c r="H413" s="51">
        <v>-55213.84206344073</v>
      </c>
      <c r="I413" s="57">
        <v>0.040019603914095064</v>
      </c>
      <c r="J413" s="57">
        <v>-1.842950381156055</v>
      </c>
      <c r="K413" s="51">
        <v>85173.32584987122</v>
      </c>
      <c r="L413" s="57">
        <v>-0.061734569397317335</v>
      </c>
      <c r="M413" s="57">
        <v>2.8429503811560553</v>
      </c>
      <c r="N413" s="59">
        <v>0.004655777604316014</v>
      </c>
      <c r="O413" s="57">
        <v>-0.24799705613324452</v>
      </c>
      <c r="P413" s="51">
        <v>58.39805101008836</v>
      </c>
      <c r="Q413" s="35">
        <v>1471.4874158364682</v>
      </c>
      <c r="R413" s="13">
        <v>5363.531182865308</v>
      </c>
      <c r="S413" s="57">
        <v>-0.70932146989076</v>
      </c>
      <c r="T413" s="53">
        <v>280235.69559610984</v>
      </c>
      <c r="U413" s="51">
        <v>29959.483786430494</v>
      </c>
      <c r="V413" s="51">
        <v>-267716.19103191554</v>
      </c>
    </row>
    <row r="414">
      <c r="A414" s="55">
        <v>45064.959974467594</v>
      </c>
      <c r="B414" s="56">
        <v>0.6790962328700775</v>
      </c>
      <c r="C414" s="57">
        <v>2.55825779289065E-4</v>
      </c>
      <c r="D414" s="58">
        <v>-0.8776403184017878</v>
      </c>
      <c r="E414" s="50">
        <v>21.9</v>
      </c>
      <c r="F414" s="57">
        <v>0.0</v>
      </c>
      <c r="G414" s="58">
        <v>-0.6249874846642273</v>
      </c>
      <c r="H414" s="51">
        <v>-55172.25310247455</v>
      </c>
      <c r="I414" s="57">
        <v>-3.8751038035395827E-4</v>
      </c>
      <c r="J414" s="57">
        <v>-1.5147432812707236</v>
      </c>
      <c r="K414" s="51">
        <v>91595.75389278031</v>
      </c>
      <c r="L414" s="57">
        <v>6.433361596430233E-4</v>
      </c>
      <c r="M414" s="57">
        <v>2.5147432812707238</v>
      </c>
      <c r="N414" s="59">
        <v>2.55825779289065E-4</v>
      </c>
      <c r="O414" s="57">
        <v>-0.25265283373756053</v>
      </c>
      <c r="P414" s="51">
        <v>58.39805101008836</v>
      </c>
      <c r="Q414" s="35">
        <v>1663.1735520687564</v>
      </c>
      <c r="R414" s="13">
        <v>5363.531182865308</v>
      </c>
      <c r="S414" s="57">
        <v>-0.6714556725195691</v>
      </c>
      <c r="T414" s="53">
        <v>280235.69559610984</v>
      </c>
      <c r="U414" s="51">
        <v>36423.50079030576</v>
      </c>
      <c r="V414" s="51">
        <v>-261252.1740280403</v>
      </c>
    </row>
    <row r="415">
      <c r="A415" s="55">
        <v>45063.959962939814</v>
      </c>
      <c r="B415" s="56">
        <v>0.6776763997950236</v>
      </c>
      <c r="C415" s="57">
        <v>1.1566339666391201E-4</v>
      </c>
      <c r="D415" s="58">
        <v>-0.8778961441810769</v>
      </c>
      <c r="E415" s="50">
        <v>21.9</v>
      </c>
      <c r="F415" s="57">
        <v>0.0</v>
      </c>
      <c r="G415" s="58">
        <v>-0.6249874846642273</v>
      </c>
      <c r="H415" s="51">
        <v>-55229.46031555748</v>
      </c>
      <c r="I415" s="57">
        <v>-1.7574946685131824E-4</v>
      </c>
      <c r="J415" s="57">
        <v>-1.519490797611632</v>
      </c>
      <c r="K415" s="51">
        <v>91576.80799437746</v>
      </c>
      <c r="L415" s="57">
        <v>2.9141286351523025E-4</v>
      </c>
      <c r="M415" s="57">
        <v>2.519490797611632</v>
      </c>
      <c r="N415" s="59">
        <v>1.1566339666391201E-4</v>
      </c>
      <c r="O415" s="57">
        <v>-0.2529086595168496</v>
      </c>
      <c r="P415" s="51">
        <v>58.39805101008836</v>
      </c>
      <c r="Q415" s="35">
        <v>1659.6962410420085</v>
      </c>
      <c r="R415" s="13">
        <v>5363.531182865308</v>
      </c>
      <c r="S415" s="57">
        <v>-0.6721425826807499</v>
      </c>
      <c r="T415" s="53">
        <v>280235.69559610984</v>
      </c>
      <c r="U415" s="51">
        <v>36347.347678819984</v>
      </c>
      <c r="V415" s="51">
        <v>-261328.32713952605</v>
      </c>
    </row>
    <row r="416">
      <c r="A416" s="55">
        <v>45062.95996666666</v>
      </c>
      <c r="B416" s="56">
        <v>0.6770344679435385</v>
      </c>
      <c r="C416" s="57">
        <v>9.018008351924234E-5</v>
      </c>
      <c r="D416" s="58">
        <v>-0.8780118075777408</v>
      </c>
      <c r="E416" s="50">
        <v>21.9</v>
      </c>
      <c r="F416" s="57">
        <v>0.0</v>
      </c>
      <c r="G416" s="58">
        <v>-0.6249874846642273</v>
      </c>
      <c r="H416" s="51">
        <v>-55244.94459680834</v>
      </c>
      <c r="I416" s="57">
        <v>-1.3719618419176809E-4</v>
      </c>
      <c r="J416" s="57">
        <v>-1.5213579189299997</v>
      </c>
      <c r="K416" s="51">
        <v>91557.86209597459</v>
      </c>
      <c r="L416" s="57">
        <v>2.2737626771101042E-4</v>
      </c>
      <c r="M416" s="57">
        <v>2.5213579189299997</v>
      </c>
      <c r="N416" s="59">
        <v>9.018008351924234E-5</v>
      </c>
      <c r="O416" s="57">
        <v>-0.2530243229135135</v>
      </c>
      <c r="P416" s="51">
        <v>58.39805101008836</v>
      </c>
      <c r="Q416" s="35">
        <v>1658.1240867199203</v>
      </c>
      <c r="R416" s="13">
        <v>5363.531182865308</v>
      </c>
      <c r="S416" s="57">
        <v>-0.6724531470134999</v>
      </c>
      <c r="T416" s="53">
        <v>280235.69559610984</v>
      </c>
      <c r="U416" s="51">
        <v>36312.91749916625</v>
      </c>
      <c r="V416" s="51">
        <v>-261362.7573191798</v>
      </c>
    </row>
    <row r="417">
      <c r="A417" s="55">
        <v>45061.95999672454</v>
      </c>
      <c r="B417" s="56">
        <v>0.6765339684800071</v>
      </c>
      <c r="C417" s="57">
        <v>1.0773859982460277E-4</v>
      </c>
      <c r="D417" s="58">
        <v>-0.87810198766126</v>
      </c>
      <c r="E417" s="50">
        <v>21.9</v>
      </c>
      <c r="F417" s="57">
        <v>0.0</v>
      </c>
      <c r="G417" s="58">
        <v>-0.6249874846642273</v>
      </c>
      <c r="H417" s="51">
        <v>-55252.84311562225</v>
      </c>
      <c r="I417" s="57">
        <v>-1.6405368363122308E-4</v>
      </c>
      <c r="J417" s="57">
        <v>-1.5227010922575626</v>
      </c>
      <c r="K417" s="51">
        <v>91538.91619757176</v>
      </c>
      <c r="L417" s="57">
        <v>2.7179228345582584E-4</v>
      </c>
      <c r="M417" s="57">
        <v>2.5227010922575626</v>
      </c>
      <c r="N417" s="59">
        <v>1.0773859982460277E-4</v>
      </c>
      <c r="O417" s="57">
        <v>-0.25311450299703275</v>
      </c>
      <c r="P417" s="51">
        <v>58.39805101008836</v>
      </c>
      <c r="Q417" s="35">
        <v>1656.8983142442698</v>
      </c>
      <c r="R417" s="13">
        <v>5363.531182865308</v>
      </c>
      <c r="S417" s="57">
        <v>-0.6726952868630398</v>
      </c>
      <c r="T417" s="53">
        <v>280235.69559610984</v>
      </c>
      <c r="U417" s="51">
        <v>36286.07308194951</v>
      </c>
      <c r="V417" s="51">
        <v>-261389.60173639655</v>
      </c>
    </row>
    <row r="418">
      <c r="A418" s="55">
        <v>45060.95996550926</v>
      </c>
      <c r="B418" s="56">
        <v>0.6759360192509806</v>
      </c>
      <c r="C418" s="57">
        <v>7.09720549182391E-5</v>
      </c>
      <c r="D418" s="58">
        <v>-0.8782097262610846</v>
      </c>
      <c r="E418" s="50">
        <v>21.9</v>
      </c>
      <c r="F418" s="57">
        <v>0.0</v>
      </c>
      <c r="G418" s="58">
        <v>-0.6249874846642273</v>
      </c>
      <c r="H418" s="51">
        <v>-55233.57142857143</v>
      </c>
      <c r="I418" s="57">
        <v>-1.0812709927147932E-4</v>
      </c>
      <c r="J418" s="57">
        <v>-1.5235165361358551</v>
      </c>
      <c r="K418" s="51">
        <v>91487.57335011417</v>
      </c>
      <c r="L418" s="57">
        <v>1.7909915418971842E-4</v>
      </c>
      <c r="M418" s="57">
        <v>2.523516536135855</v>
      </c>
      <c r="N418" s="59">
        <v>7.09720549182391E-5</v>
      </c>
      <c r="O418" s="57">
        <v>-0.25322224159685736</v>
      </c>
      <c r="P418" s="51">
        <v>58.39805101008836</v>
      </c>
      <c r="Q418" s="35">
        <v>1655.4338776960155</v>
      </c>
      <c r="R418" s="13">
        <v>5363.531182865308</v>
      </c>
      <c r="S418" s="57">
        <v>-0.6729845725604257</v>
      </c>
      <c r="T418" s="53">
        <v>280235.69559610984</v>
      </c>
      <c r="U418" s="51">
        <v>36254.00192154274</v>
      </c>
      <c r="V418" s="51">
        <v>-261421.6728968033</v>
      </c>
    </row>
    <row r="419">
      <c r="A419" s="55">
        <v>45059.959976921295</v>
      </c>
      <c r="B419" s="56">
        <v>0.6755421243461839</v>
      </c>
      <c r="C419" s="57">
        <v>2.41355308534974E-4</v>
      </c>
      <c r="D419" s="58">
        <v>-0.8782806983160029</v>
      </c>
      <c r="E419" s="50">
        <v>21.9</v>
      </c>
      <c r="F419" s="57">
        <v>0.0</v>
      </c>
      <c r="G419" s="58">
        <v>-0.6249874846642273</v>
      </c>
      <c r="H419" s="51">
        <v>-55235.805484147386</v>
      </c>
      <c r="I419" s="57">
        <v>-3.6793808872441193E-4</v>
      </c>
      <c r="J419" s="57">
        <v>-1.5244665259603984</v>
      </c>
      <c r="K419" s="51">
        <v>91468.68075134906</v>
      </c>
      <c r="L419" s="57">
        <v>6.09293397259386E-4</v>
      </c>
      <c r="M419" s="57">
        <v>2.5244665259603987</v>
      </c>
      <c r="N419" s="59">
        <v>2.41355308534974E-4</v>
      </c>
      <c r="O419" s="57">
        <v>-0.2532932136517756</v>
      </c>
      <c r="P419" s="51">
        <v>58.39805101008836</v>
      </c>
      <c r="Q419" s="35">
        <v>1654.4691902831817</v>
      </c>
      <c r="R419" s="13">
        <v>5363.531182865308</v>
      </c>
      <c r="S419" s="57">
        <v>-0.6731751375059084</v>
      </c>
      <c r="T419" s="53">
        <v>280235.69559610984</v>
      </c>
      <c r="U419" s="51">
        <v>36232.87526720168</v>
      </c>
      <c r="V419" s="51">
        <v>-261442.79955114436</v>
      </c>
    </row>
    <row r="420">
      <c r="A420" s="55">
        <v>45058.95997271991</v>
      </c>
      <c r="B420" s="56">
        <v>0.674202602383815</v>
      </c>
      <c r="C420" s="57">
        <v>1.893738291475211E-4</v>
      </c>
      <c r="D420" s="58">
        <v>-0.8785220536245378</v>
      </c>
      <c r="E420" s="50">
        <v>21.9</v>
      </c>
      <c r="F420" s="57">
        <v>0.0</v>
      </c>
      <c r="G420" s="58">
        <v>-0.6249874846642273</v>
      </c>
      <c r="H420" s="51">
        <v>-55288.758270721424</v>
      </c>
      <c r="I420" s="57">
        <v>-2.895449593154465E-4</v>
      </c>
      <c r="J420" s="57">
        <v>-1.5289597333425236</v>
      </c>
      <c r="K420" s="51">
        <v>91449.78793358398</v>
      </c>
      <c r="L420" s="57">
        <v>4.789187884629676E-4</v>
      </c>
      <c r="M420" s="57">
        <v>2.5289597333425236</v>
      </c>
      <c r="N420" s="59">
        <v>1.893738291475211E-4</v>
      </c>
      <c r="O420" s="57">
        <v>-0.25353456896031057</v>
      </c>
      <c r="P420" s="51">
        <v>58.39805101008836</v>
      </c>
      <c r="Q420" s="35">
        <v>1651.1885690804822</v>
      </c>
      <c r="R420" s="13">
        <v>5363.531182865308</v>
      </c>
      <c r="S420" s="57">
        <v>-0.6738231934381461</v>
      </c>
      <c r="T420" s="53">
        <v>280235.69559610984</v>
      </c>
      <c r="U420" s="51">
        <v>36161.02966286256</v>
      </c>
      <c r="V420" s="51">
        <v>-261514.64515548348</v>
      </c>
    </row>
    <row r="421">
      <c r="A421" s="55">
        <v>45057.95997260416</v>
      </c>
      <c r="B421" s="56">
        <v>0.6731515776320464</v>
      </c>
      <c r="C421" s="57">
        <v>2.1556636944242147E-4</v>
      </c>
      <c r="D421" s="58">
        <v>-0.8787114274536854</v>
      </c>
      <c r="E421" s="50">
        <v>21.9</v>
      </c>
      <c r="F421" s="57">
        <v>0.0</v>
      </c>
      <c r="G421" s="58">
        <v>-0.6249874846642273</v>
      </c>
      <c r="H421" s="51">
        <v>-55282.14283097327</v>
      </c>
      <c r="I421" s="57">
        <v>-3.3006740932247714E-4</v>
      </c>
      <c r="J421" s="57">
        <v>-1.5311637440303012</v>
      </c>
      <c r="K421" s="51">
        <v>91386.80051145141</v>
      </c>
      <c r="L421" s="57">
        <v>5.456337787648986E-4</v>
      </c>
      <c r="M421" s="57">
        <v>2.531163744030301</v>
      </c>
      <c r="N421" s="59">
        <v>2.1556636944242147E-4</v>
      </c>
      <c r="O421" s="57">
        <v>-0.2537239427894581</v>
      </c>
      <c r="P421" s="51">
        <v>58.39805101008836</v>
      </c>
      <c r="Q421" s="35">
        <v>1648.614505957906</v>
      </c>
      <c r="R421" s="13">
        <v>5363.531182865308</v>
      </c>
      <c r="S421" s="57">
        <v>-0.6743316754522132</v>
      </c>
      <c r="T421" s="53">
        <v>280235.69559610984</v>
      </c>
      <c r="U421" s="51">
        <v>36104.657680478136</v>
      </c>
      <c r="V421" s="51">
        <v>-261571.01713786792</v>
      </c>
    </row>
    <row r="422">
      <c r="A422" s="55">
        <v>45056.959972303244</v>
      </c>
      <c r="B422" s="56">
        <v>0.6719551842816409</v>
      </c>
      <c r="C422" s="57">
        <v>3.5941200840272636E-5</v>
      </c>
      <c r="D422" s="58">
        <v>-0.8789269938231278</v>
      </c>
      <c r="E422" s="50">
        <v>21.9</v>
      </c>
      <c r="F422" s="57">
        <v>0.0</v>
      </c>
      <c r="G422" s="58">
        <v>-0.6249874846642273</v>
      </c>
      <c r="H422" s="51">
        <v>-55327.441676227936</v>
      </c>
      <c r="I422" s="57">
        <v>-5.517502005638E-5</v>
      </c>
      <c r="J422" s="57">
        <v>-1.5351468166460256</v>
      </c>
      <c r="K422" s="51">
        <v>91367.93049221416</v>
      </c>
      <c r="L422" s="57">
        <v>9.111622089665263E-5</v>
      </c>
      <c r="M422" s="57">
        <v>2.5351468166460256</v>
      </c>
      <c r="N422" s="59">
        <v>3.5941200840272636E-5</v>
      </c>
      <c r="O422" s="57">
        <v>-0.2539395091589005</v>
      </c>
      <c r="P422" s="51">
        <v>58.39805101008836</v>
      </c>
      <c r="Q422" s="35">
        <v>1645.6844208212888</v>
      </c>
      <c r="R422" s="13">
        <v>5363.531182865308</v>
      </c>
      <c r="S422" s="57">
        <v>-0.6749104862741342</v>
      </c>
      <c r="T422" s="53">
        <v>280235.69559610984</v>
      </c>
      <c r="U422" s="51">
        <v>36040.488815986224</v>
      </c>
      <c r="V422" s="51">
        <v>-261635.1860023598</v>
      </c>
    </row>
    <row r="423">
      <c r="A423" s="55">
        <v>45055.959968668976</v>
      </c>
      <c r="B423" s="56">
        <v>0.6717557106169773</v>
      </c>
      <c r="C423" s="57">
        <v>1.9607828510581626E-4</v>
      </c>
      <c r="D423" s="58">
        <v>-0.878962935023968</v>
      </c>
      <c r="E423" s="50">
        <v>21.9</v>
      </c>
      <c r="F423" s="57">
        <v>0.0</v>
      </c>
      <c r="G423" s="58">
        <v>-0.6249874846642273</v>
      </c>
      <c r="H423" s="51">
        <v>-55319.27047820459</v>
      </c>
      <c r="I423" s="57">
        <v>-3.0105386931883265E-4</v>
      </c>
      <c r="J423" s="57">
        <v>-1.5353758788555545</v>
      </c>
      <c r="K423" s="51">
        <v>91349.0604729769</v>
      </c>
      <c r="L423" s="57">
        <v>4.971321544246488E-4</v>
      </c>
      <c r="M423" s="57">
        <v>2.5353758788555543</v>
      </c>
      <c r="N423" s="59">
        <v>1.9607828510581626E-4</v>
      </c>
      <c r="O423" s="57">
        <v>-0.2539754503597408</v>
      </c>
      <c r="P423" s="51">
        <v>58.39805101008836</v>
      </c>
      <c r="Q423" s="35">
        <v>1645.1958901722514</v>
      </c>
      <c r="R423" s="13">
        <v>5363.531182865308</v>
      </c>
      <c r="S423" s="57">
        <v>-0.6750069909193301</v>
      </c>
      <c r="T423" s="53">
        <v>280235.69559610984</v>
      </c>
      <c r="U423" s="51">
        <v>36029.789994772305</v>
      </c>
      <c r="V423" s="51">
        <v>-261645.88482357375</v>
      </c>
    </row>
    <row r="424">
      <c r="A424" s="55">
        <v>45054.9599716088</v>
      </c>
      <c r="B424" s="56">
        <v>0.6706674761346398</v>
      </c>
      <c r="C424" s="57">
        <v>6.643902300496052E-5</v>
      </c>
      <c r="D424" s="58">
        <v>-0.8791590133090739</v>
      </c>
      <c r="E424" s="50">
        <v>21.9</v>
      </c>
      <c r="F424" s="57">
        <v>0.0</v>
      </c>
      <c r="G424" s="58">
        <v>-0.6249874846642273</v>
      </c>
      <c r="H424" s="51">
        <v>-55358.76819480342</v>
      </c>
      <c r="I424" s="57">
        <v>-1.0224734643921729E-4</v>
      </c>
      <c r="J424" s="57">
        <v>-1.5389652317973312</v>
      </c>
      <c r="K424" s="51">
        <v>91330.19045373962</v>
      </c>
      <c r="L424" s="57">
        <v>1.686863694441778E-4</v>
      </c>
      <c r="M424" s="57">
        <v>2.5389652317973312</v>
      </c>
      <c r="N424" s="59">
        <v>6.643902300496052E-5</v>
      </c>
      <c r="O424" s="57">
        <v>-0.2541715286448466</v>
      </c>
      <c r="P424" s="51">
        <v>58.39805101008836</v>
      </c>
      <c r="Q424" s="35">
        <v>1642.5306967550775</v>
      </c>
      <c r="R424" s="13">
        <v>5363.531182865308</v>
      </c>
      <c r="S424" s="57">
        <v>-0.6755334748679003</v>
      </c>
      <c r="T424" s="53">
        <v>280235.69559610984</v>
      </c>
      <c r="U424" s="51">
        <v>35971.422258936196</v>
      </c>
      <c r="V424" s="51">
        <v>-261704.25255940986</v>
      </c>
    </row>
    <row r="425">
      <c r="A425" s="55">
        <v>45053.95996581019</v>
      </c>
      <c r="B425" s="56">
        <v>0.6702987395569626</v>
      </c>
      <c r="C425" s="57">
        <v>2.6476921511275897E-4</v>
      </c>
      <c r="D425" s="58">
        <v>-0.8792254523320788</v>
      </c>
      <c r="E425" s="50">
        <v>21.9</v>
      </c>
      <c r="F425" s="57">
        <v>0.0</v>
      </c>
      <c r="G425" s="58">
        <v>-0.6249874846642273</v>
      </c>
      <c r="H425" s="51">
        <v>-55359.675456573386</v>
      </c>
      <c r="I425" s="57">
        <v>-4.077014508941776E-4</v>
      </c>
      <c r="J425" s="57">
        <v>-1.5398370642166506</v>
      </c>
      <c r="K425" s="51">
        <v>91311.32043450233</v>
      </c>
      <c r="L425" s="57">
        <v>6.724706660069365E-4</v>
      </c>
      <c r="M425" s="57">
        <v>2.5398370642166506</v>
      </c>
      <c r="N425" s="59">
        <v>2.6476921511275897E-4</v>
      </c>
      <c r="O425" s="57">
        <v>-0.25423796766785156</v>
      </c>
      <c r="P425" s="51">
        <v>58.39805101008836</v>
      </c>
      <c r="Q425" s="35">
        <v>1641.6276245629654</v>
      </c>
      <c r="R425" s="13">
        <v>5363.531182865308</v>
      </c>
      <c r="S425" s="57">
        <v>-0.6757118683047456</v>
      </c>
      <c r="T425" s="53">
        <v>280235.69559610984</v>
      </c>
      <c r="U425" s="51">
        <v>35951.64497792894</v>
      </c>
      <c r="V425" s="51">
        <v>-261724.0298404171</v>
      </c>
    </row>
    <row r="426">
      <c r="A426" s="55">
        <v>45052.96007534722</v>
      </c>
      <c r="B426" s="56">
        <v>0.6688292704130865</v>
      </c>
      <c r="C426" s="57">
        <v>-7.471647010937055E-5</v>
      </c>
      <c r="D426" s="58">
        <v>-0.8794902215471916</v>
      </c>
      <c r="E426" s="50">
        <v>21.9</v>
      </c>
      <c r="F426" s="57">
        <v>0.0</v>
      </c>
      <c r="G426" s="58">
        <v>-0.6249874846642273</v>
      </c>
      <c r="H426" s="51">
        <v>-55424.578118256366</v>
      </c>
      <c r="I426" s="57">
        <v>1.1543914650169835E-4</v>
      </c>
      <c r="J426" s="57">
        <v>-1.5450294470913526</v>
      </c>
      <c r="K426" s="51">
        <v>91297.40774140548</v>
      </c>
      <c r="L426" s="57">
        <v>-1.901556166110689E-4</v>
      </c>
      <c r="M426" s="57">
        <v>2.545029447091353</v>
      </c>
      <c r="N426" s="59">
        <v>-7.471647010937055E-5</v>
      </c>
      <c r="O426" s="57">
        <v>-0.2545027368829643</v>
      </c>
      <c r="P426" s="51">
        <v>58.39805101008836</v>
      </c>
      <c r="Q426" s="35">
        <v>1638.0287499154847</v>
      </c>
      <c r="R426" s="13">
        <v>5363.531182865308</v>
      </c>
      <c r="S426" s="57">
        <v>-0.6764227922184118</v>
      </c>
      <c r="T426" s="53">
        <v>280235.69559610984</v>
      </c>
      <c r="U426" s="51">
        <v>35872.82962314911</v>
      </c>
      <c r="V426" s="51">
        <v>-261802.84519519692</v>
      </c>
    </row>
    <row r="427">
      <c r="A427" s="55">
        <v>45051.95998271991</v>
      </c>
      <c r="B427" s="56">
        <v>0.6692439468221937</v>
      </c>
      <c r="C427" s="57">
        <v>0.002470499806071058</v>
      </c>
      <c r="D427" s="58">
        <v>-0.8794155050770822</v>
      </c>
      <c r="E427" s="50">
        <v>21.9</v>
      </c>
      <c r="F427" s="57">
        <v>0.0030822946465953738</v>
      </c>
      <c r="G427" s="58">
        <v>-0.6249874846642273</v>
      </c>
      <c r="H427" s="51">
        <v>-55383.46682335925</v>
      </c>
      <c r="I427" s="57">
        <v>-0.0038118003564437</v>
      </c>
      <c r="J427" s="57">
        <v>-1.5429267984868897</v>
      </c>
      <c r="K427" s="51">
        <v>91278.53772216823</v>
      </c>
      <c r="L427" s="57">
        <v>0.006282300162514757</v>
      </c>
      <c r="M427" s="57">
        <v>2.5429267984868895</v>
      </c>
      <c r="N427" s="59">
        <v>-6.117948405243157E-4</v>
      </c>
      <c r="O427" s="57">
        <v>-0.25442802041285495</v>
      </c>
      <c r="P427" s="51">
        <v>58.39805101008836</v>
      </c>
      <c r="Q427" s="35">
        <v>1639.0443332789487</v>
      </c>
      <c r="R427" s="13">
        <v>5363.531182865308</v>
      </c>
      <c r="S427" s="57">
        <v>-0.6762221732555054</v>
      </c>
      <c r="T427" s="53">
        <v>280235.69559610984</v>
      </c>
      <c r="U427" s="51">
        <v>35895.070898808975</v>
      </c>
      <c r="V427" s="51">
        <v>-261780.60391953707</v>
      </c>
    </row>
    <row r="428">
      <c r="A428" s="55">
        <v>45050.960005810186</v>
      </c>
      <c r="B428" s="56">
        <v>0.6555326728984991</v>
      </c>
      <c r="C428" s="57">
        <v>-0.004849990424663941</v>
      </c>
      <c r="D428" s="58">
        <v>-0.8818860048831533</v>
      </c>
      <c r="E428" s="50">
        <v>21.72</v>
      </c>
      <c r="F428" s="57">
        <v>-0.0061645892931907476</v>
      </c>
      <c r="G428" s="58">
        <v>-0.6280697793108226</v>
      </c>
      <c r="H428" s="51">
        <v>-55350.24345623417</v>
      </c>
      <c r="I428" s="57">
        <v>0.007635117242848361</v>
      </c>
      <c r="J428" s="57">
        <v>-1.5742540859505723</v>
      </c>
      <c r="K428" s="51">
        <v>90509.90665813234</v>
      </c>
      <c r="L428" s="57">
        <v>-0.012485107667512303</v>
      </c>
      <c r="M428" s="57">
        <v>2.5742540859505723</v>
      </c>
      <c r="N428" s="59">
        <v>0.0013145988685268062</v>
      </c>
      <c r="O428" s="57">
        <v>-0.25381622557233063</v>
      </c>
      <c r="P428" s="51">
        <v>58.39805101008836</v>
      </c>
      <c r="Q428" s="35">
        <v>1618.769024028461</v>
      </c>
      <c r="R428" s="13">
        <v>5363.531182865308</v>
      </c>
      <c r="S428" s="57">
        <v>-0.6802273703282182</v>
      </c>
      <c r="T428" s="53">
        <v>280235.69559610984</v>
      </c>
      <c r="U428" s="51">
        <v>35159.66320189817</v>
      </c>
      <c r="V428" s="51">
        <v>-262516.0116164479</v>
      </c>
    </row>
    <row r="429">
      <c r="A429" s="55">
        <v>45049.95997258102</v>
      </c>
      <c r="B429" s="56">
        <v>0.6824501197553839</v>
      </c>
      <c r="C429" s="57">
        <v>-0.0020287195394355084</v>
      </c>
      <c r="D429" s="58">
        <v>-0.8770360144584893</v>
      </c>
      <c r="E429" s="50">
        <v>22.08</v>
      </c>
      <c r="F429" s="57">
        <v>-0.0023973402806852784</v>
      </c>
      <c r="G429" s="58">
        <v>-0.6219051900176319</v>
      </c>
      <c r="H429" s="51">
        <v>-55386.10123081928</v>
      </c>
      <c r="I429" s="57">
        <v>0.003069739547073513</v>
      </c>
      <c r="J429" s="57">
        <v>-1.5131414113198065</v>
      </c>
      <c r="K429" s="51">
        <v>91989.4886052418</v>
      </c>
      <c r="L429" s="57">
        <v>-0.005098459086509022</v>
      </c>
      <c r="M429" s="57">
        <v>2.5131414113198067</v>
      </c>
      <c r="N429" s="59">
        <v>3.6862074124976996E-4</v>
      </c>
      <c r="O429" s="57">
        <v>-0.25513082444085744</v>
      </c>
      <c r="P429" s="51">
        <v>58.39805101008836</v>
      </c>
      <c r="Q429" s="35">
        <v>1657.7621093488463</v>
      </c>
      <c r="R429" s="13">
        <v>5363.531182865308</v>
      </c>
      <c r="S429" s="57">
        <v>-0.672524652246249</v>
      </c>
      <c r="T429" s="53">
        <v>280235.69559610984</v>
      </c>
      <c r="U429" s="51">
        <v>36603.38737442252</v>
      </c>
      <c r="V429" s="51">
        <v>-261072.28744392353</v>
      </c>
    </row>
    <row r="430">
      <c r="A430" s="55">
        <v>45048.959967835646</v>
      </c>
      <c r="B430" s="56">
        <v>0.6937095131992511</v>
      </c>
      <c r="C430" s="57">
        <v>0.004951651844245841</v>
      </c>
      <c r="D430" s="58">
        <v>-0.8750072949190538</v>
      </c>
      <c r="E430" s="50">
        <v>22.22</v>
      </c>
      <c r="F430" s="57">
        <v>0.0059933507017131404</v>
      </c>
      <c r="G430" s="58">
        <v>-0.6195078497369466</v>
      </c>
      <c r="H430" s="51">
        <v>-55341.62970369024</v>
      </c>
      <c r="I430" s="57">
        <v>-0.007365021713505677</v>
      </c>
      <c r="J430" s="57">
        <v>-1.4873868246743431</v>
      </c>
      <c r="K430" s="51">
        <v>92548.9175360314</v>
      </c>
      <c r="L430" s="57">
        <v>0.012316673557751519</v>
      </c>
      <c r="M430" s="57">
        <v>2.4873868246743434</v>
      </c>
      <c r="N430" s="59">
        <v>-0.0010416988574672992</v>
      </c>
      <c r="O430" s="57">
        <v>-0.2554994451821072</v>
      </c>
      <c r="P430" s="51">
        <v>58.39805101008836</v>
      </c>
      <c r="Q430" s="35">
        <v>1674.4954019955517</v>
      </c>
      <c r="R430" s="13">
        <v>5363.531182865308</v>
      </c>
      <c r="S430" s="57">
        <v>-0.669219147314243</v>
      </c>
      <c r="T430" s="53">
        <v>280235.69559610984</v>
      </c>
      <c r="U430" s="51">
        <v>37207.28783234116</v>
      </c>
      <c r="V430" s="51">
        <v>-260468.3869860049</v>
      </c>
    </row>
    <row r="431">
      <c r="A431" s="55">
        <v>45047.9600059375</v>
      </c>
      <c r="B431" s="56">
        <v>0.666227845463687</v>
      </c>
      <c r="C431" s="57">
        <v>-0.016683524143285777</v>
      </c>
      <c r="D431" s="58">
        <v>-0.8799589467632997</v>
      </c>
      <c r="E431" s="50">
        <v>21.87</v>
      </c>
      <c r="F431" s="57">
        <v>-0.020891108160257632</v>
      </c>
      <c r="G431" s="58">
        <v>-0.6255012004386598</v>
      </c>
      <c r="H431" s="51">
        <v>-55316.73107435304</v>
      </c>
      <c r="I431" s="57">
        <v>0.025826833204310947</v>
      </c>
      <c r="J431" s="57">
        <v>-1.5480442250988595</v>
      </c>
      <c r="K431" s="51">
        <v>91050.03260249282</v>
      </c>
      <c r="L431" s="57">
        <v>-0.04251035734759672</v>
      </c>
      <c r="M431" s="57">
        <v>2.5480442250988595</v>
      </c>
      <c r="N431" s="59">
        <v>0.004207584016971855</v>
      </c>
      <c r="O431" s="57">
        <v>-0.2544577463246399</v>
      </c>
      <c r="P431" s="51">
        <v>58.39805101008836</v>
      </c>
      <c r="Q431" s="35">
        <v>1633.895817473241</v>
      </c>
      <c r="R431" s="13">
        <v>5363.531182865308</v>
      </c>
      <c r="S431" s="57">
        <v>-0.6772392142376714</v>
      </c>
      <c r="T431" s="53">
        <v>280235.69559610984</v>
      </c>
      <c r="U431" s="51">
        <v>35733.30152813978</v>
      </c>
      <c r="V431" s="51">
        <v>-261942.37329020625</v>
      </c>
    </row>
    <row r="432">
      <c r="A432" s="55">
        <v>45046.95998143518</v>
      </c>
      <c r="B432" s="56">
        <v>0.7588214044589231</v>
      </c>
      <c r="C432" s="57">
        <v>-4.5233229926977536E-4</v>
      </c>
      <c r="D432" s="58">
        <v>-0.8632754226200139</v>
      </c>
      <c r="E432" s="50">
        <v>23.09</v>
      </c>
      <c r="F432" s="57">
        <v>-8.561929573875915E-4</v>
      </c>
      <c r="G432" s="58">
        <v>-0.6046100922784021</v>
      </c>
      <c r="H432" s="51">
        <v>-55362.60514865845</v>
      </c>
      <c r="I432" s="57">
        <v>6.152961275317319E-4</v>
      </c>
      <c r="J432" s="57">
        <v>-1.360274578059179</v>
      </c>
      <c r="K432" s="51">
        <v>96062.185984499</v>
      </c>
      <c r="L432" s="57">
        <v>-0.0010676284268015073</v>
      </c>
      <c r="M432" s="57">
        <v>2.3602745780591787</v>
      </c>
      <c r="N432" s="59">
        <v>4.0386065811781613E-4</v>
      </c>
      <c r="O432" s="57">
        <v>-0.25866533034161177</v>
      </c>
      <c r="P432" s="51">
        <v>58.39805101008836</v>
      </c>
      <c r="Q432" s="35">
        <v>1762.649668074515</v>
      </c>
      <c r="R432" s="13">
        <v>5363.531182865308</v>
      </c>
      <c r="S432" s="57">
        <v>-0.651805099317016</v>
      </c>
      <c r="T432" s="53">
        <v>280235.69559610984</v>
      </c>
      <c r="U432" s="51">
        <v>40699.58083584055</v>
      </c>
      <c r="V432" s="51">
        <v>-256976.0939825055</v>
      </c>
    </row>
    <row r="433">
      <c r="A433" s="55">
        <v>45045.95996388889</v>
      </c>
      <c r="B433" s="56">
        <v>0.7613318487198701</v>
      </c>
      <c r="C433" s="57">
        <v>-7.260284213695956E-4</v>
      </c>
      <c r="D433" s="58">
        <v>-0.8628230903207441</v>
      </c>
      <c r="E433" s="50">
        <v>23.14</v>
      </c>
      <c r="F433" s="57">
        <v>-8.561929573875915E-4</v>
      </c>
      <c r="G433" s="58">
        <v>-0.6037538993210145</v>
      </c>
      <c r="H433" s="51">
        <v>-55414.96074759624</v>
      </c>
      <c r="I433" s="57">
        <v>9.852723389462922E-4</v>
      </c>
      <c r="J433" s="57">
        <v>-1.3570713073293377</v>
      </c>
      <c r="K433" s="51">
        <v>96249.18990586404</v>
      </c>
      <c r="L433" s="57">
        <v>-0.0017113007603158877</v>
      </c>
      <c r="M433" s="57">
        <v>2.3570713073293375</v>
      </c>
      <c r="N433" s="59">
        <v>1.3016453601799594E-4</v>
      </c>
      <c r="O433" s="57">
        <v>-0.2590691909997296</v>
      </c>
      <c r="P433" s="51">
        <v>58.39805101008836</v>
      </c>
      <c r="Q433" s="35">
        <v>1764.6598599078566</v>
      </c>
      <c r="R433" s="13">
        <v>5363.531182865308</v>
      </c>
      <c r="S433" s="57">
        <v>-0.651408004784596</v>
      </c>
      <c r="T433" s="53">
        <v>280235.69559610984</v>
      </c>
      <c r="U433" s="51">
        <v>40834.2291582678</v>
      </c>
      <c r="V433" s="51">
        <v>-256841.44566007826</v>
      </c>
    </row>
    <row r="434">
      <c r="A434" s="55">
        <v>45044.95996523148</v>
      </c>
      <c r="B434" s="56">
        <v>0.7653613064584716</v>
      </c>
      <c r="C434" s="57">
        <v>0.012039682491743253</v>
      </c>
      <c r="D434" s="58">
        <v>-0.8620970618993745</v>
      </c>
      <c r="E434" s="50">
        <v>23.19</v>
      </c>
      <c r="F434" s="57">
        <v>0.014726518867066885</v>
      </c>
      <c r="G434" s="58">
        <v>-0.6028977063636269</v>
      </c>
      <c r="H434" s="51">
        <v>-55365.95063786604</v>
      </c>
      <c r="I434" s="57">
        <v>-0.016238313777082892</v>
      </c>
      <c r="J434" s="57">
        <v>-1.3487327251544245</v>
      </c>
      <c r="K434" s="51">
        <v>96416.30079640234</v>
      </c>
      <c r="L434" s="57">
        <v>0.028277996268826145</v>
      </c>
      <c r="M434" s="57">
        <v>2.3487327251544245</v>
      </c>
      <c r="N434" s="59">
        <v>-0.0026868363753236313</v>
      </c>
      <c r="O434" s="57">
        <v>-0.2591993555357476</v>
      </c>
      <c r="P434" s="51">
        <v>58.39805101008836</v>
      </c>
      <c r="Q434" s="35">
        <v>1770.1746510796163</v>
      </c>
      <c r="R434" s="13">
        <v>5363.531182865308</v>
      </c>
      <c r="S434" s="57">
        <v>-0.6503186095411068</v>
      </c>
      <c r="T434" s="53">
        <v>280235.69559610984</v>
      </c>
      <c r="U434" s="51">
        <v>41050.350158536305</v>
      </c>
      <c r="V434" s="51">
        <v>-256625.32465980973</v>
      </c>
    </row>
    <row r="435">
      <c r="A435" s="55">
        <v>45043.95996796296</v>
      </c>
      <c r="B435" s="56">
        <v>0.6985410686292962</v>
      </c>
      <c r="C435" s="57">
        <v>0.014482132143430193</v>
      </c>
      <c r="D435" s="58">
        <v>-0.8741367443911178</v>
      </c>
      <c r="E435" s="50">
        <v>22.33</v>
      </c>
      <c r="F435" s="57">
        <v>0.01763757492218465</v>
      </c>
      <c r="G435" s="58">
        <v>-0.6176242252306938</v>
      </c>
      <c r="H435" s="51">
        <v>-55357.23234128244</v>
      </c>
      <c r="I435" s="57">
        <v>-0.02139757547031499</v>
      </c>
      <c r="J435" s="57">
        <v>-1.4775155521572825</v>
      </c>
      <c r="K435" s="51">
        <v>92823.66188949042</v>
      </c>
      <c r="L435" s="57">
        <v>0.03587970761374518</v>
      </c>
      <c r="M435" s="57">
        <v>2.4775155521572825</v>
      </c>
      <c r="N435" s="59">
        <v>-0.003155442778754458</v>
      </c>
      <c r="O435" s="57">
        <v>-0.25651251916042395</v>
      </c>
      <c r="P435" s="51">
        <v>58.39805101008836</v>
      </c>
      <c r="Q435" s="35">
        <v>1677.8517486882215</v>
      </c>
      <c r="R435" s="13">
        <v>5363.531182865308</v>
      </c>
      <c r="S435" s="57">
        <v>-0.668556132522093</v>
      </c>
      <c r="T435" s="53">
        <v>280235.69559610984</v>
      </c>
      <c r="U435" s="51">
        <v>37466.42954820798</v>
      </c>
      <c r="V435" s="51">
        <v>-260209.24527013805</v>
      </c>
    </row>
    <row r="436">
      <c r="A436" s="55">
        <v>45042.959956192135</v>
      </c>
      <c r="B436" s="56">
        <v>0.6181652352332585</v>
      </c>
      <c r="C436" s="57">
        <v>-0.005377857402911301</v>
      </c>
      <c r="D436" s="58">
        <v>-0.888618876534548</v>
      </c>
      <c r="E436" s="50">
        <v>21.3</v>
      </c>
      <c r="F436" s="57">
        <v>-0.00650706647614574</v>
      </c>
      <c r="G436" s="58">
        <v>-0.6352618001528785</v>
      </c>
      <c r="H436" s="51">
        <v>-55365.04485523991</v>
      </c>
      <c r="I436" s="57">
        <v>0.00898028247399197</v>
      </c>
      <c r="J436" s="57">
        <v>-1.6698625123697957</v>
      </c>
      <c r="K436" s="51">
        <v>88520.49594484385</v>
      </c>
      <c r="L436" s="57">
        <v>-0.014358139876903271</v>
      </c>
      <c r="M436" s="57">
        <v>2.6698625123697957</v>
      </c>
      <c r="N436" s="59">
        <v>0.0011292090732344384</v>
      </c>
      <c r="O436" s="57">
        <v>-0.2533570763816695</v>
      </c>
      <c r="P436" s="51">
        <v>58.39805101008836</v>
      </c>
      <c r="Q436" s="35">
        <v>1556.5939478687294</v>
      </c>
      <c r="R436" s="13">
        <v>5363.531182865308</v>
      </c>
      <c r="S436" s="57">
        <v>-0.6925094731535877</v>
      </c>
      <c r="T436" s="53">
        <v>280235.69559610984</v>
      </c>
      <c r="U436" s="51">
        <v>33155.451089603936</v>
      </c>
      <c r="V436" s="51">
        <v>-264520.2237287421</v>
      </c>
    </row>
    <row r="437">
      <c r="A437" s="55">
        <v>45041.959961238426</v>
      </c>
      <c r="B437" s="56">
        <v>0.6480123438194165</v>
      </c>
      <c r="C437" s="57">
        <v>0.004530085167654518</v>
      </c>
      <c r="D437" s="58">
        <v>-0.8832410191316367</v>
      </c>
      <c r="E437" s="50">
        <v>21.68</v>
      </c>
      <c r="F437" s="57">
        <v>0.005308396335803156</v>
      </c>
      <c r="G437" s="58">
        <v>-0.6287547336767327</v>
      </c>
      <c r="H437" s="51">
        <v>-55322.23101035136</v>
      </c>
      <c r="I437" s="57">
        <v>-0.007210616706044081</v>
      </c>
      <c r="J437" s="57">
        <v>-1.5917176916515734</v>
      </c>
      <c r="K437" s="51">
        <v>90078.53943144377</v>
      </c>
      <c r="L437" s="57">
        <v>0.011740701873698599</v>
      </c>
      <c r="M437" s="57">
        <v>2.5917176916515734</v>
      </c>
      <c r="N437" s="59">
        <v>-7.783111681486377E-4</v>
      </c>
      <c r="O437" s="57">
        <v>-0.2544862854549039</v>
      </c>
      <c r="P437" s="51">
        <v>58.39805101008836</v>
      </c>
      <c r="Q437" s="35">
        <v>1603.150757430462</v>
      </c>
      <c r="R437" s="13">
        <v>5316.4349943289835</v>
      </c>
      <c r="S437" s="57">
        <v>-0.6833126123280486</v>
      </c>
      <c r="T437" s="53">
        <v>280235.69559610984</v>
      </c>
      <c r="U437" s="51">
        <v>34756.30842109241</v>
      </c>
      <c r="V437" s="51">
        <v>-262919.36639725365</v>
      </c>
    </row>
    <row r="438">
      <c r="A438" s="55">
        <v>45040.95996287037</v>
      </c>
      <c r="B438" s="56">
        <v>0.622870371138934</v>
      </c>
      <c r="C438" s="57">
        <v>0.0016414993691032942</v>
      </c>
      <c r="D438" s="58">
        <v>-0.8877711042992912</v>
      </c>
      <c r="E438" s="50">
        <v>21.37</v>
      </c>
      <c r="F438" s="57">
        <v>0.001712385914775183</v>
      </c>
      <c r="G438" s="58">
        <v>-0.6340631300125359</v>
      </c>
      <c r="H438" s="51">
        <v>-55359.535891762476</v>
      </c>
      <c r="I438" s="57">
        <v>-0.002720101589651702</v>
      </c>
      <c r="J438" s="57">
        <v>-1.6570835425526957</v>
      </c>
      <c r="K438" s="51">
        <v>88767.34815358875</v>
      </c>
      <c r="L438" s="57">
        <v>0.004361600958754996</v>
      </c>
      <c r="M438" s="57">
        <v>2.6570835425526957</v>
      </c>
      <c r="N438" s="59">
        <v>-7.088654567188879E-5</v>
      </c>
      <c r="O438" s="57">
        <v>-0.2537079742867553</v>
      </c>
      <c r="P438" s="51">
        <v>58.39805101008836</v>
      </c>
      <c r="Q438" s="35">
        <v>1563.3042705580851</v>
      </c>
      <c r="R438" s="13">
        <v>5316.4349943289835</v>
      </c>
      <c r="S438" s="57">
        <v>-0.6911839118780319</v>
      </c>
      <c r="T438" s="53">
        <v>280235.69559610984</v>
      </c>
      <c r="U438" s="51">
        <v>33407.81226182628</v>
      </c>
      <c r="V438" s="51">
        <v>-264267.86255651974</v>
      </c>
    </row>
    <row r="439">
      <c r="A439" s="55">
        <v>45039.95996015046</v>
      </c>
      <c r="B439" s="56">
        <v>0.6137600496404108</v>
      </c>
      <c r="C439" s="57">
        <v>-0.007943898279537231</v>
      </c>
      <c r="D439" s="58">
        <v>-0.8894126036683945</v>
      </c>
      <c r="E439" s="50">
        <v>21.27</v>
      </c>
      <c r="F439" s="57">
        <v>-0.00976059971421872</v>
      </c>
      <c r="G439" s="58">
        <v>-0.6357755159273111</v>
      </c>
      <c r="H439" s="51">
        <v>-55408.696445465604</v>
      </c>
      <c r="I439" s="57">
        <v>0.013370961165720058</v>
      </c>
      <c r="J439" s="57">
        <v>-1.6831737637127673</v>
      </c>
      <c r="K439" s="51">
        <v>88327.87427488017</v>
      </c>
      <c r="L439" s="57">
        <v>-0.02131485944525729</v>
      </c>
      <c r="M439" s="57">
        <v>2.6831737637127673</v>
      </c>
      <c r="N439" s="59">
        <v>0.0018167014346814891</v>
      </c>
      <c r="O439" s="57">
        <v>-0.2536370877410834</v>
      </c>
      <c r="P439" s="51">
        <v>58.39805101008836</v>
      </c>
      <c r="Q439" s="35">
        <v>1547.6811391356168</v>
      </c>
      <c r="R439" s="13">
        <v>5316.4349943289835</v>
      </c>
      <c r="S439" s="57">
        <v>-0.6942701148782832</v>
      </c>
      <c r="T439" s="53">
        <v>280235.69559610984</v>
      </c>
      <c r="U439" s="51">
        <v>32919.17782941457</v>
      </c>
      <c r="V439" s="51">
        <v>-264756.4969889315</v>
      </c>
    </row>
    <row r="440">
      <c r="A440" s="55">
        <v>45038.959958356485</v>
      </c>
      <c r="B440" s="56">
        <v>0.6578486850918426</v>
      </c>
      <c r="C440" s="57">
        <v>0.007499987565682931</v>
      </c>
      <c r="D440" s="58">
        <v>-0.8814687053888572</v>
      </c>
      <c r="E440" s="50">
        <v>21.84</v>
      </c>
      <c r="F440" s="57">
        <v>0.009418122531263728</v>
      </c>
      <c r="G440" s="58">
        <v>-0.6260149162130924</v>
      </c>
      <c r="H440" s="51">
        <v>-55388.318276267055</v>
      </c>
      <c r="I440" s="57">
        <v>-0.011773412156920253</v>
      </c>
      <c r="J440" s="57">
        <v>-1.569790890159722</v>
      </c>
      <c r="K440" s="51">
        <v>90672.20138673118</v>
      </c>
      <c r="L440" s="57">
        <v>0.019273399722603186</v>
      </c>
      <c r="M440" s="57">
        <v>2.569790890159722</v>
      </c>
      <c r="N440" s="59">
        <v>-0.0019181349655807978</v>
      </c>
      <c r="O440" s="57">
        <v>-0.2554537891757649</v>
      </c>
      <c r="P440" s="51">
        <v>58.39805101008836</v>
      </c>
      <c r="Q440" s="35">
        <v>1615.5624134827895</v>
      </c>
      <c r="R440" s="13">
        <v>5316.4349943289835</v>
      </c>
      <c r="S440" s="57">
        <v>-0.6808608061496987</v>
      </c>
      <c r="T440" s="53">
        <v>280235.69559610984</v>
      </c>
      <c r="U440" s="51">
        <v>35283.88311046412</v>
      </c>
      <c r="V440" s="51">
        <v>-262391.7917078819</v>
      </c>
    </row>
    <row r="441">
      <c r="A441" s="55">
        <v>45037.95996613426</v>
      </c>
      <c r="B441" s="56">
        <v>0.6162237541023021</v>
      </c>
      <c r="C441" s="57">
        <v>-0.00939398722598972</v>
      </c>
      <c r="D441" s="58">
        <v>-0.8889686929545402</v>
      </c>
      <c r="E441" s="50">
        <v>21.29</v>
      </c>
      <c r="F441" s="57">
        <v>-0.01164422422047151</v>
      </c>
      <c r="G441" s="58">
        <v>-0.6354330387443561</v>
      </c>
      <c r="H441" s="51">
        <v>-55315.17839553464</v>
      </c>
      <c r="I441" s="57">
        <v>0.01572191643272065</v>
      </c>
      <c r="J441" s="57">
        <v>-1.6736148404826303</v>
      </c>
      <c r="K441" s="51">
        <v>88366.49764625488</v>
      </c>
      <c r="L441" s="57">
        <v>-0.02511590365871037</v>
      </c>
      <c r="M441" s="57">
        <v>2.6736148404826303</v>
      </c>
      <c r="N441" s="59">
        <v>0.0022502369944817913</v>
      </c>
      <c r="O441" s="57">
        <v>-0.2535356542101841</v>
      </c>
      <c r="P441" s="51">
        <v>58.39805101008836</v>
      </c>
      <c r="Q441" s="35">
        <v>1552.4339713818808</v>
      </c>
      <c r="R441" s="13">
        <v>5316.4349943289835</v>
      </c>
      <c r="S441" s="57">
        <v>-0.6933312374700694</v>
      </c>
      <c r="T441" s="53">
        <v>280235.69559610984</v>
      </c>
      <c r="U441" s="51">
        <v>33051.31925072024</v>
      </c>
      <c r="V441" s="51">
        <v>-264624.3555676258</v>
      </c>
    </row>
    <row r="442">
      <c r="A442" s="55">
        <v>45036.95996857639</v>
      </c>
      <c r="B442" s="56">
        <v>0.668360383206545</v>
      </c>
      <c r="C442" s="57">
        <v>-0.014725669041457223</v>
      </c>
      <c r="D442" s="58">
        <v>-0.8795747057285505</v>
      </c>
      <c r="E442" s="50">
        <v>21.97</v>
      </c>
      <c r="F442" s="57">
        <v>-0.01815129069661725</v>
      </c>
      <c r="G442" s="58">
        <v>-0.6237888145238846</v>
      </c>
      <c r="H442" s="51">
        <v>-55319.058924876255</v>
      </c>
      <c r="I442" s="57">
        <v>0.02272420800047851</v>
      </c>
      <c r="J442" s="57">
        <v>-1.5431698170387351</v>
      </c>
      <c r="K442" s="51">
        <v>91166.7396623279</v>
      </c>
      <c r="L442" s="57">
        <v>-0.03744987704193573</v>
      </c>
      <c r="M442" s="57">
        <v>2.543169817038735</v>
      </c>
      <c r="N442" s="59">
        <v>0.003425621655160027</v>
      </c>
      <c r="O442" s="57">
        <v>-0.2557858912046659</v>
      </c>
      <c r="P442" s="51">
        <v>58.39805101008836</v>
      </c>
      <c r="Q442" s="35">
        <v>1631.6650312904712</v>
      </c>
      <c r="R442" s="13">
        <v>5316.4349943289835</v>
      </c>
      <c r="S442" s="57">
        <v>-0.6776798851136958</v>
      </c>
      <c r="T442" s="53">
        <v>280235.69559610984</v>
      </c>
      <c r="U442" s="51">
        <v>35847.68073745165</v>
      </c>
      <c r="V442" s="51">
        <v>-261827.9940808944</v>
      </c>
    </row>
    <row r="443">
      <c r="A443" s="55">
        <v>45035.959975729165</v>
      </c>
      <c r="B443" s="56">
        <v>0.7500878463866327</v>
      </c>
      <c r="C443" s="57">
        <v>-0.024276249325624888</v>
      </c>
      <c r="D443" s="58">
        <v>-0.8648490366870932</v>
      </c>
      <c r="E443" s="50">
        <v>23.03</v>
      </c>
      <c r="F443" s="57">
        <v>-0.02996675350856637</v>
      </c>
      <c r="G443" s="58">
        <v>-0.6056375238272673</v>
      </c>
      <c r="H443" s="51">
        <v>-55310.79931010568</v>
      </c>
      <c r="I443" s="57">
        <v>0.033375596125307015</v>
      </c>
      <c r="J443" s="57">
        <v>-1.374825067811331</v>
      </c>
      <c r="K443" s="51">
        <v>95541.95351662474</v>
      </c>
      <c r="L443" s="57">
        <v>-0.05765184545093191</v>
      </c>
      <c r="M443" s="57">
        <v>2.374825067811331</v>
      </c>
      <c r="N443" s="59">
        <v>0.00569050418294148</v>
      </c>
      <c r="O443" s="57">
        <v>-0.2592115128598259</v>
      </c>
      <c r="P443" s="51">
        <v>58.39805101008836</v>
      </c>
      <c r="Q443" s="35">
        <v>1746.9020497837193</v>
      </c>
      <c r="R443" s="13">
        <v>5316.4349943289835</v>
      </c>
      <c r="S443" s="57">
        <v>-0.6549158935298824</v>
      </c>
      <c r="T443" s="53">
        <v>280235.69559610984</v>
      </c>
      <c r="U443" s="51">
        <v>40231.15420651906</v>
      </c>
      <c r="V443" s="51">
        <v>-257444.52061182697</v>
      </c>
    </row>
    <row r="444">
      <c r="A444" s="55">
        <v>45034.95997678241</v>
      </c>
      <c r="B444" s="56">
        <v>0.8848210301438507</v>
      </c>
      <c r="C444" s="57">
        <v>0.0013750334216570126</v>
      </c>
      <c r="D444" s="58">
        <v>-0.8405727873614683</v>
      </c>
      <c r="E444" s="50">
        <v>24.78</v>
      </c>
      <c r="F444" s="57">
        <v>0.001712385914775183</v>
      </c>
      <c r="G444" s="58">
        <v>-0.575670770318701</v>
      </c>
      <c r="H444" s="51">
        <v>-55319.48201996263</v>
      </c>
      <c r="I444" s="57">
        <v>-0.0016028229760228164</v>
      </c>
      <c r="J444" s="57">
        <v>-1.1656611037797913</v>
      </c>
      <c r="K444" s="51">
        <v>102777.08512654548</v>
      </c>
      <c r="L444" s="57">
        <v>0.0029778563976798293</v>
      </c>
      <c r="M444" s="57">
        <v>2.1656611037797915</v>
      </c>
      <c r="N444" s="59">
        <v>-3.373524931181704E-4</v>
      </c>
      <c r="O444" s="57">
        <v>-0.2649020170427674</v>
      </c>
      <c r="P444" s="51">
        <v>58.39805101008836</v>
      </c>
      <c r="Q444" s="35">
        <v>1915.1575103544333</v>
      </c>
      <c r="R444" s="13">
        <v>5316.4349943289835</v>
      </c>
      <c r="S444" s="57">
        <v>-0.6216786062549883</v>
      </c>
      <c r="T444" s="53">
        <v>280235.69559610984</v>
      </c>
      <c r="U444" s="51">
        <v>47457.60310658286</v>
      </c>
      <c r="V444" s="51">
        <v>-250218.0717117632</v>
      </c>
    </row>
    <row r="445">
      <c r="A445" s="55">
        <v>45033.9599652662</v>
      </c>
      <c r="B445" s="56">
        <v>0.8771895946536542</v>
      </c>
      <c r="C445" s="57">
        <v>-0.008238053812034907</v>
      </c>
      <c r="D445" s="58">
        <v>-0.8419478207831254</v>
      </c>
      <c r="E445" s="50">
        <v>24.68</v>
      </c>
      <c r="F445" s="57">
        <v>-0.010616792671606312</v>
      </c>
      <c r="G445" s="58">
        <v>-0.5773831562334761</v>
      </c>
      <c r="H445" s="51">
        <v>-55287.83420893664</v>
      </c>
      <c r="I445" s="57">
        <v>0.009680780364799984</v>
      </c>
      <c r="J445" s="57">
        <v>-1.1751295373498787</v>
      </c>
      <c r="K445" s="51">
        <v>102336.12331382997</v>
      </c>
      <c r="L445" s="57">
        <v>-0.017918834176834892</v>
      </c>
      <c r="M445" s="57">
        <v>2.175129537349879</v>
      </c>
      <c r="N445" s="59">
        <v>0.0023787388595714054</v>
      </c>
      <c r="O445" s="57">
        <v>-0.2645646645496492</v>
      </c>
      <c r="P445" s="51">
        <v>58.39805101008836</v>
      </c>
      <c r="Q445" s="35">
        <v>1906.332621754187</v>
      </c>
      <c r="R445" s="13">
        <v>5316.4349943289835</v>
      </c>
      <c r="S445" s="57">
        <v>-0.6234218801825054</v>
      </c>
      <c r="T445" s="53">
        <v>280235.69559610984</v>
      </c>
      <c r="U445" s="51">
        <v>47048.28910489333</v>
      </c>
      <c r="V445" s="51">
        <v>-250627.3857134527</v>
      </c>
    </row>
    <row r="446">
      <c r="A446" s="55">
        <v>45032.9599709375</v>
      </c>
      <c r="B446" s="56">
        <v>0.9229107933104481</v>
      </c>
      <c r="C446" s="57">
        <v>0.018344056697125577</v>
      </c>
      <c r="D446" s="58">
        <v>-0.8337097669710904</v>
      </c>
      <c r="E446" s="50">
        <v>25.3</v>
      </c>
      <c r="F446" s="57">
        <v>0.022603494075032815</v>
      </c>
      <c r="G446" s="58">
        <v>-0.5667663635618698</v>
      </c>
      <c r="H446" s="51">
        <v>-55374.44067336411</v>
      </c>
      <c r="I446" s="57">
        <v>-0.020520817017452564</v>
      </c>
      <c r="J446" s="57">
        <v>-1.118662973859434</v>
      </c>
      <c r="K446" s="51">
        <v>104874.99800594478</v>
      </c>
      <c r="L446" s="57">
        <v>0.03886487371457814</v>
      </c>
      <c r="M446" s="57">
        <v>2.118662973859434</v>
      </c>
      <c r="N446" s="59">
        <v>-0.004259437377907238</v>
      </c>
      <c r="O446" s="57">
        <v>-0.2669434034092206</v>
      </c>
      <c r="P446" s="51">
        <v>58.39805101008836</v>
      </c>
      <c r="Q446" s="35">
        <v>1956.5437680861926</v>
      </c>
      <c r="R446" s="13">
        <v>5316.4349943289835</v>
      </c>
      <c r="S446" s="57">
        <v>-0.6135031394214161</v>
      </c>
      <c r="T446" s="53">
        <v>280235.69559610984</v>
      </c>
      <c r="U446" s="51">
        <v>49500.557332580676</v>
      </c>
      <c r="V446" s="51">
        <v>-248175.11748576537</v>
      </c>
    </row>
    <row r="447">
      <c r="A447" s="55">
        <v>45031.95996972222</v>
      </c>
      <c r="B447" s="56">
        <v>0.8211012786414009</v>
      </c>
      <c r="C447" s="57">
        <v>-0.007847832523933507</v>
      </c>
      <c r="D447" s="58">
        <v>-0.852053823668216</v>
      </c>
      <c r="E447" s="50">
        <v>23.98</v>
      </c>
      <c r="F447" s="57">
        <v>-0.00976059971421872</v>
      </c>
      <c r="G447" s="58">
        <v>-0.5893698576369026</v>
      </c>
      <c r="H447" s="51">
        <v>-55337.63143057211</v>
      </c>
      <c r="I447" s="57">
        <v>0.009861050906009328</v>
      </c>
      <c r="J447" s="57">
        <v>-1.2565317717899964</v>
      </c>
      <c r="K447" s="51">
        <v>99377.60930692991</v>
      </c>
      <c r="L447" s="57">
        <v>-0.017708883429942833</v>
      </c>
      <c r="M447" s="57">
        <v>2.256531771789996</v>
      </c>
      <c r="N447" s="59">
        <v>0.001912767190285214</v>
      </c>
      <c r="O447" s="57">
        <v>-0.2626839660313134</v>
      </c>
      <c r="P447" s="51">
        <v>58.39805101008836</v>
      </c>
      <c r="Q447" s="35">
        <v>1836.5295194477815</v>
      </c>
      <c r="R447" s="13">
        <v>5316.4349943289835</v>
      </c>
      <c r="S447" s="57">
        <v>-0.6372108279894134</v>
      </c>
      <c r="T447" s="53">
        <v>280235.69559610984</v>
      </c>
      <c r="U447" s="51">
        <v>44039.9778763578</v>
      </c>
      <c r="V447" s="51">
        <v>-253635.69694198825</v>
      </c>
    </row>
    <row r="448">
      <c r="A448" s="55">
        <v>45030.95997009259</v>
      </c>
      <c r="B448" s="56">
        <v>0.8646567491492323</v>
      </c>
      <c r="C448" s="57">
        <v>-0.0010335388263057466</v>
      </c>
      <c r="D448" s="58">
        <v>-0.8442059911442825</v>
      </c>
      <c r="E448" s="50">
        <v>24.55</v>
      </c>
      <c r="F448" s="57">
        <v>-0.0015411473232975759</v>
      </c>
      <c r="G448" s="58">
        <v>-0.5796092579226839</v>
      </c>
      <c r="H448" s="51">
        <v>-55338.05249661268</v>
      </c>
      <c r="I448" s="57">
        <v>0.0012332654579980502</v>
      </c>
      <c r="J448" s="57">
        <v>-1.1932454075346168</v>
      </c>
      <c r="K448" s="51">
        <v>101714.13921539378</v>
      </c>
      <c r="L448" s="57">
        <v>-0.0022668042843037965</v>
      </c>
      <c r="M448" s="57">
        <v>2.193245407534617</v>
      </c>
      <c r="N448" s="59">
        <v>5.076084969918293E-4</v>
      </c>
      <c r="O448" s="57">
        <v>-0.2645967332215986</v>
      </c>
      <c r="P448" s="51">
        <v>58.39805101008836</v>
      </c>
      <c r="Q448" s="35">
        <v>1889.046302190676</v>
      </c>
      <c r="R448" s="13">
        <v>5316.4349943289835</v>
      </c>
      <c r="S448" s="57">
        <v>-0.6268366303921521</v>
      </c>
      <c r="T448" s="53">
        <v>280235.69559610984</v>
      </c>
      <c r="U448" s="51">
        <v>46376.086718781095</v>
      </c>
      <c r="V448" s="51">
        <v>-251299.58809956495</v>
      </c>
    </row>
    <row r="449">
      <c r="A449" s="55">
        <v>45029.95998773148</v>
      </c>
      <c r="B449" s="56">
        <v>0.8703928896352288</v>
      </c>
      <c r="C449" s="57">
        <v>0.00871907797853344</v>
      </c>
      <c r="D449" s="58">
        <v>-0.8431724523179768</v>
      </c>
      <c r="E449" s="50">
        <v>24.64</v>
      </c>
      <c r="F449" s="57">
        <v>0.010616792671606312</v>
      </c>
      <c r="G449" s="58">
        <v>-0.5780681105993863</v>
      </c>
      <c r="H449" s="51">
        <v>-55374.16260883731</v>
      </c>
      <c r="I449" s="57">
        <v>-0.01034217864370544</v>
      </c>
      <c r="J449" s="57">
        <v>-1.1861550807514405</v>
      </c>
      <c r="K449" s="51">
        <v>102057.90869518991</v>
      </c>
      <c r="L449" s="57">
        <v>0.01906125662223888</v>
      </c>
      <c r="M449" s="57">
        <v>2.1861550807514405</v>
      </c>
      <c r="N449" s="59">
        <v>-0.0018977146930728717</v>
      </c>
      <c r="O449" s="57">
        <v>-0.26510434171859043</v>
      </c>
      <c r="P449" s="51">
        <v>58.39805101008836</v>
      </c>
      <c r="Q449" s="35">
        <v>1894.6325522058685</v>
      </c>
      <c r="R449" s="13">
        <v>5316.4349943289835</v>
      </c>
      <c r="S449" s="57">
        <v>-0.6257331191247344</v>
      </c>
      <c r="T449" s="53">
        <v>280235.69559610984</v>
      </c>
      <c r="U449" s="51">
        <v>46683.7460863526</v>
      </c>
      <c r="V449" s="51">
        <v>-250991.92873199345</v>
      </c>
    </row>
    <row r="450">
      <c r="A450" s="55">
        <v>45028.95997365741</v>
      </c>
      <c r="B450" s="56">
        <v>0.822002006854368</v>
      </c>
      <c r="C450" s="57">
        <v>0.009198302279269432</v>
      </c>
      <c r="D450" s="58">
        <v>-0.8518915302965102</v>
      </c>
      <c r="E450" s="50">
        <v>24.02</v>
      </c>
      <c r="F450" s="57">
        <v>0.011472985628993904</v>
      </c>
      <c r="G450" s="58">
        <v>-0.5886849032709927</v>
      </c>
      <c r="H450" s="51">
        <v>-55334.331489501084</v>
      </c>
      <c r="I450" s="57">
        <v>-0.01154460567353205</v>
      </c>
      <c r="J450" s="57">
        <v>-1.2550800487988498</v>
      </c>
      <c r="K450" s="51">
        <v>99422.62015479995</v>
      </c>
      <c r="L450" s="57">
        <v>0.020742907952801485</v>
      </c>
      <c r="M450" s="57">
        <v>2.25508004879885</v>
      </c>
      <c r="N450" s="59">
        <v>-0.002274683349724471</v>
      </c>
      <c r="O450" s="57">
        <v>-0.26320662702551756</v>
      </c>
      <c r="P450" s="51">
        <v>58.39805101008836</v>
      </c>
      <c r="Q450" s="35">
        <v>1835.4824590049486</v>
      </c>
      <c r="R450" s="13">
        <v>5316.4349943289835</v>
      </c>
      <c r="S450" s="57">
        <v>-0.6374176649539587</v>
      </c>
      <c r="T450" s="53">
        <v>280235.69559610984</v>
      </c>
      <c r="U450" s="51">
        <v>44088.28866529887</v>
      </c>
      <c r="V450" s="51">
        <v>-253587.38615304718</v>
      </c>
    </row>
    <row r="451">
      <c r="A451" s="55">
        <v>45027.959965138885</v>
      </c>
      <c r="B451" s="56">
        <v>0.770951429204423</v>
      </c>
      <c r="C451" s="57">
        <v>0.03705809218592282</v>
      </c>
      <c r="D451" s="58">
        <v>-0.8610898325757796</v>
      </c>
      <c r="E451" s="50">
        <v>23.35</v>
      </c>
      <c r="F451" s="57">
        <v>0.04572070392449834</v>
      </c>
      <c r="G451" s="58">
        <v>-0.6001578888999866</v>
      </c>
      <c r="H451" s="51">
        <v>-55275.3734770771</v>
      </c>
      <c r="I451" s="57">
        <v>-0.04953787368190383</v>
      </c>
      <c r="J451" s="57">
        <v>-1.3367626545200748</v>
      </c>
      <c r="K451" s="51">
        <v>96625.55130421133</v>
      </c>
      <c r="L451" s="57">
        <v>0.08659596586782665</v>
      </c>
      <c r="M451" s="57">
        <v>2.336762654520075</v>
      </c>
      <c r="N451" s="59">
        <v>-0.00866261173857552</v>
      </c>
      <c r="O451" s="57">
        <v>-0.2609319436757931</v>
      </c>
      <c r="P451" s="51">
        <v>58.39805101008836</v>
      </c>
      <c r="Q451" s="35">
        <v>1770.8855600485751</v>
      </c>
      <c r="R451" s="13">
        <v>5316.4349943289835</v>
      </c>
      <c r="S451" s="57">
        <v>-0.6501781761456769</v>
      </c>
      <c r="T451" s="53">
        <v>280235.69559610984</v>
      </c>
      <c r="U451" s="51">
        <v>41350.177827134234</v>
      </c>
      <c r="V451" s="51">
        <v>-256325.4969912118</v>
      </c>
    </row>
    <row r="452">
      <c r="A452" s="55">
        <v>45026.95997302083</v>
      </c>
      <c r="B452" s="56">
        <v>0.5652790175725511</v>
      </c>
      <c r="C452" s="57">
        <v>0.0038850173901981977</v>
      </c>
      <c r="D452" s="58">
        <v>-0.8981479247617025</v>
      </c>
      <c r="E452" s="50">
        <v>20.68</v>
      </c>
      <c r="F452" s="57">
        <v>0.0042809647869380685</v>
      </c>
      <c r="G452" s="58">
        <v>-0.6458785928244849</v>
      </c>
      <c r="H452" s="51">
        <v>-55237.894252026534</v>
      </c>
      <c r="I452" s="57">
        <v>-0.00707810258034767</v>
      </c>
      <c r="J452" s="57">
        <v>-1.821897270834758</v>
      </c>
      <c r="K452" s="51">
        <v>85556.7794802357</v>
      </c>
      <c r="L452" s="57">
        <v>0.010963119970545868</v>
      </c>
      <c r="M452" s="57">
        <v>2.821897270834758</v>
      </c>
      <c r="N452" s="59">
        <v>-3.959473967398708E-4</v>
      </c>
      <c r="O452" s="57">
        <v>-0.25226933193721757</v>
      </c>
      <c r="P452" s="51">
        <v>58.39805101008836</v>
      </c>
      <c r="Q452" s="35">
        <v>1466.096964613596</v>
      </c>
      <c r="R452" s="13">
        <v>5316.4349943289835</v>
      </c>
      <c r="S452" s="57">
        <v>-0.7103863029441907</v>
      </c>
      <c r="T452" s="53">
        <v>280235.69559610984</v>
      </c>
      <c r="U452" s="51">
        <v>30318.88522820916</v>
      </c>
      <c r="V452" s="51">
        <v>-267356.7895901369</v>
      </c>
    </row>
    <row r="453">
      <c r="A453" s="55">
        <v>45025.95996634259</v>
      </c>
      <c r="B453" s="56">
        <v>0.5437171710569513</v>
      </c>
      <c r="C453" s="57">
        <v>0.003884267010026643</v>
      </c>
      <c r="D453" s="58">
        <v>-0.9020329421519007</v>
      </c>
      <c r="E453" s="50">
        <v>20.43</v>
      </c>
      <c r="F453" s="57">
        <v>0.004794680561370557</v>
      </c>
      <c r="G453" s="58">
        <v>-0.650159557611423</v>
      </c>
      <c r="H453" s="51">
        <v>-55337.63143057211</v>
      </c>
      <c r="I453" s="57">
        <v>-0.0073706574927836525</v>
      </c>
      <c r="J453" s="57">
        <v>-1.897567153276905</v>
      </c>
      <c r="K453" s="51">
        <v>84500.04148547302</v>
      </c>
      <c r="L453" s="57">
        <v>0.011254924502810295</v>
      </c>
      <c r="M453" s="57">
        <v>2.897567153276905</v>
      </c>
      <c r="N453" s="59">
        <v>-9.104135513439138E-4</v>
      </c>
      <c r="O453" s="57">
        <v>-0.2518733845404777</v>
      </c>
      <c r="P453" s="51">
        <v>58.39805101008836</v>
      </c>
      <c r="Q453" s="35">
        <v>1427.4307417964224</v>
      </c>
      <c r="R453" s="13">
        <v>5316.4349943289835</v>
      </c>
      <c r="S453" s="57">
        <v>-0.7180244524060285</v>
      </c>
      <c r="T453" s="53">
        <v>280235.69559610984</v>
      </c>
      <c r="U453" s="51">
        <v>29162.41005490091</v>
      </c>
      <c r="V453" s="51">
        <v>-268513.2647634451</v>
      </c>
    </row>
    <row r="454">
      <c r="A454" s="55">
        <v>45024.95998431713</v>
      </c>
      <c r="B454" s="56">
        <v>0.5221594891513033</v>
      </c>
      <c r="C454" s="57">
        <v>-0.003941464677270745</v>
      </c>
      <c r="D454" s="58">
        <v>-0.9059172091619273</v>
      </c>
      <c r="E454" s="50">
        <v>20.15</v>
      </c>
      <c r="F454" s="57">
        <v>-0.004794680561370557</v>
      </c>
      <c r="G454" s="58">
        <v>-0.6549542381727935</v>
      </c>
      <c r="H454" s="51">
        <v>-55313.90755842592</v>
      </c>
      <c r="I454" s="57">
        <v>0.00778463832294988</v>
      </c>
      <c r="J454" s="57">
        <v>-1.9750623081418375</v>
      </c>
      <c r="K454" s="51">
        <v>83320.0658099425</v>
      </c>
      <c r="L454" s="57">
        <v>-0.011726103000220627</v>
      </c>
      <c r="M454" s="57">
        <v>2.9750623081418377</v>
      </c>
      <c r="N454" s="59">
        <v>8.532158840998116E-4</v>
      </c>
      <c r="O454" s="57">
        <v>-0.2509629709891338</v>
      </c>
      <c r="P454" s="51">
        <v>58.39805101008836</v>
      </c>
      <c r="Q454" s="35">
        <v>1389.8837841943716</v>
      </c>
      <c r="R454" s="13">
        <v>5316.4349943289835</v>
      </c>
      <c r="S454" s="57">
        <v>-0.7254415015281469</v>
      </c>
      <c r="T454" s="53">
        <v>280235.69559610984</v>
      </c>
      <c r="U454" s="51">
        <v>28006.158251516586</v>
      </c>
      <c r="V454" s="51">
        <v>-269669.51656682946</v>
      </c>
    </row>
    <row r="455">
      <c r="A455" s="55">
        <v>45023.95998454861</v>
      </c>
      <c r="B455" s="56">
        <v>0.5440346181101562</v>
      </c>
      <c r="C455" s="57">
        <v>-0.0024745434605033534</v>
      </c>
      <c r="D455" s="58">
        <v>-0.9019757444846566</v>
      </c>
      <c r="E455" s="50">
        <v>20.43</v>
      </c>
      <c r="F455" s="57">
        <v>-0.003253533238072981</v>
      </c>
      <c r="G455" s="58">
        <v>-0.650159557611423</v>
      </c>
      <c r="H455" s="51">
        <v>-55276.0152898471</v>
      </c>
      <c r="I455" s="57">
        <v>0.004687647158104</v>
      </c>
      <c r="J455" s="57">
        <v>-1.8943482840064865</v>
      </c>
      <c r="K455" s="51">
        <v>84455.45169894294</v>
      </c>
      <c r="L455" s="57">
        <v>-0.007162190618607353</v>
      </c>
      <c r="M455" s="57">
        <v>2.8943482840064862</v>
      </c>
      <c r="N455" s="59">
        <v>7.789897775696275E-4</v>
      </c>
      <c r="O455" s="57">
        <v>-0.2518161868732336</v>
      </c>
      <c r="P455" s="51">
        <v>58.39805101008836</v>
      </c>
      <c r="Q455" s="35">
        <v>1428.2641414143827</v>
      </c>
      <c r="R455" s="13">
        <v>5316.4349943289835</v>
      </c>
      <c r="S455" s="57">
        <v>-0.7178598221323781</v>
      </c>
      <c r="T455" s="53">
        <v>280235.69559610984</v>
      </c>
      <c r="U455" s="51">
        <v>29179.43640909584</v>
      </c>
      <c r="V455" s="51">
        <v>-268496.2384092502</v>
      </c>
    </row>
    <row r="456">
      <c r="A456" s="55">
        <v>45022.95997087963</v>
      </c>
      <c r="B456" s="56">
        <v>0.5577683343159499</v>
      </c>
      <c r="C456" s="57">
        <v>-0.003747286254154547</v>
      </c>
      <c r="D456" s="58">
        <v>-0.8995012010241532</v>
      </c>
      <c r="E456" s="50">
        <v>20.62</v>
      </c>
      <c r="F456" s="57">
        <v>-0.004623441969893061</v>
      </c>
      <c r="G456" s="58">
        <v>-0.64690602437335</v>
      </c>
      <c r="H456" s="51">
        <v>-55291.9552490029</v>
      </c>
      <c r="I456" s="57">
        <v>0.006925874207394531</v>
      </c>
      <c r="J456" s="57">
        <v>-1.8482372943129022</v>
      </c>
      <c r="K456" s="51">
        <v>85208.00305257141</v>
      </c>
      <c r="L456" s="57">
        <v>-0.010673160461549078</v>
      </c>
      <c r="M456" s="57">
        <v>2.848237294312902</v>
      </c>
      <c r="N456" s="59">
        <v>8.761557157385136E-4</v>
      </c>
      <c r="O456" s="57">
        <v>-0.2525951766508032</v>
      </c>
      <c r="P456" s="51">
        <v>58.39805101008836</v>
      </c>
      <c r="Q456" s="35">
        <v>1450.8267605998305</v>
      </c>
      <c r="R456" s="13">
        <v>5316.4349943289835</v>
      </c>
      <c r="S456" s="57">
        <v>-0.7134027884468318</v>
      </c>
      <c r="T456" s="53">
        <v>280235.69559610984</v>
      </c>
      <c r="U456" s="51">
        <v>29916.04780356851</v>
      </c>
      <c r="V456" s="51">
        <v>-267759.6270147775</v>
      </c>
    </row>
    <row r="457">
      <c r="A457" s="55">
        <v>45021.95996934028</v>
      </c>
      <c r="B457" s="56">
        <v>0.5785657730265077</v>
      </c>
      <c r="C457" s="57">
        <v>-7.711751435907077E-4</v>
      </c>
      <c r="D457" s="58">
        <v>-0.8957539147699987</v>
      </c>
      <c r="E457" s="50">
        <v>20.89</v>
      </c>
      <c r="F457" s="57">
        <v>-0.0011986701403426947</v>
      </c>
      <c r="G457" s="58">
        <v>-0.6422825824034569</v>
      </c>
      <c r="H457" s="51">
        <v>-55268.87808279507</v>
      </c>
      <c r="I457" s="57">
        <v>0.0013735060292312563</v>
      </c>
      <c r="J457" s="57">
        <v>-1.781055886780797</v>
      </c>
      <c r="K457" s="51">
        <v>86300.40185080655</v>
      </c>
      <c r="L457" s="57">
        <v>-0.002144681172821964</v>
      </c>
      <c r="M457" s="57">
        <v>2.781055886780797</v>
      </c>
      <c r="N457" s="59">
        <v>4.27494996751987E-4</v>
      </c>
      <c r="O457" s="57">
        <v>-0.25347133236654174</v>
      </c>
      <c r="P457" s="51">
        <v>58.39805101008836</v>
      </c>
      <c r="Q457" s="35">
        <v>1485.472655242292</v>
      </c>
      <c r="R457" s="13">
        <v>5316.4349943289835</v>
      </c>
      <c r="S457" s="57">
        <v>-0.7065588170879158</v>
      </c>
      <c r="T457" s="53">
        <v>280235.69559610984</v>
      </c>
      <c r="U457" s="51">
        <v>31031.52376801148</v>
      </c>
      <c r="V457" s="51">
        <v>-266644.15105033456</v>
      </c>
    </row>
    <row r="458">
      <c r="A458" s="55">
        <v>45020.95996386574</v>
      </c>
      <c r="B458" s="56">
        <v>0.5828457950734358</v>
      </c>
      <c r="C458" s="57">
        <v>0.007746804943203456</v>
      </c>
      <c r="D458" s="58">
        <v>-0.894982739626408</v>
      </c>
      <c r="E458" s="50">
        <v>20.96</v>
      </c>
      <c r="F458" s="57">
        <v>0.009418122531263728</v>
      </c>
      <c r="G458" s="58">
        <v>-0.6410839122631142</v>
      </c>
      <c r="H458" s="51">
        <v>-55304.221382969976</v>
      </c>
      <c r="I458" s="57">
        <v>-0.013704931590189795</v>
      </c>
      <c r="J458" s="57">
        <v>-1.7691076115468238</v>
      </c>
      <c r="K458" s="51">
        <v>86565.30523225294</v>
      </c>
      <c r="L458" s="57">
        <v>0.02145173653339325</v>
      </c>
      <c r="M458" s="57">
        <v>2.769107611546824</v>
      </c>
      <c r="N458" s="59">
        <v>-0.0016713175880602726</v>
      </c>
      <c r="O458" s="57">
        <v>-0.2538988273632937</v>
      </c>
      <c r="P458" s="51">
        <v>58.39805101008836</v>
      </c>
      <c r="Q458" s="35">
        <v>1491.4639241070115</v>
      </c>
      <c r="R458" s="13">
        <v>5316.4349943289835</v>
      </c>
      <c r="S458" s="57">
        <v>-0.705375298147595</v>
      </c>
      <c r="T458" s="53">
        <v>280235.69559610984</v>
      </c>
      <c r="U458" s="51">
        <v>31261.083849282964</v>
      </c>
      <c r="V458" s="51">
        <v>-266414.5909690631</v>
      </c>
    </row>
    <row r="459">
      <c r="A459" s="55">
        <v>45019.95997611111</v>
      </c>
      <c r="B459" s="56">
        <v>0.5398510276386567</v>
      </c>
      <c r="C459" s="57">
        <v>-3.1441565030754237E-4</v>
      </c>
      <c r="D459" s="58">
        <v>-0.9027295445696114</v>
      </c>
      <c r="E459" s="50">
        <v>20.41</v>
      </c>
      <c r="F459" s="57">
        <v>-3.424771829549922E-4</v>
      </c>
      <c r="G459" s="58">
        <v>-0.650502034794378</v>
      </c>
      <c r="H459" s="51">
        <v>-55274.232215060474</v>
      </c>
      <c r="I459" s="57">
        <v>6.002091031233956E-4</v>
      </c>
      <c r="J459" s="57">
        <v>-1.9089670076419774</v>
      </c>
      <c r="K459" s="51">
        <v>84229.28067518925</v>
      </c>
      <c r="L459" s="57">
        <v>-9.146247534309379E-4</v>
      </c>
      <c r="M459" s="57">
        <v>2.9089670076419774</v>
      </c>
      <c r="N459" s="59">
        <v>2.8061532647449816E-5</v>
      </c>
      <c r="O459" s="57">
        <v>-0.25222750977523345</v>
      </c>
      <c r="P459" s="51">
        <v>58.39805101008836</v>
      </c>
      <c r="Q459" s="35">
        <v>1418.6696942738254</v>
      </c>
      <c r="R459" s="13">
        <v>5316.4349943289835</v>
      </c>
      <c r="S459" s="57">
        <v>-0.7197551151277604</v>
      </c>
      <c r="T459" s="53">
        <v>280235.69559610984</v>
      </c>
      <c r="U459" s="51">
        <v>28955.048460128775</v>
      </c>
      <c r="V459" s="51">
        <v>-268720.62635821727</v>
      </c>
    </row>
    <row r="460">
      <c r="A460" s="55">
        <v>45018.95995034723</v>
      </c>
      <c r="B460" s="56">
        <v>0.5415960344978639</v>
      </c>
      <c r="C460" s="57">
        <v>-0.008902972155598321</v>
      </c>
      <c r="D460" s="58">
        <v>-0.9024151289193039</v>
      </c>
      <c r="E460" s="50">
        <v>20.43</v>
      </c>
      <c r="F460" s="57">
        <v>-0.011130508446038911</v>
      </c>
      <c r="G460" s="58">
        <v>-0.650159557611423</v>
      </c>
      <c r="H460" s="51">
        <v>-55239.11818340901</v>
      </c>
      <c r="I460" s="57">
        <v>0.016929959243676587</v>
      </c>
      <c r="J460" s="57">
        <v>-1.901607569673323</v>
      </c>
      <c r="K460" s="51">
        <v>84287.76053441655</v>
      </c>
      <c r="L460" s="57">
        <v>-0.025832931399274908</v>
      </c>
      <c r="M460" s="57">
        <v>2.901607569673323</v>
      </c>
      <c r="N460" s="59">
        <v>0.0022275362904405904</v>
      </c>
      <c r="O460" s="57">
        <v>-0.2522555713078809</v>
      </c>
      <c r="P460" s="51">
        <v>58.39805101008836</v>
      </c>
      <c r="Q460" s="35">
        <v>1421.8620827708048</v>
      </c>
      <c r="R460" s="13">
        <v>5316.4349943289835</v>
      </c>
      <c r="S460" s="57">
        <v>-0.719124488738535</v>
      </c>
      <c r="T460" s="53">
        <v>280235.69559610984</v>
      </c>
      <c r="U460" s="51">
        <v>29048.64235100754</v>
      </c>
      <c r="V460" s="51">
        <v>-268627.0324673385</v>
      </c>
    </row>
    <row r="461">
      <c r="A461" s="55">
        <v>45017.95996287037</v>
      </c>
      <c r="B461" s="56">
        <v>0.591007529961434</v>
      </c>
      <c r="C461" s="57">
        <v>7.142954039964788E-4</v>
      </c>
      <c r="D461" s="58">
        <v>-0.8935121567637055</v>
      </c>
      <c r="E461" s="50">
        <v>21.08</v>
      </c>
      <c r="F461" s="57">
        <v>8.561929573875915E-4</v>
      </c>
      <c r="G461" s="58">
        <v>-0.639029049165384</v>
      </c>
      <c r="H461" s="51">
        <v>-55247.674983440054</v>
      </c>
      <c r="I461" s="57">
        <v>-0.001244940180177947</v>
      </c>
      <c r="J461" s="57">
        <v>-1.7428926088737426</v>
      </c>
      <c r="K461" s="51">
        <v>86946.51557875425</v>
      </c>
      <c r="L461" s="57">
        <v>0.001959235584174426</v>
      </c>
      <c r="M461" s="57">
        <v>2.742892608873743</v>
      </c>
      <c r="N461" s="59">
        <v>-1.4189755339111265E-4</v>
      </c>
      <c r="O461" s="57">
        <v>-0.2544831075983215</v>
      </c>
      <c r="P461" s="51">
        <v>58.39805101008836</v>
      </c>
      <c r="Q461" s="35">
        <v>1503.7400661913755</v>
      </c>
      <c r="R461" s="13">
        <v>5316.4349943289835</v>
      </c>
      <c r="S461" s="57">
        <v>-0.7029502614819118</v>
      </c>
      <c r="T461" s="53">
        <v>280235.69559610984</v>
      </c>
      <c r="U461" s="51">
        <v>31698.840595314192</v>
      </c>
      <c r="V461" s="51">
        <v>-265976.8342230319</v>
      </c>
    </row>
    <row r="462">
      <c r="A462" s="55">
        <v>45016.95995700231</v>
      </c>
      <c r="B462" s="56">
        <v>0.5870431904692537</v>
      </c>
      <c r="C462" s="57">
        <v>-0.005717816395002018</v>
      </c>
      <c r="D462" s="58">
        <v>-0.894226452167702</v>
      </c>
      <c r="E462" s="50">
        <v>21.03</v>
      </c>
      <c r="F462" s="57">
        <v>-0.007363259433533442</v>
      </c>
      <c r="G462" s="58">
        <v>-0.6398852421227716</v>
      </c>
      <c r="H462" s="51">
        <v>-55231.840960212394</v>
      </c>
      <c r="I462" s="57">
        <v>0.010029962431571277</v>
      </c>
      <c r="J462" s="57">
        <v>-1.754159584476783</v>
      </c>
      <c r="K462" s="51">
        <v>86718.05318912229</v>
      </c>
      <c r="L462" s="57">
        <v>-0.015747778826573293</v>
      </c>
      <c r="M462" s="57">
        <v>2.754159584476783</v>
      </c>
      <c r="N462" s="59">
        <v>0.0016454430385314245</v>
      </c>
      <c r="O462" s="57">
        <v>-0.2543412100449304</v>
      </c>
      <c r="P462" s="51">
        <v>58.39805101008836</v>
      </c>
      <c r="Q462" s="35">
        <v>1497.2045757921967</v>
      </c>
      <c r="R462" s="13">
        <v>5316.4349943289835</v>
      </c>
      <c r="S462" s="57">
        <v>-0.7042412862792229</v>
      </c>
      <c r="T462" s="53">
        <v>280235.69559610984</v>
      </c>
      <c r="U462" s="51">
        <v>31486.2122289099</v>
      </c>
      <c r="V462" s="51">
        <v>-266189.46258943615</v>
      </c>
    </row>
    <row r="463">
      <c r="A463" s="55">
        <v>45015.95996478009</v>
      </c>
      <c r="B463" s="56">
        <v>0.6187770714615151</v>
      </c>
      <c r="C463" s="57">
        <v>-8.421901852673219E-5</v>
      </c>
      <c r="D463" s="58">
        <v>-0.8885086357727</v>
      </c>
      <c r="E463" s="50">
        <v>21.46</v>
      </c>
      <c r="F463" s="57">
        <v>0.0</v>
      </c>
      <c r="G463" s="58">
        <v>-0.6325219826892382</v>
      </c>
      <c r="H463" s="51">
        <v>-55272.80516657955</v>
      </c>
      <c r="I463" s="57">
        <v>1.4026105643714018E-4</v>
      </c>
      <c r="J463" s="57">
        <v>-1.665432094683216</v>
      </c>
      <c r="K463" s="51">
        <v>88461.07224935909</v>
      </c>
      <c r="L463" s="57">
        <v>-2.2448007496387237E-4</v>
      </c>
      <c r="M463" s="57">
        <v>2.665432094683216</v>
      </c>
      <c r="N463" s="59">
        <v>-8.421901852673219E-5</v>
      </c>
      <c r="O463" s="57">
        <v>-0.2559866530834618</v>
      </c>
      <c r="P463" s="51">
        <v>58.39805101008836</v>
      </c>
      <c r="Q463" s="35">
        <v>1546.5175714249551</v>
      </c>
      <c r="R463" s="13">
        <v>5316.4349943289835</v>
      </c>
      <c r="S463" s="57">
        <v>-0.694499966760248</v>
      </c>
      <c r="T463" s="53">
        <v>280235.69559610984</v>
      </c>
      <c r="U463" s="51">
        <v>33188.26708277954</v>
      </c>
      <c r="V463" s="51">
        <v>-264487.4077355665</v>
      </c>
    </row>
    <row r="464">
      <c r="A464" s="55">
        <v>45014.95996736111</v>
      </c>
      <c r="B464" s="56">
        <v>0.6192444870143382</v>
      </c>
      <c r="C464" s="57">
        <v>0.015984022280623122</v>
      </c>
      <c r="D464" s="58">
        <v>-0.8884244167541733</v>
      </c>
      <c r="E464" s="50">
        <v>21.46</v>
      </c>
      <c r="F464" s="57">
        <v>0.01969243801991505</v>
      </c>
      <c r="G464" s="58">
        <v>-0.6325219826892382</v>
      </c>
      <c r="H464" s="51">
        <v>-55229.46031555748</v>
      </c>
      <c r="I464" s="57">
        <v>-0.026579350436093795</v>
      </c>
      <c r="J464" s="57">
        <v>-1.6628699566012881</v>
      </c>
      <c r="K464" s="51">
        <v>88442.7973515095</v>
      </c>
      <c r="L464" s="57">
        <v>0.04256337271671692</v>
      </c>
      <c r="M464" s="57">
        <v>2.662869956601288</v>
      </c>
      <c r="N464" s="59">
        <v>-0.003708415739291926</v>
      </c>
      <c r="O464" s="57">
        <v>-0.25590243406493507</v>
      </c>
      <c r="P464" s="51">
        <v>58.39805101008836</v>
      </c>
      <c r="Q464" s="35">
        <v>1547.685789186953</v>
      </c>
      <c r="R464" s="13">
        <v>5316.4349943289835</v>
      </c>
      <c r="S464" s="57">
        <v>-0.6942691963042792</v>
      </c>
      <c r="T464" s="53">
        <v>280235.69559610984</v>
      </c>
      <c r="U464" s="51">
        <v>33213.33703595201</v>
      </c>
      <c r="V464" s="51">
        <v>-264462.337782394</v>
      </c>
    </row>
    <row r="465">
      <c r="A465" s="55">
        <v>45013.9599902662</v>
      </c>
      <c r="B465" s="56">
        <v>0.5305331633568799</v>
      </c>
      <c r="C465" s="57">
        <v>-0.004741776307761958</v>
      </c>
      <c r="D465" s="58">
        <v>-0.9044084390347964</v>
      </c>
      <c r="E465" s="50">
        <v>20.31</v>
      </c>
      <c r="F465" s="57">
        <v>-0.005822112110235755</v>
      </c>
      <c r="G465" s="58">
        <v>-0.6522144207091533</v>
      </c>
      <c r="H465" s="51">
        <v>-55226.28386793236</v>
      </c>
      <c r="I465" s="57">
        <v>0.00920288474283048</v>
      </c>
      <c r="J465" s="57">
        <v>-1.9408095501607692</v>
      </c>
      <c r="K465" s="51">
        <v>83681.56628518841</v>
      </c>
      <c r="L465" s="57">
        <v>-0.013944661050592437</v>
      </c>
      <c r="M465" s="57">
        <v>2.940809550160769</v>
      </c>
      <c r="N465" s="59">
        <v>0.0010803358024737975</v>
      </c>
      <c r="O465" s="57">
        <v>-0.25219401832564314</v>
      </c>
      <c r="P465" s="51">
        <v>58.39805101008836</v>
      </c>
      <c r="Q465" s="35">
        <v>1401.047878742297</v>
      </c>
      <c r="R465" s="13">
        <v>5316.4349943289835</v>
      </c>
      <c r="S465" s="57">
        <v>-0.7232361394174917</v>
      </c>
      <c r="T465" s="53">
        <v>280235.69559610984</v>
      </c>
      <c r="U465" s="51">
        <v>28455.28241725605</v>
      </c>
      <c r="V465" s="51">
        <v>-269220.39240109</v>
      </c>
    </row>
    <row r="466">
      <c r="A466" s="55">
        <v>45012.95997494213</v>
      </c>
      <c r="B466" s="56">
        <v>0.5568500218649591</v>
      </c>
      <c r="C466" s="57">
        <v>-0.0032475722740837876</v>
      </c>
      <c r="D466" s="58">
        <v>-0.8996666627270344</v>
      </c>
      <c r="E466" s="50">
        <v>20.65</v>
      </c>
      <c r="F466" s="57">
        <v>-0.003938487603983076</v>
      </c>
      <c r="G466" s="58">
        <v>-0.6463923085989175</v>
      </c>
      <c r="H466" s="51">
        <v>-55191.24485711109</v>
      </c>
      <c r="I466" s="57">
        <v>0.006001231913048028</v>
      </c>
      <c r="J466" s="57">
        <v>-1.8479132738442623</v>
      </c>
      <c r="K466" s="51">
        <v>85058.03873661783</v>
      </c>
      <c r="L466" s="57">
        <v>-0.009248804187131816</v>
      </c>
      <c r="M466" s="57">
        <v>2.8479132738442625</v>
      </c>
      <c r="N466" s="59">
        <v>6.909153298992887E-4</v>
      </c>
      <c r="O466" s="57">
        <v>-0.25327435412811694</v>
      </c>
      <c r="P466" s="51">
        <v>58.39805101008836</v>
      </c>
      <c r="Q466" s="35">
        <v>1446.3338440439104</v>
      </c>
      <c r="R466" s="13">
        <v>5316.4349943289835</v>
      </c>
      <c r="S466" s="57">
        <v>-0.7142903219495468</v>
      </c>
      <c r="T466" s="53">
        <v>280235.69559610984</v>
      </c>
      <c r="U466" s="51">
        <v>29866.793879506746</v>
      </c>
      <c r="V466" s="51">
        <v>-267808.8809388393</v>
      </c>
    </row>
    <row r="467">
      <c r="A467" s="55">
        <v>45011.959961388886</v>
      </c>
      <c r="B467" s="56">
        <v>0.5748740479861241</v>
      </c>
      <c r="C467" s="57">
        <v>0.0059166063866067375</v>
      </c>
      <c r="D467" s="58">
        <v>-0.8964190904529507</v>
      </c>
      <c r="E467" s="50">
        <v>20.88</v>
      </c>
      <c r="F467" s="57">
        <v>0.006507066476145962</v>
      </c>
      <c r="G467" s="58">
        <v>-0.6424538209949344</v>
      </c>
      <c r="H467" s="51">
        <v>-55149.783418723804</v>
      </c>
      <c r="I467" s="57">
        <v>-0.010582625369398392</v>
      </c>
      <c r="J467" s="57">
        <v>-1.7886309613825244</v>
      </c>
      <c r="K467" s="51">
        <v>85983.3005664398</v>
      </c>
      <c r="L467" s="57">
        <v>0.016499231756005133</v>
      </c>
      <c r="M467" s="57">
        <v>2.7886309613825246</v>
      </c>
      <c r="N467" s="59">
        <v>-5.904600895392242E-4</v>
      </c>
      <c r="O467" s="57">
        <v>-0.25396526945801623</v>
      </c>
      <c r="P467" s="51">
        <v>58.39805101008836</v>
      </c>
      <c r="Q467" s="35">
        <v>1476.701012821647</v>
      </c>
      <c r="R467" s="13">
        <v>5316.4349943289835</v>
      </c>
      <c r="S467" s="57">
        <v>-0.7082915727323311</v>
      </c>
      <c r="T467" s="53">
        <v>280235.69559610984</v>
      </c>
      <c r="U467" s="51">
        <v>30833.51714771599</v>
      </c>
      <c r="V467" s="51">
        <v>-266842.15767063</v>
      </c>
    </row>
    <row r="468">
      <c r="A468" s="55">
        <v>45010.95996357639</v>
      </c>
      <c r="B468" s="56">
        <v>0.5420368825404563</v>
      </c>
      <c r="C468" s="57">
        <v>-0.0027365593147234968</v>
      </c>
      <c r="D468" s="58">
        <v>-0.9023356968395574</v>
      </c>
      <c r="E468" s="50">
        <v>20.5</v>
      </c>
      <c r="F468" s="57">
        <v>-0.003424771829550477</v>
      </c>
      <c r="G468" s="58">
        <v>-0.6489608874710804</v>
      </c>
      <c r="H468" s="51">
        <v>-55283.956916310184</v>
      </c>
      <c r="I468" s="57">
        <v>0.005203850162810603</v>
      </c>
      <c r="J468" s="57">
        <v>-1.9016032778139884</v>
      </c>
      <c r="K468" s="51">
        <v>84356.24426525846</v>
      </c>
      <c r="L468" s="57">
        <v>-0.0079404094775341</v>
      </c>
      <c r="M468" s="57">
        <v>2.9016032778139884</v>
      </c>
      <c r="N468" s="59">
        <v>6.882125148269802E-4</v>
      </c>
      <c r="O468" s="57">
        <v>-0.253374809368477</v>
      </c>
      <c r="P468" s="51">
        <v>58.39805101008836</v>
      </c>
      <c r="Q468" s="35">
        <v>1418.1603584852817</v>
      </c>
      <c r="R468" s="13">
        <v>5316.4349943289835</v>
      </c>
      <c r="S468" s="57">
        <v>-0.7198557296330238</v>
      </c>
      <c r="T468" s="53">
        <v>280235.69559610984</v>
      </c>
      <c r="U468" s="51">
        <v>29072.287348948274</v>
      </c>
      <c r="V468" s="51">
        <v>-268603.38746939774</v>
      </c>
    </row>
    <row r="469">
      <c r="A469" s="55">
        <v>45009.95996847222</v>
      </c>
      <c r="B469" s="56">
        <v>0.5572247867371719</v>
      </c>
      <c r="C469" s="57">
        <v>-0.020280969402246662</v>
      </c>
      <c r="D469" s="58">
        <v>-0.8995991375248339</v>
      </c>
      <c r="E469" s="50">
        <v>20.7</v>
      </c>
      <c r="F469" s="57">
        <v>-0.025343311538673308</v>
      </c>
      <c r="G469" s="58">
        <v>-0.6455361156415299</v>
      </c>
      <c r="H469" s="51">
        <v>-55270.448968209705</v>
      </c>
      <c r="I469" s="57">
        <v>0.03750601404108062</v>
      </c>
      <c r="J469" s="57">
        <v>-1.8493205771971544</v>
      </c>
      <c r="K469" s="51">
        <v>85157.34345784874</v>
      </c>
      <c r="L469" s="57">
        <v>-0.057786983443327285</v>
      </c>
      <c r="M469" s="57">
        <v>2.849320577197154</v>
      </c>
      <c r="N469" s="59">
        <v>0.005062342136426645</v>
      </c>
      <c r="O469" s="57">
        <v>-0.254063021883304</v>
      </c>
      <c r="P469" s="51">
        <v>58.39805101008836</v>
      </c>
      <c r="Q469" s="35">
        <v>1443.8113280018856</v>
      </c>
      <c r="R469" s="13">
        <v>5316.4349943289835</v>
      </c>
      <c r="S469" s="57">
        <v>-0.7147886213215845</v>
      </c>
      <c r="T469" s="53">
        <v>280235.69559610984</v>
      </c>
      <c r="U469" s="51">
        <v>29886.89448963903</v>
      </c>
      <c r="V469" s="51">
        <v>-267788.780328707</v>
      </c>
    </row>
    <row r="470">
      <c r="A470" s="55">
        <v>45008.9599784375</v>
      </c>
      <c r="B470" s="56">
        <v>0.6697841669196412</v>
      </c>
      <c r="C470" s="57">
        <v>0.007977601764628028</v>
      </c>
      <c r="D470" s="58">
        <v>-0.8793181681225872</v>
      </c>
      <c r="E470" s="50">
        <v>22.18</v>
      </c>
      <c r="F470" s="57">
        <v>0.010103076897173824</v>
      </c>
      <c r="G470" s="58">
        <v>-0.6201928041028566</v>
      </c>
      <c r="H470" s="51">
        <v>-55368.265839980166</v>
      </c>
      <c r="I470" s="57">
        <v>-0.01229555207774955</v>
      </c>
      <c r="J470" s="57">
        <v>-1.5412591954974395</v>
      </c>
      <c r="K470" s="51">
        <v>91292.31158240321</v>
      </c>
      <c r="L470" s="57">
        <v>0.02027315384237758</v>
      </c>
      <c r="M470" s="57">
        <v>2.5412591954974397</v>
      </c>
      <c r="N470" s="59">
        <v>-0.0021254751325457955</v>
      </c>
      <c r="O470" s="57">
        <v>-0.25912536401973063</v>
      </c>
      <c r="P470" s="51">
        <v>58.39805101008836</v>
      </c>
      <c r="Q470" s="35">
        <v>1619.659411290489</v>
      </c>
      <c r="R470" s="13">
        <v>5316.4349943289835</v>
      </c>
      <c r="S470" s="57">
        <v>-0.6800514826802717</v>
      </c>
      <c r="T470" s="53">
        <v>280235.69559610984</v>
      </c>
      <c r="U470" s="51">
        <v>35924.04574242305</v>
      </c>
      <c r="V470" s="51">
        <v>-261751.629075923</v>
      </c>
    </row>
    <row r="471">
      <c r="A471" s="55">
        <v>45007.95997173611</v>
      </c>
      <c r="B471" s="56">
        <v>0.6255084771259555</v>
      </c>
      <c r="C471" s="57">
        <v>-0.027144768525676932</v>
      </c>
      <c r="D471" s="58">
        <v>-0.8872957698872153</v>
      </c>
      <c r="E471" s="50">
        <v>21.59</v>
      </c>
      <c r="F471" s="57">
        <v>-0.03373400252107184</v>
      </c>
      <c r="G471" s="58">
        <v>-0.6302958810000304</v>
      </c>
      <c r="H471" s="51">
        <v>-55293.60761253371</v>
      </c>
      <c r="I471" s="57">
        <v>0.04473809685167244</v>
      </c>
      <c r="J471" s="57">
        <v>-1.6481296132384966</v>
      </c>
      <c r="K471" s="51">
        <v>88842.91536623907</v>
      </c>
      <c r="L471" s="57">
        <v>-0.07188286537734938</v>
      </c>
      <c r="M471" s="57">
        <v>2.648129613238497</v>
      </c>
      <c r="N471" s="59">
        <v>0.006589233995394905</v>
      </c>
      <c r="O471" s="57">
        <v>-0.25699988888718484</v>
      </c>
      <c r="P471" s="51">
        <v>58.39805101008836</v>
      </c>
      <c r="Q471" s="35">
        <v>1553.9281034601836</v>
      </c>
      <c r="R471" s="13">
        <v>5316.4349943289835</v>
      </c>
      <c r="S471" s="57">
        <v>-0.6930360856993943</v>
      </c>
      <c r="T471" s="53">
        <v>280235.69559610984</v>
      </c>
      <c r="U471" s="51">
        <v>33549.30775370536</v>
      </c>
      <c r="V471" s="51">
        <v>-264126.3670646407</v>
      </c>
    </row>
    <row r="472">
      <c r="A472" s="55">
        <v>45006.95997930555</v>
      </c>
      <c r="B472" s="56">
        <v>0.7761619424434624</v>
      </c>
      <c r="C472" s="57">
        <v>-3.342827127772452E-5</v>
      </c>
      <c r="D472" s="58">
        <v>-0.8601510013615383</v>
      </c>
      <c r="E472" s="50">
        <v>23.56</v>
      </c>
      <c r="F472" s="57">
        <v>0.0</v>
      </c>
      <c r="G472" s="58">
        <v>-0.5965618784789586</v>
      </c>
      <c r="H472" s="51">
        <v>-55276.30576531892</v>
      </c>
      <c r="I472" s="57">
        <v>4.4386430450528606E-5</v>
      </c>
      <c r="J472" s="57">
        <v>-1.327811123756981</v>
      </c>
      <c r="K472" s="51">
        <v>96905.95080769296</v>
      </c>
      <c r="L472" s="57">
        <v>-7.781470172825313E-5</v>
      </c>
      <c r="M472" s="57">
        <v>2.327811123756981</v>
      </c>
      <c r="N472" s="59">
        <v>-3.342827127772452E-5</v>
      </c>
      <c r="O472" s="57">
        <v>-0.26358912288257974</v>
      </c>
      <c r="P472" s="51">
        <v>58.39805101008836</v>
      </c>
      <c r="Q472" s="35">
        <v>1766.9628625795438</v>
      </c>
      <c r="R472" s="13">
        <v>5316.4349943289835</v>
      </c>
      <c r="S472" s="57">
        <v>-0.6509530682188877</v>
      </c>
      <c r="T472" s="53">
        <v>280235.69559610984</v>
      </c>
      <c r="U472" s="51">
        <v>41629.645042374046</v>
      </c>
      <c r="V472" s="51">
        <v>-256046.029775972</v>
      </c>
    </row>
    <row r="473">
      <c r="A473" s="55">
        <v>45005.959962291665</v>
      </c>
      <c r="B473" s="56">
        <v>0.7763474693490533</v>
      </c>
      <c r="C473" s="57">
        <v>0.021658226580444584</v>
      </c>
      <c r="D473" s="58">
        <v>-0.8601175730902606</v>
      </c>
      <c r="E473" s="50">
        <v>23.56</v>
      </c>
      <c r="F473" s="57">
        <v>0.026884458861970995</v>
      </c>
      <c r="G473" s="58">
        <v>-0.5965618784789586</v>
      </c>
      <c r="H473" s="51">
        <v>-55241.323813433606</v>
      </c>
      <c r="I473" s="57">
        <v>-0.028732966399734647</v>
      </c>
      <c r="J473" s="57">
        <v>-1.3266536986771535</v>
      </c>
      <c r="K473" s="51">
        <v>96880.91963901823</v>
      </c>
      <c r="L473" s="57">
        <v>0.050391192980179224</v>
      </c>
      <c r="M473" s="57">
        <v>2.3266536986771533</v>
      </c>
      <c r="N473" s="59">
        <v>-0.005226232281526411</v>
      </c>
      <c r="O473" s="57">
        <v>-0.263555694611302</v>
      </c>
      <c r="P473" s="51">
        <v>58.39805101008836</v>
      </c>
      <c r="Q473" s="35">
        <v>1767.3852217990081</v>
      </c>
      <c r="R473" s="13">
        <v>5316.4349943289835</v>
      </c>
      <c r="S473" s="57">
        <v>-0.650869635118631</v>
      </c>
      <c r="T473" s="53">
        <v>280235.69559610984</v>
      </c>
      <c r="U473" s="51">
        <v>41639.59582558463</v>
      </c>
      <c r="V473" s="51">
        <v>-256036.0789927614</v>
      </c>
    </row>
    <row r="474">
      <c r="A474" s="55">
        <v>45004.959970254626</v>
      </c>
      <c r="B474" s="56">
        <v>0.6561443118275859</v>
      </c>
      <c r="C474" s="57">
        <v>1.8990731495627244E-4</v>
      </c>
      <c r="D474" s="58">
        <v>-0.8817757996707052</v>
      </c>
      <c r="E474" s="50">
        <v>21.99</v>
      </c>
      <c r="F474" s="57">
        <v>0.0</v>
      </c>
      <c r="G474" s="58">
        <v>-0.6234463373409296</v>
      </c>
      <c r="H474" s="51">
        <v>-55223.49488006733</v>
      </c>
      <c r="I474" s="57">
        <v>-2.97999715522547E-4</v>
      </c>
      <c r="J474" s="57">
        <v>-1.569185028976707</v>
      </c>
      <c r="K474" s="51">
        <v>90415.96349294948</v>
      </c>
      <c r="L474" s="57">
        <v>4.879070304788195E-4</v>
      </c>
      <c r="M474" s="57">
        <v>2.5691850289767073</v>
      </c>
      <c r="N474" s="59">
        <v>1.8990731495627244E-4</v>
      </c>
      <c r="O474" s="57">
        <v>-0.2583294623297756</v>
      </c>
      <c r="P474" s="51">
        <v>58.39805101008836</v>
      </c>
      <c r="Q474" s="35">
        <v>1600.385112000098</v>
      </c>
      <c r="R474" s="13">
        <v>5316.4349943289835</v>
      </c>
      <c r="S474" s="57">
        <v>-0.683858939629152</v>
      </c>
      <c r="T474" s="53">
        <v>280235.69559610984</v>
      </c>
      <c r="U474" s="51">
        <v>35192.46861288215</v>
      </c>
      <c r="V474" s="51">
        <v>-262483.2062054639</v>
      </c>
    </row>
    <row r="475">
      <c r="A475" s="55">
        <v>45003.959965138885</v>
      </c>
      <c r="B475" s="56">
        <v>0.6550903262295787</v>
      </c>
      <c r="C475" s="57">
        <v>0.001854400331378736</v>
      </c>
      <c r="D475" s="58">
        <v>-0.8819657069856615</v>
      </c>
      <c r="E475" s="50">
        <v>21.99</v>
      </c>
      <c r="F475" s="57">
        <v>0.0</v>
      </c>
      <c r="G475" s="58">
        <v>-0.6234463373409296</v>
      </c>
      <c r="H475" s="51">
        <v>-55236.071265183404</v>
      </c>
      <c r="I475" s="57">
        <v>-0.002915242774196409</v>
      </c>
      <c r="J475" s="57">
        <v>-1.5720676516644831</v>
      </c>
      <c r="K475" s="51">
        <v>90372.00908993301</v>
      </c>
      <c r="L475" s="57">
        <v>0.0047696431055751455</v>
      </c>
      <c r="M475" s="57">
        <v>2.5720676516644834</v>
      </c>
      <c r="N475" s="59">
        <v>0.001854400331378736</v>
      </c>
      <c r="O475" s="57">
        <v>-0.2585193696447319</v>
      </c>
      <c r="P475" s="51">
        <v>58.39805101008836</v>
      </c>
      <c r="Q475" s="35">
        <v>1597.814362198709</v>
      </c>
      <c r="R475" s="13">
        <v>5316.4349943289835</v>
      </c>
      <c r="S475" s="57">
        <v>-0.6843667671277117</v>
      </c>
      <c r="T475" s="53">
        <v>280235.69559610984</v>
      </c>
      <c r="U475" s="51">
        <v>35135.937824749606</v>
      </c>
      <c r="V475" s="51">
        <v>-262539.7369935964</v>
      </c>
    </row>
    <row r="476">
      <c r="A476" s="55">
        <v>45002.9599852199</v>
      </c>
      <c r="B476" s="56">
        <v>0.6447984043904272</v>
      </c>
      <c r="C476" s="57">
        <v>1.9773977113834995E-5</v>
      </c>
      <c r="D476" s="58">
        <v>-0.8838201073170402</v>
      </c>
      <c r="E476" s="50">
        <v>21.99</v>
      </c>
      <c r="F476" s="57">
        <v>0.0</v>
      </c>
      <c r="G476" s="58">
        <v>-0.6234463373409296</v>
      </c>
      <c r="H476" s="51">
        <v>-55762.75813428626</v>
      </c>
      <c r="I476" s="57">
        <v>-3.1883350688078924E-5</v>
      </c>
      <c r="J476" s="57">
        <v>-1.61238937946234</v>
      </c>
      <c r="K476" s="51">
        <v>90346.68608900937</v>
      </c>
      <c r="L476" s="57">
        <v>5.165732780191392E-5</v>
      </c>
      <c r="M476" s="57">
        <v>2.61238937946234</v>
      </c>
      <c r="N476" s="59">
        <v>1.9773977113834995E-5</v>
      </c>
      <c r="O476" s="57">
        <v>-0.2603737699761106</v>
      </c>
      <c r="P476" s="51">
        <v>58.39805101008836</v>
      </c>
      <c r="Q476" s="35">
        <v>1572.7115941211055</v>
      </c>
      <c r="R476" s="13">
        <v>5316.4349943289835</v>
      </c>
      <c r="S476" s="57">
        <v>-0.689325583389367</v>
      </c>
      <c r="T476" s="53">
        <v>280235.69559610984</v>
      </c>
      <c r="U476" s="51">
        <v>34583.927954723105</v>
      </c>
      <c r="V476" s="51">
        <v>-263091.7468636229</v>
      </c>
    </row>
    <row r="477">
      <c r="A477" s="55">
        <v>45001.95996613426</v>
      </c>
      <c r="B477" s="56">
        <v>0.6446886588174453</v>
      </c>
      <c r="C477" s="57">
        <v>-4.098722031498081E-5</v>
      </c>
      <c r="D477" s="58">
        <v>-0.883839881294154</v>
      </c>
      <c r="E477" s="50">
        <v>21.99</v>
      </c>
      <c r="F477" s="57">
        <v>0.0</v>
      </c>
      <c r="G477" s="58">
        <v>-0.6234463373409296</v>
      </c>
      <c r="H477" s="51">
        <v>-55743.29968790367</v>
      </c>
      <c r="I477" s="57">
        <v>6.607554365606038E-5</v>
      </c>
      <c r="J477" s="57">
        <v>-1.6121011170867277</v>
      </c>
      <c r="K477" s="51">
        <v>90321.34141064556</v>
      </c>
      <c r="L477" s="57">
        <v>-1.0706276397104119E-4</v>
      </c>
      <c r="M477" s="57">
        <v>2.6121011170867274</v>
      </c>
      <c r="N477" s="59">
        <v>-4.098722031498081E-5</v>
      </c>
      <c r="O477" s="57">
        <v>-0.26039354395322445</v>
      </c>
      <c r="P477" s="51">
        <v>58.39805101008836</v>
      </c>
      <c r="Q477" s="35">
        <v>1572.4439164502905</v>
      </c>
      <c r="R477" s="13">
        <v>5316.4349943289835</v>
      </c>
      <c r="S477" s="57">
        <v>-0.6893784606012672</v>
      </c>
      <c r="T477" s="53">
        <v>280235.69559610984</v>
      </c>
      <c r="U477" s="51">
        <v>34578.04172274189</v>
      </c>
      <c r="V477" s="51">
        <v>-263097.63309560413</v>
      </c>
    </row>
    <row r="478">
      <c r="A478" s="55">
        <v>45000.959972488425</v>
      </c>
      <c r="B478" s="56">
        <v>0.6449161378901935</v>
      </c>
      <c r="C478" s="57">
        <v>4.363649189101926E-4</v>
      </c>
      <c r="D478" s="58">
        <v>-0.883798894073839</v>
      </c>
      <c r="E478" s="50">
        <v>21.99</v>
      </c>
      <c r="F478" s="57">
        <v>0.0</v>
      </c>
      <c r="G478" s="58">
        <v>-0.6234463373409296</v>
      </c>
      <c r="H478" s="51">
        <v>-55705.95054872154</v>
      </c>
      <c r="I478" s="57">
        <v>-7.02745073522676E-4</v>
      </c>
      <c r="J478" s="57">
        <v>-1.610452726763094</v>
      </c>
      <c r="K478" s="51">
        <v>90296.19316992963</v>
      </c>
      <c r="L478" s="57">
        <v>0.0011391099924328684</v>
      </c>
      <c r="M478" s="57">
        <v>2.6104527267630937</v>
      </c>
      <c r="N478" s="59">
        <v>4.363649189101926E-4</v>
      </c>
      <c r="O478" s="57">
        <v>-0.26035255673290947</v>
      </c>
      <c r="P478" s="51">
        <v>58.39805101008836</v>
      </c>
      <c r="Q478" s="35">
        <v>1572.9987549435236</v>
      </c>
      <c r="R478" s="13">
        <v>5027.132102570184</v>
      </c>
      <c r="S478" s="57">
        <v>-0.6892688574637036</v>
      </c>
      <c r="T478" s="53">
        <v>280235.69559610984</v>
      </c>
      <c r="U478" s="51">
        <v>34590.24262120808</v>
      </c>
      <c r="V478" s="51">
        <v>-263085.43219713797</v>
      </c>
    </row>
    <row r="479">
      <c r="A479" s="55">
        <v>44999.95998591435</v>
      </c>
      <c r="B479" s="56">
        <v>0.6424943125902416</v>
      </c>
      <c r="C479" s="57">
        <v>0.01962896331074626</v>
      </c>
      <c r="D479" s="58">
        <v>-0.8842352589927492</v>
      </c>
      <c r="E479" s="50">
        <v>21.99</v>
      </c>
      <c r="F479" s="57">
        <v>0.024315879989807998</v>
      </c>
      <c r="G479" s="58">
        <v>-0.6234463373409296</v>
      </c>
      <c r="H479" s="51">
        <v>-55829.3477450615</v>
      </c>
      <c r="I479" s="57">
        <v>-0.03180096259176037</v>
      </c>
      <c r="J479" s="57">
        <v>-1.6201040313907107</v>
      </c>
      <c r="K479" s="51">
        <v>90289.69514456592</v>
      </c>
      <c r="L479" s="57">
        <v>0.05142992590250663</v>
      </c>
      <c r="M479" s="57">
        <v>2.620104031390711</v>
      </c>
      <c r="N479" s="59">
        <v>-0.004686916679061737</v>
      </c>
      <c r="O479" s="57">
        <v>-0.26078892165181966</v>
      </c>
      <c r="P479" s="51">
        <v>58.39805101008836</v>
      </c>
      <c r="Q479" s="35">
        <v>1567.0917416782365</v>
      </c>
      <c r="R479" s="13">
        <v>5027.132102570184</v>
      </c>
      <c r="S479" s="57">
        <v>-0.6904357325010366</v>
      </c>
      <c r="T479" s="53">
        <v>280235.69559610984</v>
      </c>
      <c r="U479" s="51">
        <v>34460.34739950442</v>
      </c>
      <c r="V479" s="51">
        <v>-263215.32741884165</v>
      </c>
    </row>
    <row r="480">
      <c r="A480" s="55">
        <v>44998.96000274306</v>
      </c>
      <c r="B480" s="56">
        <v>0.5335535662156001</v>
      </c>
      <c r="C480" s="57">
        <v>0.0025372508523293646</v>
      </c>
      <c r="D480" s="58">
        <v>-0.9038642223034955</v>
      </c>
      <c r="E480" s="50">
        <v>20.57</v>
      </c>
      <c r="F480" s="57">
        <v>0.008733168165353744</v>
      </c>
      <c r="G480" s="58">
        <v>-0.6477622173307376</v>
      </c>
      <c r="H480" s="51">
        <v>-55817.816265200796</v>
      </c>
      <c r="I480" s="57">
        <v>-0.004948890653543949</v>
      </c>
      <c r="J480" s="57">
        <v>-1.9504932470514451</v>
      </c>
      <c r="K480" s="51">
        <v>84435.09876519429</v>
      </c>
      <c r="L480" s="57">
        <v>0.007486141505873313</v>
      </c>
      <c r="M480" s="57">
        <v>2.950493247051445</v>
      </c>
      <c r="N480" s="59">
        <v>-0.006195917313024379</v>
      </c>
      <c r="O480" s="57">
        <v>-0.2561020049727579</v>
      </c>
      <c r="P480" s="51">
        <v>58.39805101008836</v>
      </c>
      <c r="Q480" s="35">
        <v>1391.214511424088</v>
      </c>
      <c r="R480" s="13">
        <v>5027.132102570184</v>
      </c>
      <c r="S480" s="57">
        <v>-0.7251786288518688</v>
      </c>
      <c r="T480" s="53">
        <v>280235.69559610984</v>
      </c>
      <c r="U480" s="51">
        <v>28617.28249999349</v>
      </c>
      <c r="V480" s="51">
        <v>-269058.39231835253</v>
      </c>
    </row>
    <row r="481">
      <c r="A481" s="55">
        <v>44997.959963726855</v>
      </c>
      <c r="B481" s="56">
        <v>0.5194718239851722</v>
      </c>
      <c r="C481" s="57">
        <v>0.02742326618590596</v>
      </c>
      <c r="D481" s="58">
        <v>-0.9064014731558249</v>
      </c>
      <c r="E481" s="50">
        <v>20.06</v>
      </c>
      <c r="F481" s="57">
        <v>0.03304904815516174</v>
      </c>
      <c r="G481" s="58">
        <v>-0.6564953854960913</v>
      </c>
      <c r="H481" s="51">
        <v>-53755.53604175483</v>
      </c>
      <c r="I481" s="57">
        <v>-0.05290905636074004</v>
      </c>
      <c r="J481" s="57">
        <v>-1.929349188461452</v>
      </c>
      <c r="K481" s="51">
        <v>81617.54068209775</v>
      </c>
      <c r="L481" s="57">
        <v>0.080332322546646</v>
      </c>
      <c r="M481" s="57">
        <v>2.929349188461452</v>
      </c>
      <c r="N481" s="59">
        <v>-0.005625781969255783</v>
      </c>
      <c r="O481" s="57">
        <v>-0.24990608765973354</v>
      </c>
      <c r="P481" s="51">
        <v>58.39805101008836</v>
      </c>
      <c r="Q481" s="35">
        <v>1388.9334317219802</v>
      </c>
      <c r="R481" s="13">
        <v>5027.132102570184</v>
      </c>
      <c r="S481" s="57">
        <v>-0.7256292347406686</v>
      </c>
      <c r="T481" s="53">
        <v>280235.69559610984</v>
      </c>
      <c r="U481" s="51">
        <v>27862.004640342922</v>
      </c>
      <c r="V481" s="51">
        <v>-269813.67017800314</v>
      </c>
    </row>
    <row r="482">
      <c r="A482" s="55">
        <v>44996.95996506944</v>
      </c>
      <c r="B482" s="56">
        <v>0.3672726966533937</v>
      </c>
      <c r="C482" s="57">
        <v>0.004079444144024724</v>
      </c>
      <c r="D482" s="58">
        <v>-0.9338247393417308</v>
      </c>
      <c r="E482" s="50">
        <v>18.13</v>
      </c>
      <c r="F482" s="57">
        <v>0.0030822946465953738</v>
      </c>
      <c r="G482" s="58">
        <v>-0.6895444336512531</v>
      </c>
      <c r="H482" s="51">
        <v>-54462.96978210416</v>
      </c>
      <c r="I482" s="57">
        <v>-0.01127881057212708</v>
      </c>
      <c r="J482" s="57">
        <v>-2.764791028858054</v>
      </c>
      <c r="K482" s="51">
        <v>74161.73515483437</v>
      </c>
      <c r="L482" s="57">
        <v>0.015358254716151805</v>
      </c>
      <c r="M482" s="57">
        <v>3.764791028858054</v>
      </c>
      <c r="N482" s="59">
        <v>9.971494974293504E-4</v>
      </c>
      <c r="O482" s="57">
        <v>-0.24428030569047776</v>
      </c>
      <c r="P482" s="51">
        <v>58.39805101008836</v>
      </c>
      <c r="Q482" s="35">
        <v>1086.5287023017215</v>
      </c>
      <c r="R482" s="13">
        <v>5027.132102570184</v>
      </c>
      <c r="S482" s="57">
        <v>-0.7853664511789044</v>
      </c>
      <c r="T482" s="53">
        <v>280235.69559610984</v>
      </c>
      <c r="U482" s="51">
        <v>19698.76537273021</v>
      </c>
      <c r="V482" s="51">
        <v>-277976.90944561583</v>
      </c>
    </row>
    <row r="483">
      <c r="A483" s="55">
        <v>44995.95997106482</v>
      </c>
      <c r="B483" s="56">
        <v>0.344631781654057</v>
      </c>
      <c r="C483" s="57">
        <v>0.009880549893303336</v>
      </c>
      <c r="D483" s="58">
        <v>-0.9379041834857555</v>
      </c>
      <c r="E483" s="50">
        <v>17.95</v>
      </c>
      <c r="F483" s="57">
        <v>0.012671655769336487</v>
      </c>
      <c r="G483" s="58">
        <v>-0.6926267282978484</v>
      </c>
      <c r="H483" s="51">
        <v>-54490.892633038005</v>
      </c>
      <c r="I483" s="57">
        <v>-0.02912724097916765</v>
      </c>
      <c r="J483" s="57">
        <v>-2.94793723969847</v>
      </c>
      <c r="K483" s="51">
        <v>72975.30671731193</v>
      </c>
      <c r="L483" s="57">
        <v>0.039007790872470985</v>
      </c>
      <c r="M483" s="57">
        <v>3.94793723969847</v>
      </c>
      <c r="N483" s="59">
        <v>-0.002791105876033151</v>
      </c>
      <c r="O483" s="57">
        <v>-0.2452774551879071</v>
      </c>
      <c r="P483" s="51">
        <v>58.39805101008836</v>
      </c>
      <c r="Q483" s="35">
        <v>1029.7723723829488</v>
      </c>
      <c r="R483" s="13">
        <v>5027.132102570184</v>
      </c>
      <c r="S483" s="57">
        <v>-0.7965781315355493</v>
      </c>
      <c r="T483" s="53">
        <v>280235.69559610984</v>
      </c>
      <c r="U483" s="51">
        <v>18484.41408427393</v>
      </c>
      <c r="V483" s="51">
        <v>-279191.26073407213</v>
      </c>
    </row>
    <row r="484">
      <c r="A484" s="55">
        <v>44994.959981782406</v>
      </c>
      <c r="B484" s="56">
        <v>0.28979472974622333</v>
      </c>
      <c r="C484" s="57">
        <v>-0.015978816954840158</v>
      </c>
      <c r="D484" s="58">
        <v>-0.9477847333790589</v>
      </c>
      <c r="E484" s="50">
        <v>17.21</v>
      </c>
      <c r="F484" s="57">
        <v>-0.02003491520287004</v>
      </c>
      <c r="G484" s="58">
        <v>-0.7052983840671849</v>
      </c>
      <c r="H484" s="51">
        <v>-54411.969347536375</v>
      </c>
      <c r="I484" s="57">
        <v>0.055936877513163216</v>
      </c>
      <c r="J484" s="57">
        <v>-3.5006895486226424</v>
      </c>
      <c r="K484" s="51">
        <v>69955.18407474489</v>
      </c>
      <c r="L484" s="57">
        <v>-0.07191569446800337</v>
      </c>
      <c r="M484" s="57">
        <v>4.500689548622642</v>
      </c>
      <c r="N484" s="59">
        <v>0.004056098248029882</v>
      </c>
      <c r="O484" s="57">
        <v>-0.24248634931187396</v>
      </c>
      <c r="P484" s="51">
        <v>58.39805101008836</v>
      </c>
      <c r="Q484" s="35">
        <v>903.150187519379</v>
      </c>
      <c r="R484" s="13">
        <v>5027.132102570184</v>
      </c>
      <c r="S484" s="57">
        <v>-0.8215911558939264</v>
      </c>
      <c r="T484" s="53">
        <v>280235.69559610984</v>
      </c>
      <c r="U484" s="51">
        <v>15543.214727208513</v>
      </c>
      <c r="V484" s="51">
        <v>-282132.46009113756</v>
      </c>
    </row>
    <row r="485">
      <c r="A485" s="55">
        <v>44993.95997622685</v>
      </c>
      <c r="B485" s="56">
        <v>0.3784771638455863</v>
      </c>
      <c r="C485" s="57">
        <v>-0.022145523878514317</v>
      </c>
      <c r="D485" s="58">
        <v>-0.9318059164242187</v>
      </c>
      <c r="E485" s="50">
        <v>18.38</v>
      </c>
      <c r="F485" s="57">
        <v>-0.028083129002313578</v>
      </c>
      <c r="G485" s="58">
        <v>-0.6852634688643149</v>
      </c>
      <c r="H485" s="51">
        <v>-54383.77530700299</v>
      </c>
      <c r="I485" s="57">
        <v>0.05932875939864959</v>
      </c>
      <c r="J485" s="57">
        <v>-2.6790406821764376</v>
      </c>
      <c r="K485" s="51">
        <v>74683.49515404238</v>
      </c>
      <c r="L485" s="57">
        <v>-0.0814742832771639</v>
      </c>
      <c r="M485" s="57">
        <v>3.6790406821764376</v>
      </c>
      <c r="N485" s="59">
        <v>0.005937605123799261</v>
      </c>
      <c r="O485" s="57">
        <v>-0.24654244755990384</v>
      </c>
      <c r="P485" s="51">
        <v>58.39805101008836</v>
      </c>
      <c r="Q485" s="35">
        <v>1104.4461287834272</v>
      </c>
      <c r="R485" s="13">
        <v>5027.132102570184</v>
      </c>
      <c r="S485" s="57">
        <v>-0.7818270317200692</v>
      </c>
      <c r="T485" s="53">
        <v>280235.69559610984</v>
      </c>
      <c r="U485" s="51">
        <v>20299.719847039392</v>
      </c>
      <c r="V485" s="51">
        <v>-277375.95497130667</v>
      </c>
    </row>
    <row r="486">
      <c r="A486" s="55">
        <v>44992.959975370366</v>
      </c>
      <c r="B486" s="56">
        <v>0.5013848213713404</v>
      </c>
      <c r="C486" s="57">
        <v>-0.008985442686664902</v>
      </c>
      <c r="D486" s="58">
        <v>-0.9096603925457044</v>
      </c>
      <c r="E486" s="50">
        <v>20.02</v>
      </c>
      <c r="F486" s="57">
        <v>-0.0116442242204714</v>
      </c>
      <c r="G486" s="58">
        <v>-0.6571803398620013</v>
      </c>
      <c r="H486" s="51">
        <v>-54432.26312613157</v>
      </c>
      <c r="I486" s="57">
        <v>0.018187555172220465</v>
      </c>
      <c r="J486" s="57">
        <v>-2.0241134250638777</v>
      </c>
      <c r="K486" s="51">
        <v>81324.16673791349</v>
      </c>
      <c r="L486" s="57">
        <v>-0.027172997858885366</v>
      </c>
      <c r="M486" s="57">
        <v>3.0241134250638777</v>
      </c>
      <c r="N486" s="59">
        <v>0.002658781533806498</v>
      </c>
      <c r="O486" s="57">
        <v>-0.2524800526837031</v>
      </c>
      <c r="P486" s="51">
        <v>58.39805101008836</v>
      </c>
      <c r="Q486" s="35">
        <v>1343.2519286604356</v>
      </c>
      <c r="R486" s="13">
        <v>5027.132102570184</v>
      </c>
      <c r="S486" s="57">
        <v>-0.7346531869812403</v>
      </c>
      <c r="T486" s="53">
        <v>280235.69559610984</v>
      </c>
      <c r="U486" s="51">
        <v>26891.90361178192</v>
      </c>
      <c r="V486" s="51">
        <v>-270783.77120656415</v>
      </c>
    </row>
    <row r="487">
      <c r="A487" s="55">
        <v>44991.95998092592</v>
      </c>
      <c r="B487" s="56">
        <v>0.5512540282823307</v>
      </c>
      <c r="C487" s="57">
        <v>-0.005235846114759135</v>
      </c>
      <c r="D487" s="58">
        <v>-0.9006749498590395</v>
      </c>
      <c r="E487" s="50">
        <v>20.7</v>
      </c>
      <c r="F487" s="57">
        <v>-0.006507066476145851</v>
      </c>
      <c r="G487" s="58">
        <v>-0.6455361156415299</v>
      </c>
      <c r="H487" s="51">
        <v>-54496.18307749907</v>
      </c>
      <c r="I487" s="57">
        <v>0.009650522315803276</v>
      </c>
      <c r="J487" s="57">
        <v>-1.8431638562867176</v>
      </c>
      <c r="K487" s="51">
        <v>84062.83440457554</v>
      </c>
      <c r="L487" s="57">
        <v>-0.014886368430562411</v>
      </c>
      <c r="M487" s="57">
        <v>2.8431638562867176</v>
      </c>
      <c r="N487" s="59">
        <v>0.0012712203613867157</v>
      </c>
      <c r="O487" s="57">
        <v>-0.2551388342175096</v>
      </c>
      <c r="P487" s="51">
        <v>58.39805101008836</v>
      </c>
      <c r="Q487" s="35">
        <v>1428.3406438201193</v>
      </c>
      <c r="R487" s="13">
        <v>5027.132102570184</v>
      </c>
      <c r="S487" s="57">
        <v>-0.7178447098000469</v>
      </c>
      <c r="T487" s="53">
        <v>280235.69559610984</v>
      </c>
      <c r="U487" s="51">
        <v>29566.65132707647</v>
      </c>
      <c r="V487" s="51">
        <v>-268109.02349126956</v>
      </c>
    </row>
    <row r="488">
      <c r="A488" s="55">
        <v>44990.959971759265</v>
      </c>
      <c r="B488" s="56">
        <v>0.580312974219244</v>
      </c>
      <c r="C488" s="57">
        <v>0.004464702476026483</v>
      </c>
      <c r="D488" s="58">
        <v>-0.8954391037442804</v>
      </c>
      <c r="E488" s="50">
        <v>21.08</v>
      </c>
      <c r="F488" s="57">
        <v>0.005479634927280652</v>
      </c>
      <c r="G488" s="58">
        <v>-0.639029049165384</v>
      </c>
      <c r="H488" s="51">
        <v>-54457.234006544066</v>
      </c>
      <c r="I488" s="57">
        <v>-0.007811518362921837</v>
      </c>
      <c r="J488" s="57">
        <v>-1.7496167784676144</v>
      </c>
      <c r="K488" s="51">
        <v>85582.46935907648</v>
      </c>
      <c r="L488" s="57">
        <v>0.01227622083894832</v>
      </c>
      <c r="M488" s="57">
        <v>2.7496167784676144</v>
      </c>
      <c r="N488" s="59">
        <v>-0.001014932451254169</v>
      </c>
      <c r="O488" s="57">
        <v>-0.2564100545788963</v>
      </c>
      <c r="P488" s="51">
        <v>58.39805101008836</v>
      </c>
      <c r="Q488" s="35">
        <v>1476.5291912966043</v>
      </c>
      <c r="R488" s="13">
        <v>5027.132102570184</v>
      </c>
      <c r="S488" s="57">
        <v>-0.7083255144621775</v>
      </c>
      <c r="T488" s="53">
        <v>280235.69559610984</v>
      </c>
      <c r="U488" s="51">
        <v>31125.235352532414</v>
      </c>
      <c r="V488" s="51">
        <v>-266550.43946581363</v>
      </c>
    </row>
    <row r="489">
      <c r="A489" s="55">
        <v>44989.95997476851</v>
      </c>
      <c r="B489" s="56">
        <v>0.5555338754772973</v>
      </c>
      <c r="C489" s="57">
        <v>-0.008645090377053744</v>
      </c>
      <c r="D489" s="58">
        <v>-0.8999038062203069</v>
      </c>
      <c r="E489" s="50">
        <v>20.76</v>
      </c>
      <c r="F489" s="57">
        <v>-0.010959269854561415</v>
      </c>
      <c r="G489" s="58">
        <v>-0.6445086840926647</v>
      </c>
      <c r="H489" s="51">
        <v>-54463.131242424526</v>
      </c>
      <c r="I489" s="57">
        <v>0.0158019700407513</v>
      </c>
      <c r="J489" s="57">
        <v>-1.8278548114076085</v>
      </c>
      <c r="K489" s="51">
        <v>84259.33327254263</v>
      </c>
      <c r="L489" s="57">
        <v>-0.024447060417805044</v>
      </c>
      <c r="M489" s="57">
        <v>2.8278548114076085</v>
      </c>
      <c r="N489" s="59">
        <v>0.002314179477507672</v>
      </c>
      <c r="O489" s="57">
        <v>-0.25539512212764215</v>
      </c>
      <c r="P489" s="51">
        <v>58.39805101008836</v>
      </c>
      <c r="Q489" s="35">
        <v>1435.2698473081937</v>
      </c>
      <c r="R489" s="13">
        <v>5027.132102570184</v>
      </c>
      <c r="S489" s="57">
        <v>-0.7164759106767487</v>
      </c>
      <c r="T489" s="53">
        <v>280235.69559610984</v>
      </c>
      <c r="U489" s="51">
        <v>29796.202030118104</v>
      </c>
      <c r="V489" s="51">
        <v>-267879.47278822795</v>
      </c>
    </row>
    <row r="490">
      <c r="A490" s="55">
        <v>44988.95997704861</v>
      </c>
      <c r="B490" s="56">
        <v>0.6035141270699453</v>
      </c>
      <c r="C490" s="57">
        <v>-0.00984414510633258</v>
      </c>
      <c r="D490" s="58">
        <v>-0.8912587158432531</v>
      </c>
      <c r="E490" s="50">
        <v>21.4</v>
      </c>
      <c r="F490" s="57">
        <v>-0.012329178586381495</v>
      </c>
      <c r="G490" s="58">
        <v>-0.6335494142381033</v>
      </c>
      <c r="H490" s="51">
        <v>-54464.7455119353</v>
      </c>
      <c r="I490" s="57">
        <v>0.01656363612525676</v>
      </c>
      <c r="J490" s="57">
        <v>-1.682587563098967</v>
      </c>
      <c r="K490" s="51">
        <v>86834.38065390846</v>
      </c>
      <c r="L490" s="57">
        <v>-0.02640778123158934</v>
      </c>
      <c r="M490" s="57">
        <v>2.6825875630989673</v>
      </c>
      <c r="N490" s="59">
        <v>0.002485033480048915</v>
      </c>
      <c r="O490" s="57">
        <v>-0.2577093016051498</v>
      </c>
      <c r="P490" s="51">
        <v>58.39805101008836</v>
      </c>
      <c r="Q490" s="35">
        <v>1512.5997729894</v>
      </c>
      <c r="R490" s="13">
        <v>5027.132102570184</v>
      </c>
      <c r="S490" s="57">
        <v>-0.7012001095461681</v>
      </c>
      <c r="T490" s="53">
        <v>280235.69559610984</v>
      </c>
      <c r="U490" s="51">
        <v>32369.635141973158</v>
      </c>
      <c r="V490" s="51">
        <v>-265306.0396763729</v>
      </c>
    </row>
    <row r="491">
      <c r="A491" s="55">
        <v>44987.95998010416</v>
      </c>
      <c r="B491" s="56">
        <v>0.6581491324100908</v>
      </c>
      <c r="C491" s="57">
        <v>-0.0036643974884625896</v>
      </c>
      <c r="D491" s="58">
        <v>-0.8814145707369205</v>
      </c>
      <c r="E491" s="50">
        <v>22.12</v>
      </c>
      <c r="F491" s="57">
        <v>-0.004965919152848164</v>
      </c>
      <c r="G491" s="58">
        <v>-0.6212202356517218</v>
      </c>
      <c r="H491" s="51">
        <v>-54426.323425336166</v>
      </c>
      <c r="I491" s="57">
        <v>0.005649849744375977</v>
      </c>
      <c r="J491" s="57">
        <v>-1.5418222947059137</v>
      </c>
      <c r="K491" s="51">
        <v>89726.32110484657</v>
      </c>
      <c r="L491" s="57">
        <v>-0.009314247232838566</v>
      </c>
      <c r="M491" s="57">
        <v>2.5418222947059137</v>
      </c>
      <c r="N491" s="59">
        <v>0.0013015216643855743</v>
      </c>
      <c r="O491" s="57">
        <v>-0.26019433508519874</v>
      </c>
      <c r="P491" s="51">
        <v>58.39805101008836</v>
      </c>
      <c r="Q491" s="35">
        <v>1595.8407630881738</v>
      </c>
      <c r="R491" s="13">
        <v>5027.132102570184</v>
      </c>
      <c r="S491" s="57">
        <v>-0.6847566331111385</v>
      </c>
      <c r="T491" s="53">
        <v>280235.69559610984</v>
      </c>
      <c r="U491" s="51">
        <v>35299.99767951041</v>
      </c>
      <c r="V491" s="51">
        <v>-262375.67713883566</v>
      </c>
    </row>
    <row r="492">
      <c r="A492" s="55">
        <v>44986.959998182865</v>
      </c>
      <c r="B492" s="56">
        <v>0.6784865384710582</v>
      </c>
      <c r="C492" s="57">
        <v>0.004455349083076654</v>
      </c>
      <c r="D492" s="58">
        <v>-0.8777501732484579</v>
      </c>
      <c r="E492" s="50">
        <v>22.41</v>
      </c>
      <c r="F492" s="57">
        <v>0.005650873518758259</v>
      </c>
      <c r="G492" s="58">
        <v>-0.6162543164988736</v>
      </c>
      <c r="H492" s="51">
        <v>-54485.91686033436</v>
      </c>
      <c r="I492" s="57">
        <v>-0.006670745954865902</v>
      </c>
      <c r="J492" s="57">
        <v>-1.4972442855722092</v>
      </c>
      <c r="K492" s="51">
        <v>90876.71653502552</v>
      </c>
      <c r="L492" s="57">
        <v>0.011126095037942556</v>
      </c>
      <c r="M492" s="57">
        <v>2.4972442855722092</v>
      </c>
      <c r="N492" s="59">
        <v>-0.0011955244356816053</v>
      </c>
      <c r="O492" s="57">
        <v>-0.2614958567495843</v>
      </c>
      <c r="P492" s="51">
        <v>58.39805101008836</v>
      </c>
      <c r="Q492" s="35">
        <v>1623.8643317577496</v>
      </c>
      <c r="R492" s="13">
        <v>5027.132102570184</v>
      </c>
      <c r="S492" s="57">
        <v>-0.6792208401022278</v>
      </c>
      <c r="T492" s="53">
        <v>280235.69559610984</v>
      </c>
      <c r="U492" s="51">
        <v>36390.79967469117</v>
      </c>
      <c r="V492" s="51">
        <v>-261284.87514365488</v>
      </c>
    </row>
    <row r="493">
      <c r="A493" s="55">
        <v>44985.959990902775</v>
      </c>
      <c r="B493" s="56">
        <v>0.6537593510599831</v>
      </c>
      <c r="C493" s="57">
        <v>-0.00991639468974248</v>
      </c>
      <c r="D493" s="58">
        <v>-0.8822055223315346</v>
      </c>
      <c r="E493" s="50">
        <v>22.08</v>
      </c>
      <c r="F493" s="57">
        <v>-0.012157939994903999</v>
      </c>
      <c r="G493" s="58">
        <v>-0.6219051900176319</v>
      </c>
      <c r="H493" s="51">
        <v>-54448.73747070615</v>
      </c>
      <c r="I493" s="57">
        <v>0.015398319996101232</v>
      </c>
      <c r="J493" s="57">
        <v>-1.5528143521787465</v>
      </c>
      <c r="K493" s="51">
        <v>89513.28810054119</v>
      </c>
      <c r="L493" s="57">
        <v>-0.025314714685843714</v>
      </c>
      <c r="M493" s="57">
        <v>2.5528143521787467</v>
      </c>
      <c r="N493" s="59">
        <v>0.0022415453051615186</v>
      </c>
      <c r="O493" s="57">
        <v>-0.2603003323139027</v>
      </c>
      <c r="P493" s="51">
        <v>58.39805101008836</v>
      </c>
      <c r="Q493" s="35">
        <v>1588.0684162062971</v>
      </c>
      <c r="R493" s="13">
        <v>5027.132102570184</v>
      </c>
      <c r="S493" s="57">
        <v>-0.6862919872995662</v>
      </c>
      <c r="T493" s="53">
        <v>280235.69559610984</v>
      </c>
      <c r="U493" s="51">
        <v>35064.55062983504</v>
      </c>
      <c r="V493" s="51">
        <v>-262611.124188511</v>
      </c>
    </row>
    <row r="494">
      <c r="A494" s="55">
        <v>44984.96000265046</v>
      </c>
      <c r="B494" s="56">
        <v>0.7087953415880537</v>
      </c>
      <c r="C494" s="57">
        <v>-0.003787986823309275</v>
      </c>
      <c r="D494" s="58">
        <v>-0.8722891276417921</v>
      </c>
      <c r="E494" s="50">
        <v>22.79</v>
      </c>
      <c r="F494" s="57">
        <v>-0.004623441969893172</v>
      </c>
      <c r="G494" s="58">
        <v>-0.6097472500227279</v>
      </c>
      <c r="H494" s="51">
        <v>-54421.48854248914</v>
      </c>
      <c r="I494" s="57">
        <v>0.0054226010998044034</v>
      </c>
      <c r="J494" s="57">
        <v>-1.4315258612930155</v>
      </c>
      <c r="K494" s="51">
        <v>92437.90865335833</v>
      </c>
      <c r="L494" s="57">
        <v>-0.00921058792311368</v>
      </c>
      <c r="M494" s="57">
        <v>2.4315258612930157</v>
      </c>
      <c r="N494" s="59">
        <v>8.354551465838966E-4</v>
      </c>
      <c r="O494" s="57">
        <v>-0.2625418776190642</v>
      </c>
      <c r="P494" s="51">
        <v>58.39805101008836</v>
      </c>
      <c r="Q494" s="35">
        <v>1668.1184778792976</v>
      </c>
      <c r="R494" s="13">
        <v>5027.132102570184</v>
      </c>
      <c r="S494" s="57">
        <v>-0.6704788488303971</v>
      </c>
      <c r="T494" s="53">
        <v>280235.69559610984</v>
      </c>
      <c r="U494" s="51">
        <v>38016.42011086919</v>
      </c>
      <c r="V494" s="51">
        <v>-259659.25470747685</v>
      </c>
    </row>
    <row r="495">
      <c r="A495" s="55">
        <v>44983.9599665625</v>
      </c>
      <c r="B495" s="56">
        <v>0.7298186684574205</v>
      </c>
      <c r="C495" s="57">
        <v>0.011500507994841591</v>
      </c>
      <c r="D495" s="58">
        <v>-0.8685011408184828</v>
      </c>
      <c r="E495" s="50">
        <v>23.06</v>
      </c>
      <c r="F495" s="57">
        <v>0.014212803092634285</v>
      </c>
      <c r="G495" s="58">
        <v>-0.6051238080528347</v>
      </c>
      <c r="H495" s="51">
        <v>-54358.159509031226</v>
      </c>
      <c r="I495" s="57">
        <v>-0.01597042361658705</v>
      </c>
      <c r="J495" s="57">
        <v>-1.3886711459833239</v>
      </c>
      <c r="K495" s="51">
        <v>93502.17115373202</v>
      </c>
      <c r="L495" s="57">
        <v>0.027470931611428637</v>
      </c>
      <c r="M495" s="57">
        <v>2.3886711459833236</v>
      </c>
      <c r="N495" s="59">
        <v>-0.002712295097792694</v>
      </c>
      <c r="O495" s="57">
        <v>-0.2633773327656481</v>
      </c>
      <c r="P495" s="51">
        <v>58.39805101008836</v>
      </c>
      <c r="Q495" s="35">
        <v>1697.4853271769643</v>
      </c>
      <c r="R495" s="13">
        <v>5027.132102570184</v>
      </c>
      <c r="S495" s="57">
        <v>-0.6646777033391645</v>
      </c>
      <c r="T495" s="53">
        <v>280235.69559610984</v>
      </c>
      <c r="U495" s="51">
        <v>39144.0116447008</v>
      </c>
      <c r="V495" s="51">
        <v>-258531.66317364524</v>
      </c>
    </row>
    <row r="496">
      <c r="A496" s="55">
        <v>44982.959966215276</v>
      </c>
      <c r="B496" s="56">
        <v>0.6659908490860491</v>
      </c>
      <c r="C496" s="57">
        <v>-0.007615717467384209</v>
      </c>
      <c r="D496" s="58">
        <v>-0.8800016488133244</v>
      </c>
      <c r="E496" s="50">
        <v>22.23</v>
      </c>
      <c r="F496" s="57">
        <v>-0.009589361122741114</v>
      </c>
      <c r="G496" s="58">
        <v>-0.619336611145469</v>
      </c>
      <c r="H496" s="51">
        <v>-54382.04743510495</v>
      </c>
      <c r="I496" s="57">
        <v>0.0115943859446953</v>
      </c>
      <c r="J496" s="57">
        <v>-1.5224285819885668</v>
      </c>
      <c r="K496" s="51">
        <v>90102.63760168746</v>
      </c>
      <c r="L496" s="57">
        <v>-0.01921010341207951</v>
      </c>
      <c r="M496" s="57">
        <v>2.522428581988567</v>
      </c>
      <c r="N496" s="59">
        <v>0.0019736436553569048</v>
      </c>
      <c r="O496" s="57">
        <v>-0.2606650376678554</v>
      </c>
      <c r="P496" s="51">
        <v>58.39805101008836</v>
      </c>
      <c r="Q496" s="35">
        <v>1606.8641550419482</v>
      </c>
      <c r="R496" s="13">
        <v>5027.132102570184</v>
      </c>
      <c r="S496" s="57">
        <v>-0.6825790654775618</v>
      </c>
      <c r="T496" s="53">
        <v>280235.69559610984</v>
      </c>
      <c r="U496" s="51">
        <v>35720.59016658251</v>
      </c>
      <c r="V496" s="51">
        <v>-261955.08465176355</v>
      </c>
    </row>
    <row r="497">
      <c r="A497" s="55">
        <v>44981.9599699074</v>
      </c>
      <c r="B497" s="56">
        <v>0.7082580810300317</v>
      </c>
      <c r="C497" s="57">
        <v>-0.013871235064315646</v>
      </c>
      <c r="D497" s="58">
        <v>-0.8723859313459402</v>
      </c>
      <c r="E497" s="50">
        <v>22.79</v>
      </c>
      <c r="F497" s="57">
        <v>-0.01678138196479728</v>
      </c>
      <c r="G497" s="58">
        <v>-0.6097472500227279</v>
      </c>
      <c r="H497" s="51">
        <v>-54363.34230259188</v>
      </c>
      <c r="I497" s="57">
        <v>0.019850862399831828</v>
      </c>
      <c r="J497" s="57">
        <v>-1.4310811047315486</v>
      </c>
      <c r="K497" s="51">
        <v>92350.94630550387</v>
      </c>
      <c r="L497" s="57">
        <v>-0.03372209746414747</v>
      </c>
      <c r="M497" s="57">
        <v>2.4310811047315486</v>
      </c>
      <c r="N497" s="59">
        <v>0.002910146900481636</v>
      </c>
      <c r="O497" s="57">
        <v>-0.26263868132321233</v>
      </c>
      <c r="P497" s="51">
        <v>58.39805101008836</v>
      </c>
      <c r="Q497" s="35">
        <v>1666.854058925493</v>
      </c>
      <c r="R497" s="13">
        <v>5027.132102570184</v>
      </c>
      <c r="S497" s="57">
        <v>-0.6707286229290259</v>
      </c>
      <c r="T497" s="53">
        <v>280235.69559610984</v>
      </c>
      <c r="U497" s="51">
        <v>37987.60400291198</v>
      </c>
      <c r="V497" s="51">
        <v>-259688.07081543407</v>
      </c>
    </row>
    <row r="498">
      <c r="A498" s="55">
        <v>44980.959976238424</v>
      </c>
      <c r="B498" s="56">
        <v>0.7852434356369835</v>
      </c>
      <c r="C498" s="57">
        <v>0.005150863009616757</v>
      </c>
      <c r="D498" s="58">
        <v>-0.8585146962816246</v>
      </c>
      <c r="E498" s="50">
        <v>23.77</v>
      </c>
      <c r="F498" s="57">
        <v>0.0013699087318201908</v>
      </c>
      <c r="G498" s="58">
        <v>-0.5929658680579306</v>
      </c>
      <c r="H498" s="51">
        <v>-54404.09414261947</v>
      </c>
      <c r="I498" s="57">
        <v>-0.006653603316114256</v>
      </c>
      <c r="J498" s="57">
        <v>-1.2917453451376701</v>
      </c>
      <c r="K498" s="51">
        <v>96520.82740386552</v>
      </c>
      <c r="L498" s="57">
        <v>0.011804466325731015</v>
      </c>
      <c r="M498" s="57">
        <v>2.29174534513767</v>
      </c>
      <c r="N498" s="59">
        <v>0.0037809542777965666</v>
      </c>
      <c r="O498" s="57">
        <v>-0.26554882822369397</v>
      </c>
      <c r="P498" s="51">
        <v>58.39805101008836</v>
      </c>
      <c r="Q498" s="35">
        <v>1771.8440581087948</v>
      </c>
      <c r="R498" s="13">
        <v>5027.132102570184</v>
      </c>
      <c r="S498" s="57">
        <v>-0.6499888338487202</v>
      </c>
      <c r="T498" s="53">
        <v>280235.69559610984</v>
      </c>
      <c r="U498" s="51">
        <v>42116.73326124605</v>
      </c>
      <c r="V498" s="51">
        <v>-255558.94155709998</v>
      </c>
    </row>
    <row r="499">
      <c r="A499" s="55">
        <v>44979.96001916667</v>
      </c>
      <c r="B499" s="56">
        <v>0.7566561459336104</v>
      </c>
      <c r="C499" s="57">
        <v>-0.01893385463751185</v>
      </c>
      <c r="D499" s="58">
        <v>-0.8636655592912413</v>
      </c>
      <c r="E499" s="50">
        <v>23.69</v>
      </c>
      <c r="F499" s="57">
        <v>-0.01917872224548245</v>
      </c>
      <c r="G499" s="58">
        <v>-0.5943357767897508</v>
      </c>
      <c r="H499" s="51">
        <v>-54412.1498100139</v>
      </c>
      <c r="I499" s="57">
        <v>0.025385516025350666</v>
      </c>
      <c r="J499" s="57">
        <v>-1.3407473814157607</v>
      </c>
      <c r="K499" s="51">
        <v>94995.59644897541</v>
      </c>
      <c r="L499" s="57">
        <v>-0.04431937066286252</v>
      </c>
      <c r="M499" s="57">
        <v>2.3407473814157607</v>
      </c>
      <c r="N499" s="59">
        <v>2.4486760797060025E-4</v>
      </c>
      <c r="O499" s="57">
        <v>-0.26932978250149053</v>
      </c>
      <c r="P499" s="51">
        <v>58.39805101008836</v>
      </c>
      <c r="Q499" s="35">
        <v>1713.1045436454838</v>
      </c>
      <c r="R499" s="13">
        <v>5027.132102570184</v>
      </c>
      <c r="S499" s="57">
        <v>-0.6615922737013267</v>
      </c>
      <c r="T499" s="53">
        <v>280235.69559610984</v>
      </c>
      <c r="U499" s="51">
        <v>40583.44663896151</v>
      </c>
      <c r="V499" s="51">
        <v>-257092.22817938455</v>
      </c>
    </row>
    <row r="500">
      <c r="A500" s="55">
        <v>44978.9599795949</v>
      </c>
      <c r="B500" s="56">
        <v>0.8617390391718016</v>
      </c>
      <c r="C500" s="57">
        <v>-0.01579950172426514</v>
      </c>
      <c r="D500" s="58">
        <v>-0.8447317046537295</v>
      </c>
      <c r="E500" s="50">
        <v>24.81</v>
      </c>
      <c r="F500" s="57">
        <v>-0.023459687032420407</v>
      </c>
      <c r="G500" s="58">
        <v>-0.5751570545442684</v>
      </c>
      <c r="H500" s="51">
        <v>-54448.335904209336</v>
      </c>
      <c r="I500" s="57">
        <v>0.018612378246459355</v>
      </c>
      <c r="J500" s="57">
        <v>-1.1780357742468643</v>
      </c>
      <c r="K500" s="51">
        <v>100667.93049930468</v>
      </c>
      <c r="L500" s="57">
        <v>-0.03441187997072449</v>
      </c>
      <c r="M500" s="57">
        <v>2.1780357742468643</v>
      </c>
      <c r="N500" s="59">
        <v>0.007660185308155265</v>
      </c>
      <c r="O500" s="57">
        <v>-0.26957465010946113</v>
      </c>
      <c r="P500" s="51">
        <v>58.39805101008836</v>
      </c>
      <c r="Q500" s="35">
        <v>1862.942144098966</v>
      </c>
      <c r="R500" s="13">
        <v>5027.132102570184</v>
      </c>
      <c r="S500" s="57">
        <v>-0.6319932618537429</v>
      </c>
      <c r="T500" s="53">
        <v>280235.69559610984</v>
      </c>
      <c r="U500" s="51">
        <v>46219.59459509535</v>
      </c>
      <c r="V500" s="51">
        <v>-251456.0802232507</v>
      </c>
    </row>
    <row r="501">
      <c r="A501" s="55">
        <v>44977.95996984954</v>
      </c>
      <c r="B501" s="56">
        <v>0.9494262737414731</v>
      </c>
      <c r="C501" s="57">
        <v>0.013177421633137953</v>
      </c>
      <c r="D501" s="58">
        <v>-0.8289322029294643</v>
      </c>
      <c r="E501" s="50">
        <v>26.18</v>
      </c>
      <c r="F501" s="57">
        <v>0.014726518867066885</v>
      </c>
      <c r="G501" s="58">
        <v>-0.551697367511848</v>
      </c>
      <c r="H501" s="51">
        <v>-55027.588056740875</v>
      </c>
      <c r="I501" s="57">
        <v>-0.01423964984112995</v>
      </c>
      <c r="J501" s="57">
        <v>-1.0806097154333103</v>
      </c>
      <c r="K501" s="51">
        <v>105950.30998940047</v>
      </c>
      <c r="L501" s="57">
        <v>0.027417071474267904</v>
      </c>
      <c r="M501" s="57">
        <v>2.0806097154333103</v>
      </c>
      <c r="N501" s="59">
        <v>-0.001549097233928931</v>
      </c>
      <c r="O501" s="57">
        <v>-0.2772348354176164</v>
      </c>
      <c r="P501" s="51">
        <v>58.39805101008836</v>
      </c>
      <c r="Q501" s="35">
        <v>1945.10015021618</v>
      </c>
      <c r="R501" s="13">
        <v>5027.132102570184</v>
      </c>
      <c r="S501" s="57">
        <v>-0.6157637187412168</v>
      </c>
      <c r="T501" s="53">
        <v>280235.69559610984</v>
      </c>
      <c r="U501" s="51">
        <v>50922.721932659595</v>
      </c>
      <c r="V501" s="51">
        <v>-246752.95288568645</v>
      </c>
    </row>
    <row r="502">
      <c r="A502" s="55">
        <v>44976.95997353009</v>
      </c>
      <c r="B502" s="56">
        <v>0.8762915836775569</v>
      </c>
      <c r="C502" s="57">
        <v>0.0228335135369524</v>
      </c>
      <c r="D502" s="58">
        <v>-0.8421096245626023</v>
      </c>
      <c r="E502" s="50">
        <v>25.32</v>
      </c>
      <c r="F502" s="57">
        <v>0.029624276325611265</v>
      </c>
      <c r="G502" s="58">
        <v>-0.5664238863789148</v>
      </c>
      <c r="H502" s="51">
        <v>-55048.43946242899</v>
      </c>
      <c r="I502" s="57">
        <v>-0.026743531275900824</v>
      </c>
      <c r="J502" s="57">
        <v>-1.171240301350061</v>
      </c>
      <c r="K502" s="51">
        <v>102048.56351807834</v>
      </c>
      <c r="L502" s="57">
        <v>0.04957704481285322</v>
      </c>
      <c r="M502" s="57">
        <v>2.171240301350061</v>
      </c>
      <c r="N502" s="59">
        <v>-0.006790762788658866</v>
      </c>
      <c r="O502" s="57">
        <v>-0.27568573818368747</v>
      </c>
      <c r="P502" s="51">
        <v>58.39805101008836</v>
      </c>
      <c r="Q502" s="35">
        <v>1856.2450258945241</v>
      </c>
      <c r="R502" s="13">
        <v>5027.132102570184</v>
      </c>
      <c r="S502" s="57">
        <v>-0.6333162147072191</v>
      </c>
      <c r="T502" s="53">
        <v>280235.69559610984</v>
      </c>
      <c r="U502" s="51">
        <v>47000.12405564935</v>
      </c>
      <c r="V502" s="51">
        <v>-250675.5507626967</v>
      </c>
    </row>
    <row r="503">
      <c r="A503" s="55">
        <v>44975.95998237269</v>
      </c>
      <c r="B503" s="56">
        <v>0.7495655835474717</v>
      </c>
      <c r="C503" s="57">
        <v>0.005503496120676465</v>
      </c>
      <c r="D503" s="58">
        <v>-0.8649431380995547</v>
      </c>
      <c r="E503" s="50">
        <v>23.59</v>
      </c>
      <c r="F503" s="57">
        <v>0.007534498025010938</v>
      </c>
      <c r="G503" s="58">
        <v>-0.5960481627045261</v>
      </c>
      <c r="H503" s="51">
        <v>-55055.92565754411</v>
      </c>
      <c r="I503" s="57">
        <v>-0.007536726096433522</v>
      </c>
      <c r="J503" s="57">
        <v>-1.3694433376846173</v>
      </c>
      <c r="K503" s="51">
        <v>95259.06816260735</v>
      </c>
      <c r="L503" s="57">
        <v>0.013040222217109989</v>
      </c>
      <c r="M503" s="57">
        <v>2.3694433376846176</v>
      </c>
      <c r="N503" s="59">
        <v>-0.002031001904334473</v>
      </c>
      <c r="O503" s="57">
        <v>-0.2688949753950286</v>
      </c>
      <c r="P503" s="51">
        <v>58.39805101008836</v>
      </c>
      <c r="Q503" s="35">
        <v>1704.2451252676235</v>
      </c>
      <c r="R503" s="13">
        <v>5027.132102570184</v>
      </c>
      <c r="S503" s="57">
        <v>-0.6633423686623734</v>
      </c>
      <c r="T503" s="53">
        <v>280235.69559610984</v>
      </c>
      <c r="U503" s="51">
        <v>40203.14250506324</v>
      </c>
      <c r="V503" s="51">
        <v>-257472.5323132828</v>
      </c>
    </row>
    <row r="504">
      <c r="A504" s="55">
        <v>44974.961099374996</v>
      </c>
      <c r="B504" s="56">
        <v>0.719021180077717</v>
      </c>
      <c r="C504" s="57">
        <v>0.008393882109271056</v>
      </c>
      <c r="D504" s="58">
        <v>-0.8704466342202312</v>
      </c>
      <c r="E504" s="50">
        <v>23.15</v>
      </c>
      <c r="F504" s="57">
        <v>0.010445554080128816</v>
      </c>
      <c r="G504" s="58">
        <v>-0.603582660729537</v>
      </c>
      <c r="H504" s="51">
        <v>-55052.034584046625</v>
      </c>
      <c r="I504" s="57">
        <v>-0.011982410454030784</v>
      </c>
      <c r="J504" s="57">
        <v>-1.427517124739719</v>
      </c>
      <c r="K504" s="51">
        <v>93616.92016752734</v>
      </c>
      <c r="L504" s="57">
        <v>0.02037629256330184</v>
      </c>
      <c r="M504" s="57">
        <v>2.427517124739719</v>
      </c>
      <c r="N504" s="59">
        <v>-0.00205167197085776</v>
      </c>
      <c r="O504" s="57">
        <v>-0.26686397349069413</v>
      </c>
      <c r="P504" s="51">
        <v>58.39805101008836</v>
      </c>
      <c r="Q504" s="35">
        <v>1665.8697876233568</v>
      </c>
      <c r="R504" s="13">
        <v>5027.132102570184</v>
      </c>
      <c r="S504" s="57">
        <v>-0.6709230564880592</v>
      </c>
      <c r="T504" s="53">
        <v>280235.69559610984</v>
      </c>
      <c r="U504" s="51">
        <v>38564.88558348071</v>
      </c>
      <c r="V504" s="51">
        <v>-259110.78923486534</v>
      </c>
    </row>
    <row r="505">
      <c r="A505" s="55">
        <v>44973.95996565973</v>
      </c>
      <c r="B505" s="56">
        <v>0.6724351343712628</v>
      </c>
      <c r="C505" s="57">
        <v>-0.013539563514328945</v>
      </c>
      <c r="D505" s="58">
        <v>-0.8788405163295022</v>
      </c>
      <c r="E505" s="50">
        <v>22.54</v>
      </c>
      <c r="F505" s="57">
        <v>-0.01952119942843744</v>
      </c>
      <c r="G505" s="58">
        <v>-0.6140282148096659</v>
      </c>
      <c r="H505" s="51">
        <v>-55051.660242857404</v>
      </c>
      <c r="I505" s="57">
        <v>0.020666851746742054</v>
      </c>
      <c r="J505" s="57">
        <v>-1.5264045790597522</v>
      </c>
      <c r="K505" s="51">
        <v>91117.89130511522</v>
      </c>
      <c r="L505" s="57">
        <v>-0.034206415261071</v>
      </c>
      <c r="M505" s="57">
        <v>2.5264045790597525</v>
      </c>
      <c r="N505" s="59">
        <v>0.005981635914108496</v>
      </c>
      <c r="O505" s="57">
        <v>-0.26481230151983637</v>
      </c>
      <c r="P505" s="51">
        <v>58.39805101008836</v>
      </c>
      <c r="Q505" s="35">
        <v>1600.0989823539403</v>
      </c>
      <c r="R505" s="13">
        <v>5027.132102570184</v>
      </c>
      <c r="S505" s="57">
        <v>-0.6839154618556221</v>
      </c>
      <c r="T505" s="53">
        <v>280235.69559610984</v>
      </c>
      <c r="U505" s="51">
        <v>36066.231062257815</v>
      </c>
      <c r="V505" s="51">
        <v>-261609.44375608824</v>
      </c>
    </row>
    <row r="506">
      <c r="A506" s="55">
        <v>44972.95996298611</v>
      </c>
      <c r="B506" s="56">
        <v>0.7475797118757882</v>
      </c>
      <c r="C506" s="57">
        <v>0.024246321135795612</v>
      </c>
      <c r="D506" s="58">
        <v>-0.8653009528151733</v>
      </c>
      <c r="E506" s="50">
        <v>23.68</v>
      </c>
      <c r="F506" s="57">
        <v>0.03441895688698182</v>
      </c>
      <c r="G506" s="58">
        <v>-0.5945070153812284</v>
      </c>
      <c r="H506" s="51">
        <v>-55033.12409162939</v>
      </c>
      <c r="I506" s="57">
        <v>-0.0332783779471727</v>
      </c>
      <c r="J506" s="57">
        <v>-1.372512463263665</v>
      </c>
      <c r="K506" s="51">
        <v>95129.75385976091</v>
      </c>
      <c r="L506" s="57">
        <v>0.05752469908296832</v>
      </c>
      <c r="M506" s="57">
        <v>2.372512463263665</v>
      </c>
      <c r="N506" s="59">
        <v>-0.01017263575118621</v>
      </c>
      <c r="O506" s="57">
        <v>-0.27079393743394486</v>
      </c>
      <c r="P506" s="51">
        <v>58.39805101008836</v>
      </c>
      <c r="Q506" s="35">
        <v>1693.2698381812297</v>
      </c>
      <c r="R506" s="13">
        <v>5027.132102570184</v>
      </c>
      <c r="S506" s="57">
        <v>-0.6655104336308301</v>
      </c>
      <c r="T506" s="53">
        <v>280235.69559610984</v>
      </c>
      <c r="U506" s="51">
        <v>40096.62976813152</v>
      </c>
      <c r="V506" s="51">
        <v>-257579.0450502145</v>
      </c>
    </row>
    <row r="507">
      <c r="A507" s="55">
        <v>44971.95996446759</v>
      </c>
      <c r="B507" s="56">
        <v>0.6130126295721225</v>
      </c>
      <c r="C507" s="57">
        <v>0.013377325338185697</v>
      </c>
      <c r="D507" s="58">
        <v>-0.8895472739509689</v>
      </c>
      <c r="E507" s="50">
        <v>21.67</v>
      </c>
      <c r="F507" s="57">
        <v>0.012500417177859102</v>
      </c>
      <c r="G507" s="58">
        <v>-0.6289259722682102</v>
      </c>
      <c r="H507" s="51">
        <v>-55019.402037021486</v>
      </c>
      <c r="I507" s="57">
        <v>-0.02238542630850098</v>
      </c>
      <c r="J507" s="57">
        <v>-1.6733858034088158</v>
      </c>
      <c r="K507" s="51">
        <v>87898.49179919272</v>
      </c>
      <c r="L507" s="57">
        <v>0.03576275164668668</v>
      </c>
      <c r="M507" s="57">
        <v>2.673385803408816</v>
      </c>
      <c r="N507" s="59">
        <v>8.769081603265949E-4</v>
      </c>
      <c r="O507" s="57">
        <v>-0.26062130168275865</v>
      </c>
      <c r="P507" s="51">
        <v>58.39805101008836</v>
      </c>
      <c r="Q507" s="35">
        <v>1517.263025480906</v>
      </c>
      <c r="R507" s="13">
        <v>5027.132102570184</v>
      </c>
      <c r="S507" s="57">
        <v>-0.7002789277778627</v>
      </c>
      <c r="T507" s="53">
        <v>280235.69559610984</v>
      </c>
      <c r="U507" s="51">
        <v>32879.089762171236</v>
      </c>
      <c r="V507" s="51">
        <v>-264796.5850561748</v>
      </c>
    </row>
    <row r="508">
      <c r="A508" s="55">
        <v>44970.95995925926</v>
      </c>
      <c r="B508" s="56">
        <v>0.5387684739451923</v>
      </c>
      <c r="C508" s="57">
        <v>-0.00923204092071217</v>
      </c>
      <c r="D508" s="58">
        <v>-0.9029245992891546</v>
      </c>
      <c r="E508" s="50">
        <v>20.94</v>
      </c>
      <c r="F508" s="57">
        <v>-0.01301413295229159</v>
      </c>
      <c r="G508" s="58">
        <v>-0.6414263894460693</v>
      </c>
      <c r="H508" s="51">
        <v>-54944.58893213934</v>
      </c>
      <c r="I508" s="57">
        <v>0.017553758155420967</v>
      </c>
      <c r="J508" s="57">
        <v>-1.9013951851143711</v>
      </c>
      <c r="K508" s="51">
        <v>83841.57434700162</v>
      </c>
      <c r="L508" s="57">
        <v>-0.026785799076133137</v>
      </c>
      <c r="M508" s="57">
        <v>2.9013951851143713</v>
      </c>
      <c r="N508" s="59">
        <v>0.0037820920315794204</v>
      </c>
      <c r="O508" s="57">
        <v>-0.26149820984308525</v>
      </c>
      <c r="P508" s="51">
        <v>58.39805101008836</v>
      </c>
      <c r="Q508" s="35">
        <v>1379.9897523811974</v>
      </c>
      <c r="R508" s="13">
        <v>5073.3705735411795</v>
      </c>
      <c r="S508" s="57">
        <v>-0.7273959746642101</v>
      </c>
      <c r="T508" s="53">
        <v>280235.69559610984</v>
      </c>
      <c r="U508" s="51">
        <v>28896.985414862276</v>
      </c>
      <c r="V508" s="51">
        <v>-268778.68940348376</v>
      </c>
    </row>
    <row r="509">
      <c r="A509" s="55">
        <v>44969.959963113426</v>
      </c>
      <c r="B509" s="56">
        <v>0.5900063010551448</v>
      </c>
      <c r="C509" s="57">
        <v>0.00998374413084735</v>
      </c>
      <c r="D509" s="58">
        <v>-0.8936925583684424</v>
      </c>
      <c r="E509" s="50">
        <v>21.7</v>
      </c>
      <c r="F509" s="57">
        <v>0.015068996050021877</v>
      </c>
      <c r="G509" s="58">
        <v>-0.6284122564937777</v>
      </c>
      <c r="H509" s="51">
        <v>-54640.10835835414</v>
      </c>
      <c r="I509" s="57">
        <v>-0.017238440753569555</v>
      </c>
      <c r="J509" s="57">
        <v>-1.7266508964614737</v>
      </c>
      <c r="K509" s="51">
        <v>86285.24778424</v>
      </c>
      <c r="L509" s="57">
        <v>0.027222184884416904</v>
      </c>
      <c r="M509" s="57">
        <v>2.7266508964614737</v>
      </c>
      <c r="N509" s="59">
        <v>-0.005085251919174527</v>
      </c>
      <c r="O509" s="57">
        <v>-0.26528030187466467</v>
      </c>
      <c r="P509" s="51">
        <v>58.39805101008836</v>
      </c>
      <c r="Q509" s="35">
        <v>1458.3013560316062</v>
      </c>
      <c r="R509" s="13">
        <v>5073.3705735411795</v>
      </c>
      <c r="S509" s="57">
        <v>-0.7119262522631807</v>
      </c>
      <c r="T509" s="53">
        <v>280235.69559610984</v>
      </c>
      <c r="U509" s="51">
        <v>31645.139425885856</v>
      </c>
      <c r="V509" s="51">
        <v>-266030.5353924602</v>
      </c>
    </row>
    <row r="510">
      <c r="A510" s="55">
        <v>44968.95995962963</v>
      </c>
      <c r="B510" s="56">
        <v>0.5345965211289418</v>
      </c>
      <c r="C510" s="57">
        <v>0.00976785367815225</v>
      </c>
      <c r="D510" s="58">
        <v>-0.9036763024992898</v>
      </c>
      <c r="E510" s="50">
        <v>20.82</v>
      </c>
      <c r="F510" s="57">
        <v>0.01215793999490411</v>
      </c>
      <c r="G510" s="58">
        <v>-0.6434812525437996</v>
      </c>
      <c r="H510" s="51">
        <v>-54683.10707584212</v>
      </c>
      <c r="I510" s="57">
        <v>-0.018628412077975103</v>
      </c>
      <c r="J510" s="57">
        <v>-1.9071141615932738</v>
      </c>
      <c r="K510" s="51">
        <v>83356.32873036427</v>
      </c>
      <c r="L510" s="57">
        <v>0.028396265756127352</v>
      </c>
      <c r="M510" s="57">
        <v>2.907114161593274</v>
      </c>
      <c r="N510" s="59">
        <v>-0.0023900863167518605</v>
      </c>
      <c r="O510" s="57">
        <v>-0.26019504995549014</v>
      </c>
      <c r="P510" s="51">
        <v>58.39805101008836</v>
      </c>
      <c r="Q510" s="35">
        <v>1377.1960448857901</v>
      </c>
      <c r="R510" s="13">
        <v>5073.3705735411795</v>
      </c>
      <c r="S510" s="57">
        <v>-0.7279478453629198</v>
      </c>
      <c r="T510" s="53">
        <v>280235.69559610984</v>
      </c>
      <c r="U510" s="51">
        <v>28673.221654522153</v>
      </c>
      <c r="V510" s="51">
        <v>-269002.45316382387</v>
      </c>
    </row>
    <row r="511">
      <c r="A511" s="55">
        <v>44967.95996144676</v>
      </c>
      <c r="B511" s="56">
        <v>0.48038493321519665</v>
      </c>
      <c r="C511" s="57">
        <v>-0.008603847584166324</v>
      </c>
      <c r="D511" s="58">
        <v>-0.913444156177442</v>
      </c>
      <c r="E511" s="50">
        <v>20.11</v>
      </c>
      <c r="F511" s="57">
        <v>-0.006164589293190859</v>
      </c>
      <c r="G511" s="58">
        <v>-0.6556391925387037</v>
      </c>
      <c r="H511" s="51">
        <v>-54661.60771709813</v>
      </c>
      <c r="I511" s="57">
        <v>0.01825304682770919</v>
      </c>
      <c r="J511" s="57">
        <v>-2.1214981610437063</v>
      </c>
      <c r="K511" s="51">
        <v>80427.17693644944</v>
      </c>
      <c r="L511" s="57">
        <v>-0.026856894411875516</v>
      </c>
      <c r="M511" s="57">
        <v>3.1214981610437063</v>
      </c>
      <c r="N511" s="59">
        <v>-0.0024392582909754656</v>
      </c>
      <c r="O511" s="57">
        <v>-0.2578049636387383</v>
      </c>
      <c r="P511" s="51">
        <v>58.39805101008836</v>
      </c>
      <c r="Q511" s="35">
        <v>1281.2316866907663</v>
      </c>
      <c r="R511" s="13">
        <v>5073.3705735411795</v>
      </c>
      <c r="S511" s="57">
        <v>-0.7469047037653747</v>
      </c>
      <c r="T511" s="53">
        <v>280235.69559610984</v>
      </c>
      <c r="U511" s="51">
        <v>25765.56921935131</v>
      </c>
      <c r="V511" s="51">
        <v>-271910.10559899476</v>
      </c>
    </row>
    <row r="512">
      <c r="A512" s="55">
        <v>44966.95997069444</v>
      </c>
      <c r="B512" s="56">
        <v>0.5281362873073197</v>
      </c>
      <c r="C512" s="57">
        <v>-0.03253021258488742</v>
      </c>
      <c r="D512" s="58">
        <v>-0.9048403085932757</v>
      </c>
      <c r="E512" s="50">
        <v>20.47</v>
      </c>
      <c r="F512" s="57">
        <v>-0.046919374064840924</v>
      </c>
      <c r="G512" s="58">
        <v>-0.6494746032455129</v>
      </c>
      <c r="H512" s="51">
        <v>-54966.69385546521</v>
      </c>
      <c r="I512" s="57">
        <v>0.06312336543662475</v>
      </c>
      <c r="J512" s="57">
        <v>-1.9404535175386468</v>
      </c>
      <c r="K512" s="51">
        <v>83293.41921046741</v>
      </c>
      <c r="L512" s="57">
        <v>-0.09565357802151217</v>
      </c>
      <c r="M512" s="57">
        <v>2.940453517538647</v>
      </c>
      <c r="N512" s="59">
        <v>0.014389161479953505</v>
      </c>
      <c r="O512" s="57">
        <v>-0.2553657053477628</v>
      </c>
      <c r="P512" s="51">
        <v>58.39805101008836</v>
      </c>
      <c r="Q512" s="35">
        <v>1383.8165781632736</v>
      </c>
      <c r="R512" s="13">
        <v>5073.3705735411795</v>
      </c>
      <c r="S512" s="57">
        <v>-0.7266400211430679</v>
      </c>
      <c r="T512" s="53">
        <v>280235.69559610984</v>
      </c>
      <c r="U512" s="51">
        <v>28326.725355002207</v>
      </c>
      <c r="V512" s="51">
        <v>-269348.94946334383</v>
      </c>
    </row>
    <row r="513">
      <c r="A513" s="55">
        <v>44965.95997016203</v>
      </c>
      <c r="B513" s="56">
        <v>0.7086789671534452</v>
      </c>
      <c r="C513" s="57">
        <v>-0.007977558322806444</v>
      </c>
      <c r="D513" s="58">
        <v>-0.8723100960083883</v>
      </c>
      <c r="E513" s="50">
        <v>23.21</v>
      </c>
      <c r="F513" s="57">
        <v>-0.009246883939786232</v>
      </c>
      <c r="G513" s="58">
        <v>-0.602555229180672</v>
      </c>
      <c r="H513" s="51">
        <v>-54857.14950376965</v>
      </c>
      <c r="I513" s="57">
        <v>0.011513392694332762</v>
      </c>
      <c r="J513" s="57">
        <v>-1.4432226288359418</v>
      </c>
      <c r="K513" s="51">
        <v>92867.3278419625</v>
      </c>
      <c r="L513" s="57">
        <v>-0.01949095101713921</v>
      </c>
      <c r="M513" s="57">
        <v>2.443222628835942</v>
      </c>
      <c r="N513" s="59">
        <v>0.0012693256169797884</v>
      </c>
      <c r="O513" s="57">
        <v>-0.2697548668277163</v>
      </c>
      <c r="P513" s="51">
        <v>58.39805101008836</v>
      </c>
      <c r="Q513" s="35">
        <v>1637.6638663590197</v>
      </c>
      <c r="R513" s="13">
        <v>5073.3705735411795</v>
      </c>
      <c r="S513" s="57">
        <v>-0.6764948715408123</v>
      </c>
      <c r="T513" s="53">
        <v>280235.69559610984</v>
      </c>
      <c r="U513" s="51">
        <v>38010.17833819285</v>
      </c>
      <c r="V513" s="51">
        <v>-259665.4964801532</v>
      </c>
    </row>
    <row r="514">
      <c r="A514" s="55">
        <v>44964.95997570602</v>
      </c>
      <c r="B514" s="56">
        <v>0.752954415845021</v>
      </c>
      <c r="C514" s="57">
        <v>0.007968594902384996</v>
      </c>
      <c r="D514" s="58">
        <v>-0.8643325376855818</v>
      </c>
      <c r="E514" s="50">
        <v>23.75</v>
      </c>
      <c r="F514" s="57">
        <v>0.011130508446038911</v>
      </c>
      <c r="G514" s="58">
        <v>-0.5933083452408857</v>
      </c>
      <c r="H514" s="51">
        <v>-54864.82784617821</v>
      </c>
      <c r="I514" s="57">
        <v>-0.010825718294172438</v>
      </c>
      <c r="J514" s="57">
        <v>-1.3585479531569997</v>
      </c>
      <c r="K514" s="51">
        <v>95249.73124151518</v>
      </c>
      <c r="L514" s="57">
        <v>0.018794313196557434</v>
      </c>
      <c r="M514" s="57">
        <v>2.3585479531569997</v>
      </c>
      <c r="N514" s="59">
        <v>-0.003161913543653916</v>
      </c>
      <c r="O514" s="57">
        <v>-0.2710241924446961</v>
      </c>
      <c r="P514" s="51">
        <v>58.39805101008836</v>
      </c>
      <c r="Q514" s="35">
        <v>1700.41698506682</v>
      </c>
      <c r="R514" s="13">
        <v>5073.3705735411795</v>
      </c>
      <c r="S514" s="57">
        <v>-0.6640985818346004</v>
      </c>
      <c r="T514" s="53">
        <v>280235.69559610984</v>
      </c>
      <c r="U514" s="51">
        <v>40384.90339533697</v>
      </c>
      <c r="V514" s="51">
        <v>-257290.77142300908</v>
      </c>
    </row>
    <row r="515">
      <c r="A515" s="55">
        <v>44963.9599756713</v>
      </c>
      <c r="B515" s="56">
        <v>0.7087287141367841</v>
      </c>
      <c r="C515" s="57">
        <v>-0.005564275794615603</v>
      </c>
      <c r="D515" s="58">
        <v>-0.8723011325879668</v>
      </c>
      <c r="E515" s="50">
        <v>23.1</v>
      </c>
      <c r="F515" s="57">
        <v>-0.009246883939786232</v>
      </c>
      <c r="G515" s="58">
        <v>-0.6044388536869246</v>
      </c>
      <c r="H515" s="51">
        <v>-54930.861590891895</v>
      </c>
      <c r="I515" s="57">
        <v>0.0080407149536412</v>
      </c>
      <c r="J515" s="57">
        <v>-1.445060462571244</v>
      </c>
      <c r="K515" s="51">
        <v>92943.70812130737</v>
      </c>
      <c r="L515" s="57">
        <v>-0.013604990748256803</v>
      </c>
      <c r="M515" s="57">
        <v>2.445060462571244</v>
      </c>
      <c r="N515" s="59">
        <v>0.0036826081451706294</v>
      </c>
      <c r="O515" s="57">
        <v>-0.2678622789010422</v>
      </c>
      <c r="P515" s="51">
        <v>58.39805101008836</v>
      </c>
      <c r="Q515" s="35">
        <v>1645.5777718794577</v>
      </c>
      <c r="R515" s="13">
        <v>5073.3705735411795</v>
      </c>
      <c r="S515" s="57">
        <v>-0.6749315537717665</v>
      </c>
      <c r="T515" s="53">
        <v>280235.69559610984</v>
      </c>
      <c r="U515" s="51">
        <v>38012.846530415474</v>
      </c>
      <c r="V515" s="51">
        <v>-259662.82828793058</v>
      </c>
    </row>
    <row r="516">
      <c r="A516" s="55">
        <v>44962.9599566088</v>
      </c>
      <c r="B516" s="56">
        <v>0.7396104447969007</v>
      </c>
      <c r="C516" s="57">
        <v>-0.015942903098834282</v>
      </c>
      <c r="D516" s="58">
        <v>-0.8667368567933512</v>
      </c>
      <c r="E516" s="50">
        <v>23.64</v>
      </c>
      <c r="F516" s="57">
        <v>-0.01729509773922966</v>
      </c>
      <c r="G516" s="58">
        <v>-0.5951919697471384</v>
      </c>
      <c r="H516" s="51">
        <v>-54785.14788196915</v>
      </c>
      <c r="I516" s="57">
        <v>0.022017948186348245</v>
      </c>
      <c r="J516" s="57">
        <v>-1.381050116773159</v>
      </c>
      <c r="K516" s="51">
        <v>94454.34396442221</v>
      </c>
      <c r="L516" s="57">
        <v>-0.03796085128518253</v>
      </c>
      <c r="M516" s="57">
        <v>2.3810501167731593</v>
      </c>
      <c r="N516" s="59">
        <v>0.0013521946403953766</v>
      </c>
      <c r="O516" s="57">
        <v>-0.2715448870462128</v>
      </c>
      <c r="P516" s="51">
        <v>58.39805101008836</v>
      </c>
      <c r="Q516" s="35">
        <v>1678.053979799199</v>
      </c>
      <c r="R516" s="13">
        <v>5073.3705735411795</v>
      </c>
      <c r="S516" s="57">
        <v>-0.6685161836639182</v>
      </c>
      <c r="T516" s="53">
        <v>280235.69559610984</v>
      </c>
      <c r="U516" s="51">
        <v>39669.19608245306</v>
      </c>
      <c r="V516" s="51">
        <v>-258006.47873589298</v>
      </c>
    </row>
    <row r="517">
      <c r="A517" s="55">
        <v>44961.95995826389</v>
      </c>
      <c r="B517" s="56">
        <v>0.828093556995431</v>
      </c>
      <c r="C517" s="57">
        <v>7.637950491171663E-4</v>
      </c>
      <c r="D517" s="58">
        <v>-0.8507939536945169</v>
      </c>
      <c r="E517" s="50">
        <v>24.65</v>
      </c>
      <c r="F517" s="57">
        <v>-6.849543659100954E-4</v>
      </c>
      <c r="G517" s="58">
        <v>-0.5778968720079087</v>
      </c>
      <c r="H517" s="51">
        <v>-54897.138013291195</v>
      </c>
      <c r="I517" s="57">
        <v>-9.440538622739782E-4</v>
      </c>
      <c r="J517" s="57">
        <v>-1.2360041654697347</v>
      </c>
      <c r="K517" s="51">
        <v>99312.14853425325</v>
      </c>
      <c r="L517" s="57">
        <v>0.0017078489113911445</v>
      </c>
      <c r="M517" s="57">
        <v>2.2360041654697347</v>
      </c>
      <c r="N517" s="59">
        <v>0.0014487494150272617</v>
      </c>
      <c r="O517" s="57">
        <v>-0.2728970816866082</v>
      </c>
      <c r="P517" s="51">
        <v>58.39805101008836</v>
      </c>
      <c r="Q517" s="35">
        <v>1801.8259846232074</v>
      </c>
      <c r="R517" s="13">
        <v>5073.3705735411795</v>
      </c>
      <c r="S517" s="57">
        <v>-0.6440661856253926</v>
      </c>
      <c r="T517" s="53">
        <v>280235.69559610984</v>
      </c>
      <c r="U517" s="51">
        <v>44415.01052096206</v>
      </c>
      <c r="V517" s="51">
        <v>-253260.66429738398</v>
      </c>
    </row>
    <row r="518">
      <c r="A518" s="55">
        <v>44960.95996716435</v>
      </c>
      <c r="B518" s="56">
        <v>0.823854494472831</v>
      </c>
      <c r="C518" s="57">
        <v>0.0015883631680490007</v>
      </c>
      <c r="D518" s="58">
        <v>-0.8515577487436341</v>
      </c>
      <c r="E518" s="50">
        <v>24.69</v>
      </c>
      <c r="F518" s="57">
        <v>0.0010274315488651986</v>
      </c>
      <c r="G518" s="58">
        <v>-0.5772119176419986</v>
      </c>
      <c r="H518" s="51">
        <v>-54902.21497047361</v>
      </c>
      <c r="I518" s="57">
        <v>-0.001973507561584999</v>
      </c>
      <c r="J518" s="57">
        <v>-1.242478799108062</v>
      </c>
      <c r="K518" s="51">
        <v>99089.86228476682</v>
      </c>
      <c r="L518" s="57">
        <v>0.0035618707296340003</v>
      </c>
      <c r="M518" s="57">
        <v>2.242478799108062</v>
      </c>
      <c r="N518" s="59">
        <v>5.609316191838021E-4</v>
      </c>
      <c r="O518" s="57">
        <v>-0.27434583110163546</v>
      </c>
      <c r="P518" s="51">
        <v>58.39805101008836</v>
      </c>
      <c r="Q518" s="35">
        <v>1789.6981496271044</v>
      </c>
      <c r="R518" s="13">
        <v>5073.3705735411795</v>
      </c>
      <c r="S518" s="57">
        <v>-0.6464619256175492</v>
      </c>
      <c r="T518" s="53">
        <v>280235.69559610984</v>
      </c>
      <c r="U518" s="51">
        <v>44187.64731429321</v>
      </c>
      <c r="V518" s="51">
        <v>-253488.02750405285</v>
      </c>
    </row>
    <row r="519">
      <c r="A519" s="55">
        <v>44959.959972384255</v>
      </c>
      <c r="B519" s="56">
        <v>0.8150390788901588</v>
      </c>
      <c r="C519" s="57">
        <v>-0.006260481612348601</v>
      </c>
      <c r="D519" s="58">
        <v>-0.8531461119116831</v>
      </c>
      <c r="E519" s="50">
        <v>24.63</v>
      </c>
      <c r="F519" s="57">
        <v>-0.004623441969893061</v>
      </c>
      <c r="G519" s="58">
        <v>-0.5782393491908638</v>
      </c>
      <c r="H519" s="51">
        <v>-54922.773328332005</v>
      </c>
      <c r="I519" s="57">
        <v>0.007865591852053051</v>
      </c>
      <c r="J519" s="57">
        <v>-1.2563876613803036</v>
      </c>
      <c r="K519" s="51">
        <v>98637.60356471961</v>
      </c>
      <c r="L519" s="57">
        <v>-0.014126073464401652</v>
      </c>
      <c r="M519" s="57">
        <v>2.2563876613803036</v>
      </c>
      <c r="N519" s="59">
        <v>-0.00163703964245554</v>
      </c>
      <c r="O519" s="57">
        <v>-0.27490676272081926</v>
      </c>
      <c r="P519" s="51">
        <v>58.39805101008836</v>
      </c>
      <c r="Q519" s="35">
        <v>1774.8611545427368</v>
      </c>
      <c r="R519" s="13">
        <v>5073.3705735411795</v>
      </c>
      <c r="S519" s="57">
        <v>-0.6493928347615534</v>
      </c>
      <c r="T519" s="53">
        <v>280235.69559610984</v>
      </c>
      <c r="U519" s="51">
        <v>43714.83023638761</v>
      </c>
      <c r="V519" s="51">
        <v>-253960.84458195843</v>
      </c>
    </row>
    <row r="520">
      <c r="A520" s="55">
        <v>44958.959970717595</v>
      </c>
      <c r="B520" s="56">
        <v>0.8497847518386936</v>
      </c>
      <c r="C520" s="57">
        <v>0.009034264806255243</v>
      </c>
      <c r="D520" s="58">
        <v>-0.8468856302993345</v>
      </c>
      <c r="E520" s="50">
        <v>24.9</v>
      </c>
      <c r="F520" s="57">
        <v>0.012329178586381495</v>
      </c>
      <c r="G520" s="58">
        <v>-0.5736159072209708</v>
      </c>
      <c r="H520" s="51">
        <v>-54895.520195334</v>
      </c>
      <c r="I520" s="57">
        <v>-0.010881040412150744</v>
      </c>
      <c r="J520" s="57">
        <v>-1.2044190252887883</v>
      </c>
      <c r="K520" s="51">
        <v>100473.94352036533</v>
      </c>
      <c r="L520" s="57">
        <v>0.019915305218405985</v>
      </c>
      <c r="M520" s="57">
        <v>2.204419025288788</v>
      </c>
      <c r="N520" s="59">
        <v>-0.003294913780126252</v>
      </c>
      <c r="O520" s="57">
        <v>-0.2732697230783637</v>
      </c>
      <c r="P520" s="51">
        <v>58.39805101008836</v>
      </c>
      <c r="Q520" s="35">
        <v>1830.4587680735474</v>
      </c>
      <c r="R520" s="13">
        <v>5073.3705735411795</v>
      </c>
      <c r="S520" s="57">
        <v>-0.6384100479536003</v>
      </c>
      <c r="T520" s="53">
        <v>280235.69559610984</v>
      </c>
      <c r="U520" s="51">
        <v>45578.42332503133</v>
      </c>
      <c r="V520" s="51">
        <v>-252097.25149331472</v>
      </c>
    </row>
    <row r="521">
      <c r="A521" s="55">
        <v>44957.95996596065</v>
      </c>
      <c r="B521" s="56">
        <v>0.799644582163977</v>
      </c>
      <c r="C521" s="57">
        <v>0.008867583981805871</v>
      </c>
      <c r="D521" s="58">
        <v>-0.8559198951055897</v>
      </c>
      <c r="E521" s="50">
        <v>24.18</v>
      </c>
      <c r="F521" s="57">
        <v>0.007876975207966042</v>
      </c>
      <c r="G521" s="58">
        <v>-0.5859450858073523</v>
      </c>
      <c r="H521" s="51">
        <v>-55156.311497056</v>
      </c>
      <c r="I521" s="57">
        <v>-0.0114038937679922</v>
      </c>
      <c r="J521" s="57">
        <v>-1.2860203851906247</v>
      </c>
      <c r="K521" s="51">
        <v>98045.45394939766</v>
      </c>
      <c r="L521" s="57">
        <v>0.020271477749798067</v>
      </c>
      <c r="M521" s="57">
        <v>2.2860203851906244</v>
      </c>
      <c r="N521" s="59">
        <v>9.906087738398295E-4</v>
      </c>
      <c r="O521" s="57">
        <v>-0.2699748092982375</v>
      </c>
      <c r="P521" s="51">
        <v>58.39805101008836</v>
      </c>
      <c r="Q521" s="35">
        <v>1773.7445182937</v>
      </c>
      <c r="R521" s="13">
        <v>5073.3705735411795</v>
      </c>
      <c r="S521" s="57">
        <v>-0.6496134157736935</v>
      </c>
      <c r="T521" s="53">
        <v>280235.69559610984</v>
      </c>
      <c r="U521" s="51">
        <v>42889.142452341664</v>
      </c>
      <c r="V521" s="51">
        <v>-254786.53236600437</v>
      </c>
    </row>
    <row r="522">
      <c r="A522" s="55">
        <v>44956.959960844906</v>
      </c>
      <c r="B522" s="56">
        <v>0.7504294910649543</v>
      </c>
      <c r="C522" s="57">
        <v>-0.03481217048233032</v>
      </c>
      <c r="D522" s="58">
        <v>-0.8647874790873956</v>
      </c>
      <c r="E522" s="50">
        <v>23.72</v>
      </c>
      <c r="F522" s="57">
        <v>-0.04383707941824555</v>
      </c>
      <c r="G522" s="58">
        <v>-0.5938220610153183</v>
      </c>
      <c r="H522" s="51">
        <v>-55106.06881806399</v>
      </c>
      <c r="I522" s="57">
        <v>0.04766178192245399</v>
      </c>
      <c r="J522" s="57">
        <v>-1.3691126195835956</v>
      </c>
      <c r="K522" s="51">
        <v>95355.54722461323</v>
      </c>
      <c r="L522" s="57">
        <v>-0.0824739524047843</v>
      </c>
      <c r="M522" s="57">
        <v>2.369112619583596</v>
      </c>
      <c r="N522" s="59">
        <v>0.009024908935915232</v>
      </c>
      <c r="O522" s="57">
        <v>-0.2709654180720773</v>
      </c>
      <c r="P522" s="51">
        <v>58.39805101008836</v>
      </c>
      <c r="Q522" s="35">
        <v>1696.8582802086526</v>
      </c>
      <c r="R522" s="13">
        <v>5073.3705735411795</v>
      </c>
      <c r="S522" s="57">
        <v>-0.6648015705833534</v>
      </c>
      <c r="T522" s="53">
        <v>280235.69559610984</v>
      </c>
      <c r="U522" s="51">
        <v>40249.478406549235</v>
      </c>
      <c r="V522" s="51">
        <v>-257426.19641179682</v>
      </c>
    </row>
    <row r="523">
      <c r="A523" s="55">
        <v>44955.95995685185</v>
      </c>
      <c r="B523" s="56">
        <v>0.9436370372418877</v>
      </c>
      <c r="C523" s="57">
        <v>0.03094220464412667</v>
      </c>
      <c r="D523" s="58">
        <v>-0.8299753086050653</v>
      </c>
      <c r="E523" s="50">
        <v>26.28</v>
      </c>
      <c r="F523" s="57">
        <v>0.04075478477165018</v>
      </c>
      <c r="G523" s="58">
        <v>-0.5499849815970728</v>
      </c>
      <c r="H523" s="51">
        <v>-55096.42628371201</v>
      </c>
      <c r="I523" s="57">
        <v>-0.033683665213238165</v>
      </c>
      <c r="J523" s="57">
        <v>-1.0885993936321492</v>
      </c>
      <c r="K523" s="51">
        <v>105708.64103048024</v>
      </c>
      <c r="L523" s="57">
        <v>0.06462586985736482</v>
      </c>
      <c r="M523" s="57">
        <v>2.088599393632149</v>
      </c>
      <c r="N523" s="59">
        <v>-0.009812580127523507</v>
      </c>
      <c r="O523" s="57">
        <v>-0.27999032700799253</v>
      </c>
      <c r="P523" s="51">
        <v>58.39805101008836</v>
      </c>
      <c r="Q523" s="35">
        <v>1925.8833617491716</v>
      </c>
      <c r="R523" s="13">
        <v>5073.3705735411795</v>
      </c>
      <c r="S523" s="57">
        <v>-0.619559814966637</v>
      </c>
      <c r="T523" s="53">
        <v>280235.69559610984</v>
      </c>
      <c r="U523" s="51">
        <v>50612.21474676823</v>
      </c>
      <c r="V523" s="51">
        <v>-247063.4600715778</v>
      </c>
    </row>
    <row r="524">
      <c r="A524" s="55">
        <v>44954.959954652775</v>
      </c>
      <c r="B524" s="56">
        <v>0.7719078014669842</v>
      </c>
      <c r="C524" s="57">
        <v>0.005331283376413198</v>
      </c>
      <c r="D524" s="58">
        <v>-0.860917513249192</v>
      </c>
      <c r="E524" s="50">
        <v>23.9</v>
      </c>
      <c r="F524" s="57">
        <v>-0.004109726195460572</v>
      </c>
      <c r="G524" s="58">
        <v>-0.5907397663687229</v>
      </c>
      <c r="H524" s="51">
        <v>-54649.66758123601</v>
      </c>
      <c r="I524" s="57">
        <v>-0.007037258399138133</v>
      </c>
      <c r="J524" s="57">
        <v>-1.3199933116053357</v>
      </c>
      <c r="K524" s="51">
        <v>96051.14068019645</v>
      </c>
      <c r="L524" s="57">
        <v>0.012368541775551333</v>
      </c>
      <c r="M524" s="57">
        <v>2.319993311605336</v>
      </c>
      <c r="N524" s="59">
        <v>0.00944100957187377</v>
      </c>
      <c r="O524" s="57">
        <v>-0.270177746880469</v>
      </c>
      <c r="P524" s="51">
        <v>58.39805101008836</v>
      </c>
      <c r="Q524" s="35">
        <v>1732.2792091615247</v>
      </c>
      <c r="R524" s="13">
        <v>5073.3705735411795</v>
      </c>
      <c r="S524" s="57">
        <v>-0.6578044984695753</v>
      </c>
      <c r="T524" s="53">
        <v>280235.69559610984</v>
      </c>
      <c r="U524" s="51">
        <v>41401.473098960436</v>
      </c>
      <c r="V524" s="51">
        <v>-256274.2017193856</v>
      </c>
    </row>
    <row r="525">
      <c r="A525" s="55">
        <v>44953.959970069445</v>
      </c>
      <c r="B525" s="56">
        <v>0.7423191787278914</v>
      </c>
      <c r="C525" s="57">
        <v>-0.32537288718375</v>
      </c>
      <c r="D525" s="58">
        <v>-0.8662487966256052</v>
      </c>
      <c r="E525" s="50">
        <v>24.14</v>
      </c>
      <c r="F525" s="57">
        <v>-0.003767249012505469</v>
      </c>
      <c r="G525" s="58">
        <v>-0.5866300401732624</v>
      </c>
      <c r="H525" s="51">
        <v>-54685.483855319995</v>
      </c>
      <c r="I525" s="57">
        <v>0.44690207917264924</v>
      </c>
      <c r="J525" s="57">
        <v>-1.3735074333967698</v>
      </c>
      <c r="K525" s="51">
        <v>94499.96357755882</v>
      </c>
      <c r="L525" s="57">
        <v>-0.7722749663563994</v>
      </c>
      <c r="M525" s="57">
        <v>2.37350743339677</v>
      </c>
      <c r="N525" s="59">
        <v>-0.32160563817124455</v>
      </c>
      <c r="O525" s="57">
        <v>-0.2796187564523428</v>
      </c>
      <c r="P525" s="51">
        <v>58.39805101008836</v>
      </c>
      <c r="Q525" s="35">
        <v>1649.315647151567</v>
      </c>
      <c r="R525" s="13">
        <v>5073.3705735411795</v>
      </c>
      <c r="S525" s="57">
        <v>-0.6741931715891295</v>
      </c>
      <c r="T525" s="53">
        <v>280235.69559610984</v>
      </c>
      <c r="U525" s="51">
        <v>39814.47972223883</v>
      </c>
      <c r="V525" s="51">
        <v>-257861.1950961072</v>
      </c>
    </row>
    <row r="526">
      <c r="A526" s="55">
        <v>44952.95995741898</v>
      </c>
      <c r="B526" s="56">
        <v>2.5481387025977043</v>
      </c>
      <c r="C526" s="57">
        <v>0.09719936962141529</v>
      </c>
      <c r="D526" s="58">
        <v>-0.5408759094418552</v>
      </c>
      <c r="E526" s="62">
        <v>24.36</v>
      </c>
      <c r="F526" s="57">
        <v>-0.003596010421027973</v>
      </c>
      <c r="G526" s="58">
        <v>-0.5828627911607569</v>
      </c>
      <c r="H526" s="51">
        <v>1105.19</v>
      </c>
      <c r="I526" s="57">
        <v>7.864289700168459E-4</v>
      </c>
      <c r="J526" s="57">
        <v>0.008090885497302415</v>
      </c>
      <c r="K526" s="51">
        <v>135491.72517924482</v>
      </c>
      <c r="L526" s="57">
        <v>0.09641294065139844</v>
      </c>
      <c r="M526" s="57">
        <v>0.9919091145026976</v>
      </c>
      <c r="N526" s="59">
        <v>0.10079538004244326</v>
      </c>
      <c r="O526" s="57">
        <v>0.04198688171890175</v>
      </c>
      <c r="P526" s="51">
        <v>58.39805101008836</v>
      </c>
      <c r="Q526" s="32">
        <v>4384.867136275237</v>
      </c>
      <c r="R526" s="13">
        <v>5073.3705735411795</v>
      </c>
      <c r="S526" s="57">
        <v>0.10828778581812973</v>
      </c>
      <c r="T526" s="53">
        <v>280235.69559610984</v>
      </c>
      <c r="U526" s="51">
        <v>136670.07348225522</v>
      </c>
      <c r="V526" s="51">
        <v>-161005.60133609083</v>
      </c>
    </row>
    <row r="527">
      <c r="A527" s="55">
        <v>44951.95995989583</v>
      </c>
      <c r="B527" s="56">
        <v>2.0086822011988494</v>
      </c>
      <c r="C527" s="57">
        <v>0.018807222862988637</v>
      </c>
      <c r="D527" s="58">
        <v>-0.6380752790632704</v>
      </c>
      <c r="E527" s="62">
        <v>24.57</v>
      </c>
      <c r="F527" s="57">
        <v>0.022089778300600216</v>
      </c>
      <c r="G527" s="58">
        <v>-0.5792667807397289</v>
      </c>
      <c r="H527" s="51">
        <v>1105.19</v>
      </c>
      <c r="I527" s="57">
        <v>1.93033224946673E-4</v>
      </c>
      <c r="J527" s="57">
        <v>0.010263781439339965</v>
      </c>
      <c r="K527" s="51">
        <v>106573.44740394219</v>
      </c>
      <c r="L527" s="57">
        <v>0.018614189638041963</v>
      </c>
      <c r="M527" s="57">
        <v>0.98973621856066</v>
      </c>
      <c r="N527" s="59">
        <v>-0.0032825554376115784</v>
      </c>
      <c r="O527" s="57">
        <v>-0.058808498323541514</v>
      </c>
      <c r="P527" s="51">
        <v>58.39805101008836</v>
      </c>
      <c r="Q527" s="32">
        <v>4384.867136275237</v>
      </c>
      <c r="R527" s="13">
        <v>5073.3705735411795</v>
      </c>
      <c r="S527" s="57">
        <v>-0.13381064616698832</v>
      </c>
      <c r="T527" s="53">
        <v>280235.69559610984</v>
      </c>
      <c r="U527" s="51">
        <v>107736.18553828256</v>
      </c>
      <c r="V527" s="51">
        <v>-189939.48928006348</v>
      </c>
    </row>
    <row r="528">
      <c r="A528" s="55">
        <v>44950.959956921295</v>
      </c>
      <c r="B528" s="56">
        <v>1.904302114309262</v>
      </c>
      <c r="C528" s="57">
        <v>-0.01574558193180453</v>
      </c>
      <c r="D528" s="58">
        <v>-0.6568825019262591</v>
      </c>
      <c r="E528" s="62">
        <v>23.28</v>
      </c>
      <c r="F528" s="57">
        <v>-0.018493767879572243</v>
      </c>
      <c r="G528" s="58">
        <v>-0.6013565590403291</v>
      </c>
      <c r="H528" s="51">
        <v>1105.19</v>
      </c>
      <c r="I528" s="57">
        <v>-1.7046740948022408E-4</v>
      </c>
      <c r="J528" s="57">
        <v>0.010826364514092466</v>
      </c>
      <c r="K528" s="51">
        <v>100978.01609946173</v>
      </c>
      <c r="L528" s="57">
        <v>-0.015575114522324306</v>
      </c>
      <c r="M528" s="57">
        <v>0.9891736354859075</v>
      </c>
      <c r="N528" s="59">
        <v>0.0027481859477677117</v>
      </c>
      <c r="O528" s="57">
        <v>-0.055525942885929935</v>
      </c>
      <c r="P528" s="51">
        <v>58.39805101008836</v>
      </c>
      <c r="Q528" s="32">
        <v>4387.359655544818</v>
      </c>
      <c r="R528" s="13">
        <v>5073.3705735411795</v>
      </c>
      <c r="S528" s="57">
        <v>-0.13331827237584779</v>
      </c>
      <c r="T528" s="53">
        <v>280235.69559610984</v>
      </c>
      <c r="U528" s="51">
        <v>102137.73278108338</v>
      </c>
      <c r="V528" s="51">
        <v>-195537.94203726266</v>
      </c>
    </row>
    <row r="529">
      <c r="A529" s="55">
        <v>44949.95997473379</v>
      </c>
      <c r="B529" s="56">
        <v>1.991690094030777</v>
      </c>
      <c r="C529" s="57">
        <v>0.0037906002240357672</v>
      </c>
      <c r="D529" s="58">
        <v>-0.6411369199944545</v>
      </c>
      <c r="E529" s="62">
        <v>24.36</v>
      </c>
      <c r="F529" s="57">
        <v>0.004452203378415565</v>
      </c>
      <c r="G529" s="58">
        <v>-0.5828627911607569</v>
      </c>
      <c r="H529" s="51">
        <v>1105.19</v>
      </c>
      <c r="I529" s="57">
        <v>3.923781604975522E-5</v>
      </c>
      <c r="J529" s="57">
        <v>0.010351346417633986</v>
      </c>
      <c r="K529" s="51">
        <v>105662.56323809654</v>
      </c>
      <c r="L529" s="57">
        <v>0.003751362407986012</v>
      </c>
      <c r="M529" s="57">
        <v>0.989648653582366</v>
      </c>
      <c r="N529" s="59">
        <v>-6.616031543797973E-4</v>
      </c>
      <c r="O529" s="57">
        <v>-0.05827412883369765</v>
      </c>
      <c r="P529" s="51">
        <v>58.39805101008836</v>
      </c>
      <c r="Q529" s="32">
        <v>4385.254905913007</v>
      </c>
      <c r="R529" s="13">
        <v>5073.3705735411795</v>
      </c>
      <c r="S529" s="57">
        <v>-0.133734045913996</v>
      </c>
      <c r="T529" s="53">
        <v>280235.69559610984</v>
      </c>
      <c r="U529" s="51">
        <v>106824.80950804084</v>
      </c>
      <c r="V529" s="51">
        <v>-190850.8653103052</v>
      </c>
    </row>
    <row r="530">
      <c r="A530" s="55">
        <v>44948.95996761574</v>
      </c>
      <c r="B530" s="56">
        <v>1.9706522627873784</v>
      </c>
      <c r="C530" s="57">
        <v>-0.01691192147055043</v>
      </c>
      <c r="D530" s="58">
        <v>-0.6449275202184903</v>
      </c>
      <c r="E530" s="62">
        <v>24.1</v>
      </c>
      <c r="F530" s="57">
        <v>-0.019863676611392544</v>
      </c>
      <c r="G530" s="58">
        <v>-0.5873149945391725</v>
      </c>
      <c r="H530" s="51">
        <v>1105.19</v>
      </c>
      <c r="I530" s="57">
        <v>-1.7693002438201594E-4</v>
      </c>
      <c r="J530" s="57">
        <v>0.010461852291007441</v>
      </c>
      <c r="K530" s="51">
        <v>104534.80273340667</v>
      </c>
      <c r="L530" s="57">
        <v>-0.016734991446168412</v>
      </c>
      <c r="M530" s="57">
        <v>0.9895381477089925</v>
      </c>
      <c r="N530" s="59">
        <v>0.002951755140842116</v>
      </c>
      <c r="O530" s="57">
        <v>-0.05761252567931785</v>
      </c>
      <c r="P530" s="51">
        <v>58.39805101008836</v>
      </c>
      <c r="Q530" s="32">
        <v>4385.744399518026</v>
      </c>
      <c r="R530" s="13">
        <v>5073.3705735411795</v>
      </c>
      <c r="S530" s="57">
        <v>-0.1336373510458827</v>
      </c>
      <c r="T530" s="53">
        <v>280235.69559610984</v>
      </c>
      <c r="U530" s="51">
        <v>105696.44002838442</v>
      </c>
      <c r="V530" s="51">
        <v>-191979.23478996163</v>
      </c>
    </row>
    <row r="531">
      <c r="A531" s="55">
        <v>44947.95998650463</v>
      </c>
      <c r="B531" s="56">
        <v>2.0645134269489334</v>
      </c>
      <c r="C531" s="57">
        <v>-0.0013643379223540197</v>
      </c>
      <c r="D531" s="58">
        <v>-0.6280155987479399</v>
      </c>
      <c r="E531" s="62">
        <v>25.26</v>
      </c>
      <c r="F531" s="57">
        <v>-0.0013699087318201908</v>
      </c>
      <c r="G531" s="58">
        <v>-0.5674513179277799</v>
      </c>
      <c r="H531" s="51">
        <v>1105.19</v>
      </c>
      <c r="I531" s="57">
        <v>-1.3624573960234451E-5</v>
      </c>
      <c r="J531" s="57">
        <v>0.009986216564827797</v>
      </c>
      <c r="K531" s="51">
        <v>109566.35340439223</v>
      </c>
      <c r="L531" s="57">
        <v>-0.0013507133483937853</v>
      </c>
      <c r="M531" s="57">
        <v>0.9900137834351722</v>
      </c>
      <c r="N531" s="59">
        <v>5.570809466171056E-6</v>
      </c>
      <c r="O531" s="57">
        <v>-0.060564280820159966</v>
      </c>
      <c r="P531" s="51">
        <v>58.39805101008836</v>
      </c>
      <c r="Q531" s="32">
        <v>4383.63846653228</v>
      </c>
      <c r="R531" s="13">
        <v>5073.3705735411795</v>
      </c>
      <c r="S531" s="57">
        <v>-0.1340533583444956</v>
      </c>
      <c r="T531" s="53">
        <v>280235.69559610984</v>
      </c>
      <c r="U531" s="51">
        <v>110730.7076646054</v>
      </c>
      <c r="V531" s="51">
        <v>-186944.96715374064</v>
      </c>
    </row>
    <row r="532">
      <c r="A532" s="47">
        <v>44946.97788369213</v>
      </c>
      <c r="B532" s="48">
        <v>2.0720855024179983</v>
      </c>
      <c r="C532" s="7">
        <v>0.05639591988506232</v>
      </c>
      <c r="D532" s="49">
        <v>-0.6266512608255859</v>
      </c>
      <c r="E532" s="62">
        <v>25.34</v>
      </c>
      <c r="F532" s="7">
        <v>0.06592685771884599</v>
      </c>
      <c r="G532" s="49">
        <v>-0.5660814091959597</v>
      </c>
      <c r="H532" s="51">
        <v>1105.19</v>
      </c>
      <c r="I532" s="7">
        <v>5.61123788003796E-4</v>
      </c>
      <c r="J532" s="7">
        <v>0.009949723120881689</v>
      </c>
      <c r="K532" s="51">
        <v>109972.27281708231</v>
      </c>
      <c r="L532" s="7">
        <v>0.05583479609705852</v>
      </c>
      <c r="M532" s="7">
        <v>0.9900502768791183</v>
      </c>
      <c r="N532" s="52">
        <v>-0.00953093783378367</v>
      </c>
      <c r="O532" s="7">
        <v>-0.06056985162962614</v>
      </c>
      <c r="P532" s="53">
        <v>58.39805101008836</v>
      </c>
      <c r="Q532" s="13">
        <v>4383.483141952735</v>
      </c>
      <c r="R532" s="13">
        <v>5073.3705735411795</v>
      </c>
      <c r="S532" s="7">
        <v>-0.1340840412575712</v>
      </c>
      <c r="T532" s="53">
        <v>280235.69559610984</v>
      </c>
      <c r="U532" s="53">
        <v>111136.83787632237</v>
      </c>
      <c r="V532" s="53">
        <v>-186538.83694202366</v>
      </c>
    </row>
    <row r="533">
      <c r="A533" s="55">
        <v>44945.95996395833</v>
      </c>
      <c r="B533" s="56">
        <v>1.7590881470559026</v>
      </c>
      <c r="C533" s="57">
        <v>0.006563850974878549</v>
      </c>
      <c r="D533" s="58">
        <v>-0.6830471807106482</v>
      </c>
      <c r="E533" s="62">
        <v>21.49</v>
      </c>
      <c r="F533" s="57">
        <v>0.007534498025010938</v>
      </c>
      <c r="G533" s="58">
        <v>-0.6320082669148057</v>
      </c>
      <c r="H533" s="51">
        <v>1105.19</v>
      </c>
      <c r="I533" s="57">
        <v>7.688784575159518E-5</v>
      </c>
      <c r="J533" s="57">
        <v>0.011713831719498757</v>
      </c>
      <c r="K533" s="51">
        <v>93243.95436753509</v>
      </c>
      <c r="L533" s="57">
        <v>0.006486963129126953</v>
      </c>
      <c r="M533" s="57">
        <v>0.9882861682805012</v>
      </c>
      <c r="N533" s="59">
        <v>-9.706470501323894E-4</v>
      </c>
      <c r="O533" s="57">
        <v>-0.05103891379584247</v>
      </c>
      <c r="P533" s="51">
        <v>58.39805101008836</v>
      </c>
      <c r="Q533" s="32">
        <v>4390.374330736859</v>
      </c>
      <c r="R533" s="13">
        <v>5073.3705735411795</v>
      </c>
      <c r="S533" s="57">
        <v>-0.13272275158229693</v>
      </c>
      <c r="T533" s="53">
        <v>280235.69559610984</v>
      </c>
      <c r="U533" s="51">
        <v>94349.14436753509</v>
      </c>
      <c r="V533" s="51">
        <v>-203326.53045081097</v>
      </c>
    </row>
    <row r="534">
      <c r="A534" s="55">
        <v>44944.95997984953</v>
      </c>
      <c r="B534" s="56">
        <v>1.7226587741453265</v>
      </c>
      <c r="C534" s="57">
        <v>-0.03160791535052854</v>
      </c>
      <c r="D534" s="58">
        <v>-0.6896110316855267</v>
      </c>
      <c r="E534" s="62">
        <v>21.05</v>
      </c>
      <c r="F534" s="57">
        <v>-0.037158774350622314</v>
      </c>
      <c r="G534" s="58">
        <v>-0.6395427649398167</v>
      </c>
      <c r="H534" s="51">
        <v>1105.06</v>
      </c>
      <c r="I534" s="57">
        <v>-3.7803506782999074E-4</v>
      </c>
      <c r="J534" s="57">
        <v>0.011960139213156598</v>
      </c>
      <c r="K534" s="51">
        <v>91290.18559918106</v>
      </c>
      <c r="L534" s="57">
        <v>-0.03122988028269855</v>
      </c>
      <c r="M534" s="57">
        <v>0.9880398607868435</v>
      </c>
      <c r="N534" s="59">
        <v>0.005550859000093777</v>
      </c>
      <c r="O534" s="57">
        <v>-0.05006826674571008</v>
      </c>
      <c r="P534" s="51">
        <v>58.39805101008836</v>
      </c>
      <c r="Q534" s="32">
        <v>4389.322831315015</v>
      </c>
      <c r="R534" s="13">
        <v>5073.3705735411795</v>
      </c>
      <c r="S534" s="57">
        <v>-0.13293046542548906</v>
      </c>
      <c r="T534" s="53">
        <v>280235.69559610984</v>
      </c>
      <c r="U534" s="51">
        <v>92395.24559918106</v>
      </c>
      <c r="V534" s="51">
        <v>-205280.429219165</v>
      </c>
    </row>
    <row r="535">
      <c r="A535" s="55">
        <v>44943.95997766204</v>
      </c>
      <c r="B535" s="56">
        <v>1.8980827043407602</v>
      </c>
      <c r="C535" s="57">
        <v>-0.0035099629138367616</v>
      </c>
      <c r="D535" s="58">
        <v>-0.6580031163349982</v>
      </c>
      <c r="E535" s="62">
        <v>23.22</v>
      </c>
      <c r="F535" s="57">
        <v>-0.008561929573876026</v>
      </c>
      <c r="G535" s="58">
        <v>-0.6023839905891943</v>
      </c>
      <c r="H535" s="51">
        <v>1105.06</v>
      </c>
      <c r="I535" s="57">
        <v>-3.809981713204637E-5</v>
      </c>
      <c r="J535" s="57">
        <v>0.010854763445463083</v>
      </c>
      <c r="K535" s="51">
        <v>100699.09313075081</v>
      </c>
      <c r="L535" s="57">
        <v>-0.0034718630967047154</v>
      </c>
      <c r="M535" s="57">
        <v>0.9891452365545369</v>
      </c>
      <c r="N535" s="59">
        <v>0.005051966660039264</v>
      </c>
      <c r="O535" s="57">
        <v>-0.055619125745803855</v>
      </c>
      <c r="P535" s="51">
        <v>58.39805101008836</v>
      </c>
      <c r="Q535" s="32">
        <v>4384.330453520707</v>
      </c>
      <c r="R535" s="13">
        <v>5073.3705735411795</v>
      </c>
      <c r="S535" s="57">
        <v>-0.13391666280875003</v>
      </c>
      <c r="T535" s="53">
        <v>280235.69559610984</v>
      </c>
      <c r="U535" s="51">
        <v>101804.15313075081</v>
      </c>
      <c r="V535" s="51">
        <v>-195871.52168759523</v>
      </c>
    </row>
    <row r="536">
      <c r="A536" s="55">
        <v>44942.9599696875</v>
      </c>
      <c r="B536" s="56">
        <v>1.917562998512554</v>
      </c>
      <c r="C536" s="57">
        <v>0.008050231069130609</v>
      </c>
      <c r="D536" s="58">
        <v>-0.6544931534211614</v>
      </c>
      <c r="E536" s="62">
        <v>23.72</v>
      </c>
      <c r="F536" s="57">
        <v>0.012329178586381606</v>
      </c>
      <c r="G536" s="58">
        <v>-0.5938220610153183</v>
      </c>
      <c r="H536" s="51">
        <v>0.0</v>
      </c>
      <c r="I536" s="57">
        <v>0.0</v>
      </c>
      <c r="J536" s="57">
        <v>0.0</v>
      </c>
      <c r="K536" s="51">
        <v>102848.98370971452</v>
      </c>
      <c r="L536" s="57">
        <v>0.008050231069130609</v>
      </c>
      <c r="M536" s="57">
        <v>1.0</v>
      </c>
      <c r="N536" s="59">
        <v>-0.004278947517250997</v>
      </c>
      <c r="O536" s="57">
        <v>-0.06067109240584312</v>
      </c>
      <c r="P536" s="51">
        <v>58.39805101008836</v>
      </c>
      <c r="Q536" s="32">
        <v>4335.960527391</v>
      </c>
      <c r="R536" s="13">
        <v>5117.609387633862</v>
      </c>
      <c r="S536" s="57">
        <v>-0.1434716877974505</v>
      </c>
      <c r="T536" s="53">
        <v>280235.69559610984</v>
      </c>
      <c r="U536" s="51">
        <v>102848.98370971452</v>
      </c>
      <c r="V536" s="51">
        <v>-194826.69110863152</v>
      </c>
    </row>
    <row r="537">
      <c r="A537" s="55">
        <v>44941.95996822917</v>
      </c>
      <c r="B537" s="56">
        <v>1.872884216078879</v>
      </c>
      <c r="C537" s="57">
        <v>0.021675549741393962</v>
      </c>
      <c r="D537" s="58">
        <v>-0.662543384490292</v>
      </c>
      <c r="E537" s="62">
        <v>23.0</v>
      </c>
      <c r="F537" s="57">
        <v>3.424771829549922E-4</v>
      </c>
      <c r="G537" s="58">
        <v>-0.6061512396016999</v>
      </c>
      <c r="H537" s="51">
        <v>0.0</v>
      </c>
      <c r="I537" s="57">
        <v>0.0</v>
      </c>
      <c r="J537" s="57">
        <v>0.0</v>
      </c>
      <c r="K537" s="51">
        <v>100436.05434965776</v>
      </c>
      <c r="L537" s="57">
        <v>0.021675549741393962</v>
      </c>
      <c r="M537" s="57">
        <v>1.0</v>
      </c>
      <c r="N537" s="59">
        <v>0.02133307255843897</v>
      </c>
      <c r="O537" s="57">
        <v>-0.05639214488859212</v>
      </c>
      <c r="P537" s="51">
        <v>58.39805101008836</v>
      </c>
      <c r="Q537" s="32">
        <v>4367.505467120324</v>
      </c>
      <c r="R537" s="13">
        <v>5117.609387633862</v>
      </c>
      <c r="S537" s="57">
        <v>-0.1372402809813126</v>
      </c>
      <c r="T537" s="53">
        <v>280235.69559610984</v>
      </c>
      <c r="U537" s="51">
        <v>100452.62574376745</v>
      </c>
      <c r="V537" s="51">
        <v>-197223.0490745786</v>
      </c>
    </row>
    <row r="538">
      <c r="A538" s="55">
        <v>44940.95996763889</v>
      </c>
      <c r="B538" s="56">
        <v>1.7525849150141426</v>
      </c>
      <c r="C538" s="57">
        <v>0.07054595042094625</v>
      </c>
      <c r="D538" s="58">
        <v>-0.684218934231686</v>
      </c>
      <c r="E538" s="62">
        <v>22.98</v>
      </c>
      <c r="F538" s="57">
        <v>0.08305071686659815</v>
      </c>
      <c r="G538" s="58">
        <v>-0.6064937167846549</v>
      </c>
      <c r="H538" s="51">
        <v>0.0</v>
      </c>
      <c r="I538" s="57">
        <v>0.0</v>
      </c>
      <c r="J538" s="57">
        <v>0.0</v>
      </c>
      <c r="K538" s="51">
        <v>94000.34184743938</v>
      </c>
      <c r="L538" s="57">
        <v>0.07054595042094625</v>
      </c>
      <c r="M538" s="57">
        <v>1.0</v>
      </c>
      <c r="N538" s="59">
        <v>-0.012504766445651905</v>
      </c>
      <c r="O538" s="57">
        <v>-0.07772521744703109</v>
      </c>
      <c r="P538" s="51">
        <v>58.39805101008836</v>
      </c>
      <c r="Q538" s="32">
        <v>4090.528365858981</v>
      </c>
      <c r="R538" s="13">
        <v>5117.609387633862</v>
      </c>
      <c r="S538" s="57">
        <v>-0.19195450809741654</v>
      </c>
      <c r="T538" s="53">
        <v>280235.69559610984</v>
      </c>
      <c r="U538" s="51">
        <v>94000.34184743938</v>
      </c>
      <c r="V538" s="51">
        <v>-203675.33297090666</v>
      </c>
    </row>
    <row r="539">
      <c r="A539" s="47">
        <v>44939.99209555556</v>
      </c>
      <c r="B539" s="48">
        <v>1.3610548901778907</v>
      </c>
      <c r="C539" s="7">
        <v>0.01041718236476663</v>
      </c>
      <c r="D539" s="49">
        <v>-0.7547648846526323</v>
      </c>
      <c r="E539" s="62">
        <v>18.13</v>
      </c>
      <c r="F539" s="7">
        <v>0.030480469282998746</v>
      </c>
      <c r="G539" s="49">
        <v>-0.6895444336512531</v>
      </c>
      <c r="H539" s="51">
        <v>0.0</v>
      </c>
      <c r="I539" s="7">
        <v>0.0</v>
      </c>
      <c r="J539" s="7">
        <v>0.0</v>
      </c>
      <c r="K539" s="51">
        <v>73000.52845018261</v>
      </c>
      <c r="L539" s="7">
        <v>0.01041718236476663</v>
      </c>
      <c r="M539" s="7">
        <v>1.0</v>
      </c>
      <c r="N539" s="52">
        <v>-0.020063286918232115</v>
      </c>
      <c r="O539" s="7">
        <v>-0.06522045100137919</v>
      </c>
      <c r="P539" s="53">
        <v>58.39805101008836</v>
      </c>
      <c r="Q539" s="13">
        <v>4026.5046028782467</v>
      </c>
      <c r="R539" s="13">
        <v>5117.609387633862</v>
      </c>
      <c r="S539" s="7">
        <v>-0.20460180165563102</v>
      </c>
      <c r="T539" s="53">
        <v>280235.69559610984</v>
      </c>
      <c r="U539" s="53">
        <v>73000.52845018261</v>
      </c>
      <c r="V539" s="53">
        <v>-224675.14636816343</v>
      </c>
    </row>
    <row r="540">
      <c r="A540" s="55">
        <v>44938.95998511574</v>
      </c>
      <c r="B540" s="56">
        <v>1.3032395280534363</v>
      </c>
      <c r="C540" s="57">
        <v>0.004086802852881655</v>
      </c>
      <c r="D540" s="58">
        <v>-0.7651820670173989</v>
      </c>
      <c r="E540" s="62">
        <v>16.35</v>
      </c>
      <c r="F540" s="57">
        <v>0.004794680561370668</v>
      </c>
      <c r="G540" s="58">
        <v>-0.7200249029342518</v>
      </c>
      <c r="H540" s="51">
        <v>3451.0</v>
      </c>
      <c r="I540" s="57">
        <v>2.0204510095572174E-4</v>
      </c>
      <c r="J540" s="57">
        <v>0.049438426131384654</v>
      </c>
      <c r="K540" s="51">
        <v>66353.00206974278</v>
      </c>
      <c r="L540" s="57">
        <v>0.003884757751925933</v>
      </c>
      <c r="M540" s="57">
        <v>0.9505615738686154</v>
      </c>
      <c r="N540" s="59">
        <v>-7.078777084890131E-4</v>
      </c>
      <c r="O540" s="57">
        <v>-0.04515716408314707</v>
      </c>
      <c r="P540" s="51">
        <v>58.39805101008836</v>
      </c>
      <c r="Q540" s="32">
        <v>4275.204077066969</v>
      </c>
      <c r="R540" s="13">
        <v>5173.2336987002545</v>
      </c>
      <c r="S540" s="57">
        <v>-0.1554735544017974</v>
      </c>
      <c r="T540" s="53">
        <v>280235.69559610984</v>
      </c>
      <c r="U540" s="51">
        <v>69899.58666004495</v>
      </c>
      <c r="V540" s="51">
        <v>-227776.08815830108</v>
      </c>
    </row>
    <row r="541">
      <c r="A541" s="55">
        <v>44937.95995883102</v>
      </c>
      <c r="B541" s="56">
        <v>1.2805577722199426</v>
      </c>
      <c r="C541" s="57">
        <v>-0.0036418675983519444</v>
      </c>
      <c r="D541" s="58">
        <v>-0.7692688698702805</v>
      </c>
      <c r="E541" s="62">
        <v>16.07</v>
      </c>
      <c r="F541" s="57">
        <v>-0.0042809647869380685</v>
      </c>
      <c r="G541" s="58">
        <v>-0.7248195834956225</v>
      </c>
      <c r="H541" s="51">
        <v>3200.0</v>
      </c>
      <c r="I541" s="57">
        <v>-1.6991004097256527E-4</v>
      </c>
      <c r="J541" s="57">
        <v>0.046654645284044574</v>
      </c>
      <c r="K541" s="51">
        <v>65389.09719530905</v>
      </c>
      <c r="L541" s="57">
        <v>-0.003471957557379379</v>
      </c>
      <c r="M541" s="57">
        <v>0.9533453547159554</v>
      </c>
      <c r="N541" s="59">
        <v>6.390971885861241E-4</v>
      </c>
      <c r="O541" s="57">
        <v>-0.04444928637465806</v>
      </c>
      <c r="P541" s="51">
        <v>58.39805101008836</v>
      </c>
      <c r="Q541" s="32">
        <v>4273.991590725815</v>
      </c>
      <c r="R541" s="13">
        <v>5173.2336987002545</v>
      </c>
      <c r="S541" s="57">
        <v>-0.15571306970014875</v>
      </c>
      <c r="T541" s="53">
        <v>280235.69559610984</v>
      </c>
      <c r="U541" s="51">
        <v>68683.04486296384</v>
      </c>
      <c r="V541" s="51">
        <v>-228992.6299553822</v>
      </c>
    </row>
    <row r="542">
      <c r="A542" s="55">
        <v>44936.95997726852</v>
      </c>
      <c r="B542" s="56">
        <v>1.300770137390796</v>
      </c>
      <c r="C542" s="57">
        <v>-0.0020394458550770933</v>
      </c>
      <c r="D542" s="58">
        <v>-0.7656270022719286</v>
      </c>
      <c r="E542" s="62">
        <v>16.32</v>
      </c>
      <c r="F542" s="57">
        <v>-0.0023973402806853894</v>
      </c>
      <c r="G542" s="58">
        <v>-0.7205386187086844</v>
      </c>
      <c r="H542" s="51">
        <v>3200.0</v>
      </c>
      <c r="I542" s="57">
        <v>-9.367108636011819E-5</v>
      </c>
      <c r="J542" s="57">
        <v>0.04592967551794961</v>
      </c>
      <c r="K542" s="51">
        <v>66471.73105216952</v>
      </c>
      <c r="L542" s="57">
        <v>-0.0019457747687169752</v>
      </c>
      <c r="M542" s="57">
        <v>0.9540703244820504</v>
      </c>
      <c r="N542" s="59">
        <v>3.578944256082961E-4</v>
      </c>
      <c r="O542" s="57">
        <v>-0.04508838356324418</v>
      </c>
      <c r="P542" s="51">
        <v>58.39805101008836</v>
      </c>
      <c r="Q542" s="32">
        <v>4274.947319724407</v>
      </c>
      <c r="R542" s="13">
        <v>5173.2336987002545</v>
      </c>
      <c r="S542" s="57">
        <v>-0.1555242744053309</v>
      </c>
      <c r="T542" s="53">
        <v>280235.69559610984</v>
      </c>
      <c r="U542" s="51">
        <v>69767.14025790233</v>
      </c>
      <c r="V542" s="51">
        <v>-227908.53456044372</v>
      </c>
    </row>
    <row r="543">
      <c r="A543" s="55">
        <v>44935.95996508102</v>
      </c>
      <c r="B543" s="56">
        <v>1.3120890618864738</v>
      </c>
      <c r="C543" s="57">
        <v>0.05302787926396846</v>
      </c>
      <c r="D543" s="58">
        <v>-0.7635875564168515</v>
      </c>
      <c r="E543" s="62">
        <v>16.46</v>
      </c>
      <c r="F543" s="57">
        <v>0.04726185124779614</v>
      </c>
      <c r="G543" s="58">
        <v>-0.718141278427999</v>
      </c>
      <c r="H543" s="51">
        <v>3200.0</v>
      </c>
      <c r="I543" s="57">
        <v>0.0024145422341051775</v>
      </c>
      <c r="J543" s="57">
        <v>0.045533448963436446</v>
      </c>
      <c r="K543" s="51">
        <v>67078.00601201138</v>
      </c>
      <c r="L543" s="57">
        <v>0.05061333702986328</v>
      </c>
      <c r="M543" s="57">
        <v>0.9544665510365635</v>
      </c>
      <c r="N543" s="59">
        <v>0.00576602801617232</v>
      </c>
      <c r="O543" s="57">
        <v>-0.04544627798885248</v>
      </c>
      <c r="P543" s="51">
        <v>58.39805101008836</v>
      </c>
      <c r="Q543" s="32">
        <v>4275.46984684495</v>
      </c>
      <c r="R543" s="13">
        <v>5173.2336987002545</v>
      </c>
      <c r="S543" s="57">
        <v>-0.15542105407622245</v>
      </c>
      <c r="T543" s="53">
        <v>280235.69559610984</v>
      </c>
      <c r="U543" s="51">
        <v>70374.23367906787</v>
      </c>
      <c r="V543" s="51">
        <v>-227301.44113927818</v>
      </c>
    </row>
    <row r="544">
      <c r="A544" s="55">
        <v>44934.95996104166</v>
      </c>
      <c r="B544" s="56">
        <v>1.0177843319714492</v>
      </c>
      <c r="C544" s="57">
        <v>0.008467202320904033</v>
      </c>
      <c r="D544" s="58">
        <v>-0.81661543568082</v>
      </c>
      <c r="E544" s="62">
        <v>13.7</v>
      </c>
      <c r="F544" s="57">
        <v>0.010616792671606312</v>
      </c>
      <c r="G544" s="58">
        <v>-0.7654031296757952</v>
      </c>
      <c r="H544" s="51">
        <v>3200.0</v>
      </c>
      <c r="I544" s="57">
        <v>4.97027540313812E-4</v>
      </c>
      <c r="J544" s="57">
        <v>0.05870032644510435</v>
      </c>
      <c r="K544" s="51">
        <v>51314.17724214176</v>
      </c>
      <c r="L544" s="57">
        <v>0.007970174780590221</v>
      </c>
      <c r="M544" s="57">
        <v>0.9412996735548956</v>
      </c>
      <c r="N544" s="59">
        <v>-0.0021495903507022796</v>
      </c>
      <c r="O544" s="57">
        <v>-0.0512123060050248</v>
      </c>
      <c r="P544" s="51">
        <v>58.39805101008836</v>
      </c>
      <c r="Q544" s="32">
        <v>3984.6075864949125</v>
      </c>
      <c r="R544" s="13">
        <v>5173.2336987002545</v>
      </c>
      <c r="S544" s="57">
        <v>-0.21287816406770604</v>
      </c>
      <c r="T544" s="53">
        <v>280235.69559610984</v>
      </c>
      <c r="U544" s="51">
        <v>54589.1239349803</v>
      </c>
      <c r="V544" s="51">
        <v>-243086.55088336574</v>
      </c>
    </row>
    <row r="545">
      <c r="A545" s="55">
        <v>44933.95998439815</v>
      </c>
      <c r="B545" s="56">
        <v>0.9707913590904316</v>
      </c>
      <c r="C545" s="57">
        <v>-0.004223733781262506</v>
      </c>
      <c r="D545" s="58">
        <v>-0.825082638001724</v>
      </c>
      <c r="E545" s="62">
        <v>13.08</v>
      </c>
      <c r="F545" s="57">
        <v>-0.005308396335803156</v>
      </c>
      <c r="G545" s="58">
        <v>-0.7760199223474015</v>
      </c>
      <c r="H545" s="51">
        <v>3195.35</v>
      </c>
      <c r="I545" s="57">
        <v>-2.595589107541731E-4</v>
      </c>
      <c r="J545" s="57">
        <v>0.061452478824692625</v>
      </c>
      <c r="K545" s="51">
        <v>48801.73882558624</v>
      </c>
      <c r="L545" s="57">
        <v>-0.003964174870508333</v>
      </c>
      <c r="M545" s="57">
        <v>0.9385475211753074</v>
      </c>
      <c r="N545" s="59">
        <v>0.0010846625545406496</v>
      </c>
      <c r="O545" s="57">
        <v>-0.04906271565432252</v>
      </c>
      <c r="P545" s="51">
        <v>58.39805101008836</v>
      </c>
      <c r="Q545" s="32">
        <v>3980.7831628655745</v>
      </c>
      <c r="R545" s="13">
        <v>5173.2336987002545</v>
      </c>
      <c r="S545" s="57">
        <v>-0.21363364306611737</v>
      </c>
      <c r="T545" s="53">
        <v>280235.69559610984</v>
      </c>
      <c r="U545" s="51">
        <v>52068.64377028171</v>
      </c>
      <c r="V545" s="51">
        <v>-245607.03104806432</v>
      </c>
    </row>
    <row r="546">
      <c r="A546" s="55">
        <v>44932.959978125</v>
      </c>
      <c r="B546" s="56">
        <v>0.9942330815764387</v>
      </c>
      <c r="C546" s="57">
        <v>-0.016082111068102645</v>
      </c>
      <c r="D546" s="58">
        <v>-0.8208589042204615</v>
      </c>
      <c r="E546" s="62">
        <v>13.39</v>
      </c>
      <c r="F546" s="57">
        <v>-0.0010274315488650876</v>
      </c>
      <c r="G546" s="58">
        <v>-0.7707115260115983</v>
      </c>
      <c r="H546" s="51">
        <v>3195.35</v>
      </c>
      <c r="I546" s="57">
        <v>-9.649835162858485E-4</v>
      </c>
      <c r="J546" s="57">
        <v>0.06000353512044837</v>
      </c>
      <c r="K546" s="51">
        <v>50057.34575510509</v>
      </c>
      <c r="L546" s="57">
        <v>-0.015117127551816796</v>
      </c>
      <c r="M546" s="57">
        <v>0.9399964648795517</v>
      </c>
      <c r="N546" s="59">
        <v>-0.015054679519237557</v>
      </c>
      <c r="O546" s="57">
        <v>-0.05014737820886317</v>
      </c>
      <c r="P546" s="51">
        <v>58.39805101008836</v>
      </c>
      <c r="Q546" s="32">
        <v>3982.5202818425755</v>
      </c>
      <c r="R546" s="13">
        <v>5173.2336987002545</v>
      </c>
      <c r="S546" s="57">
        <v>-0.2132904915138681</v>
      </c>
      <c r="T546" s="53">
        <v>280235.69559610984</v>
      </c>
      <c r="U546" s="51">
        <v>53325.94657387209</v>
      </c>
      <c r="V546" s="51">
        <v>-244349.72824447395</v>
      </c>
    </row>
    <row r="547">
      <c r="A547" s="55">
        <v>44931.959969710646</v>
      </c>
      <c r="B547" s="56">
        <v>1.0834887980044088</v>
      </c>
      <c r="C547" s="57">
        <v>-0.03304403969980585</v>
      </c>
      <c r="D547" s="58">
        <v>-0.8047767931523588</v>
      </c>
      <c r="E547" s="62">
        <v>13.45</v>
      </c>
      <c r="F547" s="57">
        <v>-0.0013699087318201908</v>
      </c>
      <c r="G547" s="58">
        <v>-0.7696840944627332</v>
      </c>
      <c r="H547" s="51">
        <v>3195.35</v>
      </c>
      <c r="I547" s="57">
        <v>-0.0015632859659345272</v>
      </c>
      <c r="J547" s="57">
        <v>0.04730916619567287</v>
      </c>
      <c r="K547" s="51">
        <v>64346.52944855943</v>
      </c>
      <c r="L547" s="57">
        <v>-0.031480753733871325</v>
      </c>
      <c r="M547" s="57">
        <v>0.9526908338043272</v>
      </c>
      <c r="N547" s="59">
        <v>-0.03167413096798566</v>
      </c>
      <c r="O547" s="57">
        <v>-0.03509269868962561</v>
      </c>
      <c r="P547" s="51">
        <v>58.39805101008836</v>
      </c>
      <c r="Q547" s="32">
        <v>4320.684002867893</v>
      </c>
      <c r="R547" s="13">
        <v>5173.2336987002545</v>
      </c>
      <c r="S547" s="57">
        <v>-0.14648942185739858</v>
      </c>
      <c r="T547" s="53">
        <v>280235.69559610984</v>
      </c>
      <c r="U547" s="51">
        <v>58113.19983857316</v>
      </c>
      <c r="V547" s="51">
        <v>-239562.47497977287</v>
      </c>
    </row>
    <row r="548">
      <c r="A548" s="47">
        <v>44930.96259105324</v>
      </c>
      <c r="B548" s="48">
        <v>1.266883218338331</v>
      </c>
      <c r="C548" s="7">
        <v>-0.01073433360636522</v>
      </c>
      <c r="D548" s="49">
        <v>-0.771732753452553</v>
      </c>
      <c r="E548" s="62">
        <v>13.53</v>
      </c>
      <c r="F548" s="7">
        <v>0.0</v>
      </c>
      <c r="G548" s="49">
        <v>-0.768314185730913</v>
      </c>
      <c r="H548" s="51">
        <v>3195.35</v>
      </c>
      <c r="I548" s="7">
        <v>-5.047851573781988E-4</v>
      </c>
      <c r="J548" s="7">
        <v>0.04702529061318463</v>
      </c>
      <c r="K548" s="51">
        <v>64754.25665493706</v>
      </c>
      <c r="L548" s="7">
        <v>-0.010229548448987023</v>
      </c>
      <c r="M548" s="7">
        <v>0.9529747093868154</v>
      </c>
      <c r="N548" s="52">
        <v>-0.01073433360636522</v>
      </c>
      <c r="O548" s="7">
        <v>-0.0034185677216399535</v>
      </c>
      <c r="P548" s="53">
        <v>58.39805101008836</v>
      </c>
      <c r="Q548" s="13">
        <v>5022.143876935481</v>
      </c>
      <c r="R548" s="13">
        <v>5173.2336987002545</v>
      </c>
      <c r="S548" s="7">
        <v>-0.00792260644996102</v>
      </c>
      <c r="T548" s="53">
        <v>280235.69559610984</v>
      </c>
      <c r="U548" s="53">
        <v>67949.60665493706</v>
      </c>
      <c r="V548" s="53">
        <v>-229726.06816340899</v>
      </c>
    </row>
    <row r="549">
      <c r="A549" s="55">
        <v>44929.959972881945</v>
      </c>
      <c r="B549" s="56">
        <v>1.2433939518188888</v>
      </c>
      <c r="C549" s="57">
        <v>0.033267769484252474</v>
      </c>
      <c r="D549" s="58">
        <v>-0.7759650537263263</v>
      </c>
      <c r="E549" s="62">
        <v>13.28</v>
      </c>
      <c r="F549" s="57">
        <v>0.03424771829550444</v>
      </c>
      <c r="G549" s="58">
        <v>-0.772595150517851</v>
      </c>
      <c r="H549" s="51">
        <v>0.0</v>
      </c>
      <c r="I549" s="57">
        <v>0.0</v>
      </c>
      <c r="J549" s="57">
        <v>0.0</v>
      </c>
      <c r="K549" s="51">
        <v>66689.75381490772</v>
      </c>
      <c r="L549" s="57">
        <v>0.033267769484252474</v>
      </c>
      <c r="M549" s="57">
        <v>1.0</v>
      </c>
      <c r="N549" s="59">
        <v>-9.799488112519628E-4</v>
      </c>
      <c r="O549" s="57">
        <v>-0.0033699032084753</v>
      </c>
      <c r="P549" s="51">
        <v>58.39805101008836</v>
      </c>
      <c r="Q549" s="32">
        <v>5021.818811363533</v>
      </c>
      <c r="R549" s="13">
        <v>5173.2336987002545</v>
      </c>
      <c r="S549" s="57">
        <v>-0.007986820103184227</v>
      </c>
      <c r="T549" s="53">
        <v>280235.69559610984</v>
      </c>
      <c r="U549" s="51">
        <v>66689.75381490772</v>
      </c>
      <c r="V549" s="51">
        <v>-230985.92100343833</v>
      </c>
    </row>
    <row r="550">
      <c r="A550" s="55">
        <v>44928.95996101852</v>
      </c>
      <c r="B550" s="56">
        <v>1.0587578311812882</v>
      </c>
      <c r="C550" s="57">
        <v>0.02195197924822856</v>
      </c>
      <c r="D550" s="58">
        <v>-0.8092328232105788</v>
      </c>
      <c r="E550" s="62">
        <v>11.28</v>
      </c>
      <c r="F550" s="57">
        <v>0.02191853970912272</v>
      </c>
      <c r="G550" s="58">
        <v>-0.8068428688133554</v>
      </c>
      <c r="H550" s="51">
        <v>0.0</v>
      </c>
      <c r="I550" s="57">
        <v>0.0</v>
      </c>
      <c r="J550" s="57">
        <v>0.0</v>
      </c>
      <c r="K550" s="51">
        <v>56786.74808398171</v>
      </c>
      <c r="L550" s="57">
        <v>0.02195197924822856</v>
      </c>
      <c r="M550" s="57">
        <v>1.0</v>
      </c>
      <c r="N550" s="59">
        <v>3.343953910583952E-5</v>
      </c>
      <c r="O550" s="57">
        <v>-0.0023899543972233372</v>
      </c>
      <c r="P550" s="51">
        <v>58.39805101008836</v>
      </c>
      <c r="Q550" s="32">
        <v>5034.286177657953</v>
      </c>
      <c r="R550" s="13">
        <v>5173.2336987002545</v>
      </c>
      <c r="S550" s="57">
        <v>-0.005524008889311001</v>
      </c>
      <c r="T550" s="53">
        <v>280235.69559610984</v>
      </c>
      <c r="U550" s="51">
        <v>56786.74808398171</v>
      </c>
      <c r="V550" s="51">
        <v>-240888.92673436433</v>
      </c>
    </row>
    <row r="551">
      <c r="A551" s="55">
        <v>44927.95995597223</v>
      </c>
      <c r="B551" s="56">
        <v>0.9369243463536193</v>
      </c>
      <c r="C551" s="57">
        <v>6.663780096457517E-4</v>
      </c>
      <c r="D551" s="58">
        <v>-0.8311848024588073</v>
      </c>
      <c r="E551" s="62">
        <v>10.0</v>
      </c>
      <c r="F551" s="57">
        <v>6.849543659100954E-4</v>
      </c>
      <c r="G551" s="58">
        <v>-0.8287614085224781</v>
      </c>
      <c r="H551" s="51">
        <v>0.0</v>
      </c>
      <c r="I551" s="57">
        <v>0.0</v>
      </c>
      <c r="J551" s="57">
        <v>0.0</v>
      </c>
      <c r="K551" s="51">
        <v>50252.17784766692</v>
      </c>
      <c r="L551" s="57">
        <v>6.663780096457517E-4</v>
      </c>
      <c r="M551" s="57">
        <v>1.0</v>
      </c>
      <c r="N551" s="59">
        <v>-1.857635626434373E-5</v>
      </c>
      <c r="O551" s="57">
        <v>-0.0024233939363291768</v>
      </c>
      <c r="P551" s="51">
        <v>58.39805101008836</v>
      </c>
      <c r="Q551" s="32">
        <v>5025.217784766692</v>
      </c>
      <c r="R551" s="13">
        <v>5173.2336987002545</v>
      </c>
      <c r="S551" s="57">
        <v>-0.00731538480439926</v>
      </c>
      <c r="T551" s="53">
        <v>280235.69559610984</v>
      </c>
      <c r="U551" s="51">
        <v>50252.17784766692</v>
      </c>
      <c r="V551" s="51">
        <v>-247423.49697067912</v>
      </c>
    </row>
    <row r="552">
      <c r="A552" s="55">
        <v>44926.959952199075</v>
      </c>
      <c r="B552" s="56">
        <v>0.9332259484000855</v>
      </c>
      <c r="C552" s="57">
        <v>0.002911000384054563</v>
      </c>
      <c r="D552" s="58">
        <v>-0.8318511804684531</v>
      </c>
      <c r="E552" s="62">
        <v>9.96</v>
      </c>
      <c r="F552" s="57">
        <v>0.0029110560551178777</v>
      </c>
      <c r="G552" s="58">
        <v>-0.8294463628883882</v>
      </c>
      <c r="H552" s="51">
        <v>0.0</v>
      </c>
      <c r="I552" s="57">
        <v>0.0</v>
      </c>
      <c r="J552" s="57">
        <v>0.0</v>
      </c>
      <c r="K552" s="51">
        <v>50053.81332396153</v>
      </c>
      <c r="L552" s="57">
        <v>0.002911000384054563</v>
      </c>
      <c r="M552" s="57">
        <v>1.0</v>
      </c>
      <c r="N552" s="59">
        <v>-5.5671063314832736E-8</v>
      </c>
      <c r="O552" s="57">
        <v>-0.002404817580064833</v>
      </c>
      <c r="P552" s="51">
        <v>58.39805101008836</v>
      </c>
      <c r="Q552" s="32">
        <v>5025.483265457984</v>
      </c>
      <c r="R552" s="13">
        <v>5173.2336987002545</v>
      </c>
      <c r="S552" s="57">
        <v>-0.007262941585186684</v>
      </c>
      <c r="T552" s="53">
        <v>280235.69559610984</v>
      </c>
      <c r="U552" s="51">
        <v>50053.81332396153</v>
      </c>
      <c r="V552" s="51">
        <v>-247621.86149438453</v>
      </c>
    </row>
    <row r="553">
      <c r="A553" s="55">
        <v>44925.959960057866</v>
      </c>
      <c r="B553" s="56">
        <v>0.9170698962685824</v>
      </c>
      <c r="C553" s="57">
        <v>0.010446458113646306</v>
      </c>
      <c r="D553" s="58">
        <v>-0.8347621808525076</v>
      </c>
      <c r="E553" s="62">
        <v>9.79</v>
      </c>
      <c r="F553" s="57">
        <v>0.010445554080128927</v>
      </c>
      <c r="G553" s="58">
        <v>-0.8323574189435061</v>
      </c>
      <c r="H553" s="51">
        <v>0.0</v>
      </c>
      <c r="I553" s="57">
        <v>0.0</v>
      </c>
      <c r="J553" s="57">
        <v>0.0</v>
      </c>
      <c r="K553" s="51">
        <v>49187.2793202416</v>
      </c>
      <c r="L553" s="57">
        <v>0.010446458113646306</v>
      </c>
      <c r="M553" s="57">
        <v>1.0</v>
      </c>
      <c r="N553" s="59">
        <v>9.040335173793324E-7</v>
      </c>
      <c r="O553" s="57">
        <v>-0.002404761909001518</v>
      </c>
      <c r="P553" s="51">
        <v>58.39805101008836</v>
      </c>
      <c r="Q553" s="32">
        <v>5024.236907072687</v>
      </c>
      <c r="R553" s="13">
        <v>5173.2336987002545</v>
      </c>
      <c r="S553" s="57">
        <v>-0.007509147987992697</v>
      </c>
      <c r="T553" s="53">
        <v>280235.69559610984</v>
      </c>
      <c r="U553" s="51">
        <v>49187.2793202416</v>
      </c>
      <c r="V553" s="51">
        <v>-248488.39549810445</v>
      </c>
    </row>
    <row r="554">
      <c r="A554" s="55">
        <v>44924.95996237268</v>
      </c>
      <c r="B554" s="56">
        <v>0.8590920537378456</v>
      </c>
      <c r="C554" s="57">
        <v>-0.008681500959442312</v>
      </c>
      <c r="D554" s="58">
        <v>-0.845208638966154</v>
      </c>
      <c r="E554" s="62">
        <v>9.18</v>
      </c>
      <c r="F554" s="57">
        <v>-0.009246883939786232</v>
      </c>
      <c r="G554" s="58">
        <v>-0.842802973023635</v>
      </c>
      <c r="H554" s="51">
        <v>0.0</v>
      </c>
      <c r="I554" s="57">
        <v>0.0</v>
      </c>
      <c r="J554" s="57">
        <v>0.0</v>
      </c>
      <c r="K554" s="51">
        <v>46077.622851800355</v>
      </c>
      <c r="L554" s="57">
        <v>-0.008681500959442312</v>
      </c>
      <c r="M554" s="57">
        <v>1.0</v>
      </c>
      <c r="N554" s="59">
        <v>5.653829803439203E-4</v>
      </c>
      <c r="O554" s="57">
        <v>-0.0024056659425188975</v>
      </c>
      <c r="P554" s="51">
        <v>58.39805101008836</v>
      </c>
      <c r="Q554" s="32">
        <v>5019.348894531629</v>
      </c>
      <c r="R554" s="13">
        <v>5173.2336987002545</v>
      </c>
      <c r="S554" s="57">
        <v>-0.008474728994869705</v>
      </c>
      <c r="T554" s="53">
        <v>280235.69559610984</v>
      </c>
      <c r="U554" s="51">
        <v>46077.622851800355</v>
      </c>
      <c r="V554" s="51">
        <v>-251598.0519665457</v>
      </c>
    </row>
    <row r="555">
      <c r="A555" s="55">
        <v>44923.95995664352</v>
      </c>
      <c r="B555" s="56">
        <v>0.9072743840627507</v>
      </c>
      <c r="C555" s="57">
        <v>-0.022348174368377993</v>
      </c>
      <c r="D555" s="58">
        <v>-0.8365271380067116</v>
      </c>
      <c r="E555" s="62">
        <v>9.72</v>
      </c>
      <c r="F555" s="57">
        <v>-0.022261016892077823</v>
      </c>
      <c r="G555" s="58">
        <v>-0.8335560890838488</v>
      </c>
      <c r="H555" s="51">
        <v>0.0</v>
      </c>
      <c r="I555" s="57">
        <v>0.0</v>
      </c>
      <c r="J555" s="57">
        <v>0.0</v>
      </c>
      <c r="K555" s="51">
        <v>48661.89450833848</v>
      </c>
      <c r="L555" s="57">
        <v>-0.022348174368377993</v>
      </c>
      <c r="M555" s="57">
        <v>1.0</v>
      </c>
      <c r="N555" s="59">
        <v>-8.715747630017034E-5</v>
      </c>
      <c r="O555" s="57">
        <v>-0.002971048922862818</v>
      </c>
      <c r="P555" s="51">
        <v>58.39805101008836</v>
      </c>
      <c r="Q555" s="32">
        <v>5006.367747771448</v>
      </c>
      <c r="R555" s="13">
        <v>5173.2336987002545</v>
      </c>
      <c r="S555" s="57">
        <v>-0.011039032718280646</v>
      </c>
      <c r="T555" s="53">
        <v>280235.69559610984</v>
      </c>
      <c r="U555" s="51">
        <v>48661.89450833848</v>
      </c>
      <c r="V555" s="51">
        <v>-249013.78031000757</v>
      </c>
    </row>
    <row r="556">
      <c r="A556" s="55">
        <v>44922.95997334491</v>
      </c>
      <c r="B556" s="56">
        <v>1.0313067518072485</v>
      </c>
      <c r="C556" s="57">
        <v>-0.003104470408299198</v>
      </c>
      <c r="D556" s="58">
        <v>-0.8141789636383336</v>
      </c>
      <c r="E556" s="62">
        <v>11.02</v>
      </c>
      <c r="F556" s="57">
        <v>-0.003253533238072981</v>
      </c>
      <c r="G556" s="58">
        <v>-0.811295072191771</v>
      </c>
      <c r="H556" s="51">
        <v>0.0</v>
      </c>
      <c r="I556" s="57">
        <v>0.0</v>
      </c>
      <c r="J556" s="57">
        <v>0.0</v>
      </c>
      <c r="K556" s="51">
        <v>55314.402394403456</v>
      </c>
      <c r="L556" s="57">
        <v>-0.003104470408299198</v>
      </c>
      <c r="M556" s="57">
        <v>1.0</v>
      </c>
      <c r="N556" s="59">
        <v>1.4906282977378282E-4</v>
      </c>
      <c r="O556" s="57">
        <v>-0.0028838914465626475</v>
      </c>
      <c r="P556" s="51">
        <v>58.39805101008836</v>
      </c>
      <c r="Q556" s="32">
        <v>5019.45575266819</v>
      </c>
      <c r="R556" s="13">
        <v>5173.2336987002545</v>
      </c>
      <c r="S556" s="57">
        <v>-0.00845362017278166</v>
      </c>
      <c r="T556" s="53">
        <v>280235.69559610984</v>
      </c>
      <c r="U556" s="51">
        <v>55314.402394403456</v>
      </c>
      <c r="V556" s="51">
        <v>-242361.27242394257</v>
      </c>
    </row>
    <row r="557">
      <c r="A557" s="55">
        <v>44921.95996266203</v>
      </c>
      <c r="B557" s="56">
        <v>1.0485365625733092</v>
      </c>
      <c r="C557" s="57">
        <v>-0.0030656023679722644</v>
      </c>
      <c r="D557" s="58">
        <v>-0.8110744932300344</v>
      </c>
      <c r="E557" s="62">
        <v>11.21</v>
      </c>
      <c r="F557" s="57">
        <v>-0.0030822946465953738</v>
      </c>
      <c r="G557" s="58">
        <v>-0.808041538953698</v>
      </c>
      <c r="H557" s="51">
        <v>0.0</v>
      </c>
      <c r="I557" s="57">
        <v>0.0</v>
      </c>
      <c r="J557" s="57">
        <v>0.0</v>
      </c>
      <c r="K557" s="51">
        <v>56238.527718147525</v>
      </c>
      <c r="L557" s="57">
        <v>-0.0030656023679722644</v>
      </c>
      <c r="M557" s="57">
        <v>1.0</v>
      </c>
      <c r="N557" s="59">
        <v>1.6692278623109402E-5</v>
      </c>
      <c r="O557" s="57">
        <v>-0.0030329542763364303</v>
      </c>
      <c r="P557" s="51">
        <v>58.39805101008836</v>
      </c>
      <c r="Q557" s="32">
        <v>5016.817816070252</v>
      </c>
      <c r="R557" s="13">
        <v>5173.2336987002545</v>
      </c>
      <c r="S557" s="57">
        <v>-0.008974719792498208</v>
      </c>
      <c r="T557" s="53">
        <v>280235.69559610984</v>
      </c>
      <c r="U557" s="51">
        <v>56238.527718147525</v>
      </c>
      <c r="V557" s="51">
        <v>-241437.14710019852</v>
      </c>
    </row>
    <row r="558">
      <c r="A558" s="55">
        <v>44920.95997457176</v>
      </c>
      <c r="B558" s="56">
        <v>1.065550655715555</v>
      </c>
      <c r="C558" s="57">
        <v>-0.0010048815145888845</v>
      </c>
      <c r="D558" s="58">
        <v>-0.8080088908620622</v>
      </c>
      <c r="E558" s="62">
        <v>11.39</v>
      </c>
      <c r="F558" s="57">
        <v>-8.561929573875915E-4</v>
      </c>
      <c r="G558" s="58">
        <v>-0.8049592443071026</v>
      </c>
      <c r="H558" s="51">
        <v>0.0</v>
      </c>
      <c r="I558" s="57">
        <v>0.0</v>
      </c>
      <c r="J558" s="57">
        <v>0.0</v>
      </c>
      <c r="K558" s="51">
        <v>57151.08297175836</v>
      </c>
      <c r="L558" s="57">
        <v>-0.0010048815145888845</v>
      </c>
      <c r="M558" s="57">
        <v>1.0</v>
      </c>
      <c r="N558" s="59">
        <v>-1.4868855720129304E-4</v>
      </c>
      <c r="O558" s="57">
        <v>-0.0030496465549595397</v>
      </c>
      <c r="P558" s="51">
        <v>58.39805101008836</v>
      </c>
      <c r="Q558" s="32">
        <v>5017.654343437959</v>
      </c>
      <c r="R558" s="13">
        <v>5173.2336987002545</v>
      </c>
      <c r="S558" s="57">
        <v>-0.00880947166123704</v>
      </c>
      <c r="T558" s="53">
        <v>280235.69559610984</v>
      </c>
      <c r="U558" s="51">
        <v>57151.08297175836</v>
      </c>
      <c r="V558" s="51">
        <v>-240524.5918465877</v>
      </c>
    </row>
    <row r="559">
      <c r="A559" s="55">
        <v>44919.959956412036</v>
      </c>
      <c r="B559" s="56">
        <v>1.0711277481215233</v>
      </c>
      <c r="C559" s="57">
        <v>-0.0060087051313352235</v>
      </c>
      <c r="D559" s="58">
        <v>-0.8070040093474733</v>
      </c>
      <c r="E559" s="62">
        <v>11.44</v>
      </c>
      <c r="F559" s="57">
        <v>-0.0061645892931907476</v>
      </c>
      <c r="G559" s="58">
        <v>-0.804103051349715</v>
      </c>
      <c r="H559" s="51">
        <v>0.0</v>
      </c>
      <c r="I559" s="57">
        <v>0.0</v>
      </c>
      <c r="J559" s="57">
        <v>0.0</v>
      </c>
      <c r="K559" s="51">
        <v>57450.2117547261</v>
      </c>
      <c r="L559" s="57">
        <v>-0.0060087051313352235</v>
      </c>
      <c r="M559" s="57">
        <v>1.0</v>
      </c>
      <c r="N559" s="59">
        <v>1.55884161855524E-4</v>
      </c>
      <c r="O559" s="57">
        <v>-0.0029009579977582467</v>
      </c>
      <c r="P559" s="51">
        <v>58.39805101008836</v>
      </c>
      <c r="Q559" s="32">
        <v>5021.871656881653</v>
      </c>
      <c r="R559" s="13">
        <v>5173.2336987002545</v>
      </c>
      <c r="S559" s="57">
        <v>-0.007976380966998315</v>
      </c>
      <c r="T559" s="53">
        <v>280235.69559610984</v>
      </c>
      <c r="U559" s="51">
        <v>57450.2117547261</v>
      </c>
      <c r="V559" s="51">
        <v>-240225.46306361994</v>
      </c>
    </row>
    <row r="560">
      <c r="A560" s="55">
        <v>44918.96006877314</v>
      </c>
      <c r="B560" s="56">
        <v>1.1044760616004339</v>
      </c>
      <c r="C560" s="57">
        <v>5.354666025074728E-4</v>
      </c>
      <c r="D560" s="58">
        <v>-0.8009953042161381</v>
      </c>
      <c r="E560" s="62">
        <v>11.8</v>
      </c>
      <c r="F560" s="57">
        <v>-3.424771829551032E-4</v>
      </c>
      <c r="G560" s="58">
        <v>-0.7979384620565243</v>
      </c>
      <c r="H560" s="51">
        <v>0.0</v>
      </c>
      <c r="I560" s="57">
        <v>0.0</v>
      </c>
      <c r="J560" s="57">
        <v>0.0</v>
      </c>
      <c r="K560" s="51">
        <v>59238.85710948077</v>
      </c>
      <c r="L560" s="57">
        <v>5.354666025074728E-4</v>
      </c>
      <c r="M560" s="57">
        <v>1.0</v>
      </c>
      <c r="N560" s="59">
        <v>8.77943785462576E-4</v>
      </c>
      <c r="O560" s="57">
        <v>-0.0030568421596137707</v>
      </c>
      <c r="P560" s="51">
        <v>58.39805101008836</v>
      </c>
      <c r="Q560" s="32">
        <v>5020.242127922099</v>
      </c>
      <c r="R560" s="13">
        <v>5173.2336987002545</v>
      </c>
      <c r="S560" s="57">
        <v>-0.008298279120958568</v>
      </c>
      <c r="T560" s="53">
        <v>280235.69559610984</v>
      </c>
      <c r="U560" s="51">
        <v>59238.85710948077</v>
      </c>
      <c r="V560" s="51">
        <v>-238436.81770886527</v>
      </c>
    </row>
    <row r="561">
      <c r="A561" s="55">
        <v>44917.95998472223</v>
      </c>
      <c r="B561" s="56">
        <v>1.101504221956517</v>
      </c>
      <c r="C561" s="57">
        <v>-0.004422311448659122</v>
      </c>
      <c r="D561" s="58">
        <v>-0.8015307708186455</v>
      </c>
      <c r="E561" s="62">
        <v>11.82</v>
      </c>
      <c r="F561" s="57">
        <v>-0.004452203378415565</v>
      </c>
      <c r="G561" s="58">
        <v>-0.7975959848735692</v>
      </c>
      <c r="H561" s="51">
        <v>0.0</v>
      </c>
      <c r="I561" s="57">
        <v>0.0</v>
      </c>
      <c r="J561" s="57">
        <v>0.0</v>
      </c>
      <c r="K561" s="51">
        <v>59079.461727236645</v>
      </c>
      <c r="L561" s="57">
        <v>-0.004422311448659122</v>
      </c>
      <c r="M561" s="57">
        <v>1.0</v>
      </c>
      <c r="N561" s="59">
        <v>2.9891929756442615E-5</v>
      </c>
      <c r="O561" s="57">
        <v>-0.003934785945076347</v>
      </c>
      <c r="P561" s="51">
        <v>58.39805101008836</v>
      </c>
      <c r="Q561" s="32">
        <v>4998.262413471797</v>
      </c>
      <c r="R561" s="13">
        <v>5173.2336987002545</v>
      </c>
      <c r="S561" s="57">
        <v>-0.012640165446233528</v>
      </c>
      <c r="T561" s="53">
        <v>280235.69559610984</v>
      </c>
      <c r="U561" s="51">
        <v>59079.461727236645</v>
      </c>
      <c r="V561" s="51">
        <v>-238596.2130911094</v>
      </c>
    </row>
    <row r="562">
      <c r="A562" s="55">
        <v>44916.95996050926</v>
      </c>
      <c r="B562" s="56">
        <v>1.126048050496575</v>
      </c>
      <c r="C562" s="57">
        <v>-0.0035719632095244647</v>
      </c>
      <c r="D562" s="58">
        <v>-0.7971084593699864</v>
      </c>
      <c r="E562" s="62">
        <v>12.08</v>
      </c>
      <c r="F562" s="57">
        <v>-0.003596010421027973</v>
      </c>
      <c r="G562" s="58">
        <v>-0.7931437814951536</v>
      </c>
      <c r="H562" s="51">
        <v>0.0</v>
      </c>
      <c r="I562" s="57">
        <v>0.0</v>
      </c>
      <c r="J562" s="57">
        <v>0.0</v>
      </c>
      <c r="K562" s="51">
        <v>60395.87627197316</v>
      </c>
      <c r="L562" s="57">
        <v>-0.0035719632095244647</v>
      </c>
      <c r="M562" s="57">
        <v>1.0</v>
      </c>
      <c r="N562" s="59">
        <v>2.4047211503508414E-5</v>
      </c>
      <c r="O562" s="57">
        <v>-0.003964677874832789</v>
      </c>
      <c r="P562" s="51">
        <v>58.39805101008836</v>
      </c>
      <c r="Q562" s="32">
        <v>4999.658631785857</v>
      </c>
      <c r="R562" s="13">
        <v>5173.2336987002545</v>
      </c>
      <c r="S562" s="57">
        <v>-0.01236435562083185</v>
      </c>
      <c r="T562" s="53">
        <v>280235.69559610984</v>
      </c>
      <c r="U562" s="51">
        <v>60395.87627197316</v>
      </c>
      <c r="V562" s="51">
        <v>-237279.79854637288</v>
      </c>
    </row>
    <row r="563">
      <c r="A563" s="55">
        <v>44915.95996057871</v>
      </c>
      <c r="B563" s="56">
        <v>1.1458724463094363</v>
      </c>
      <c r="C563" s="57">
        <v>0.008871824791489069</v>
      </c>
      <c r="D563" s="58">
        <v>-0.793536496160462</v>
      </c>
      <c r="E563" s="62">
        <v>12.29</v>
      </c>
      <c r="F563" s="57">
        <v>0.00890440675683113</v>
      </c>
      <c r="G563" s="58">
        <v>-0.7895477710741257</v>
      </c>
      <c r="H563" s="51">
        <v>0.0</v>
      </c>
      <c r="I563" s="57">
        <v>0.0</v>
      </c>
      <c r="J563" s="57">
        <v>0.0</v>
      </c>
      <c r="K563" s="51">
        <v>61459.162830794674</v>
      </c>
      <c r="L563" s="57">
        <v>0.008871824791489069</v>
      </c>
      <c r="M563" s="57">
        <v>1.0</v>
      </c>
      <c r="N563" s="59">
        <v>-3.258196534206004E-5</v>
      </c>
      <c r="O563" s="57">
        <v>-0.003988725086336298</v>
      </c>
      <c r="P563" s="51">
        <v>58.39805101008836</v>
      </c>
      <c r="Q563" s="32">
        <v>5000.745551732683</v>
      </c>
      <c r="R563" s="13">
        <v>5173.2336987002545</v>
      </c>
      <c r="S563" s="57">
        <v>-0.012149644785326517</v>
      </c>
      <c r="T563" s="53">
        <v>280235.69559610984</v>
      </c>
      <c r="U563" s="51">
        <v>61459.162830794674</v>
      </c>
      <c r="V563" s="51">
        <v>-236216.51198755138</v>
      </c>
    </row>
    <row r="564">
      <c r="A564" s="55">
        <v>44914.959973425925</v>
      </c>
      <c r="B564" s="56">
        <v>1.0966338187166715</v>
      </c>
      <c r="C564" s="57">
        <v>-0.011904683745289857</v>
      </c>
      <c r="D564" s="58">
        <v>-0.802408320951951</v>
      </c>
      <c r="E564" s="62">
        <v>11.77</v>
      </c>
      <c r="F564" s="57">
        <v>-0.011986701403426503</v>
      </c>
      <c r="G564" s="58">
        <v>-0.7984521778309568</v>
      </c>
      <c r="H564" s="51">
        <v>0.0</v>
      </c>
      <c r="I564" s="57">
        <v>0.0</v>
      </c>
      <c r="J564" s="57">
        <v>0.0</v>
      </c>
      <c r="K564" s="51">
        <v>58818.23639911801</v>
      </c>
      <c r="L564" s="57">
        <v>-0.011904683745289857</v>
      </c>
      <c r="M564" s="57">
        <v>1.0</v>
      </c>
      <c r="N564" s="59">
        <v>8.201765813664608E-5</v>
      </c>
      <c r="O564" s="57">
        <v>-0.003956143120994238</v>
      </c>
      <c r="P564" s="51">
        <v>58.39805101008836</v>
      </c>
      <c r="Q564" s="32">
        <v>4997.301308336279</v>
      </c>
      <c r="R564" s="13">
        <v>5173.2336987002545</v>
      </c>
      <c r="S564" s="57">
        <v>-0.012830022746449673</v>
      </c>
      <c r="T564" s="53">
        <v>280235.69559610984</v>
      </c>
      <c r="U564" s="51">
        <v>58818.23639911801</v>
      </c>
      <c r="V564" s="51">
        <v>-238857.43841922804</v>
      </c>
    </row>
    <row r="565">
      <c r="A565" s="55">
        <v>44913.95997444444</v>
      </c>
      <c r="B565" s="56">
        <v>1.1627048135030305</v>
      </c>
      <c r="C565" s="57">
        <v>0.0013589176444330775</v>
      </c>
      <c r="D565" s="58">
        <v>-0.7905036372066612</v>
      </c>
      <c r="E565" s="62">
        <v>12.47</v>
      </c>
      <c r="F565" s="57">
        <v>0.0013699087318201908</v>
      </c>
      <c r="G565" s="58">
        <v>-0.7864654764275303</v>
      </c>
      <c r="H565" s="51">
        <v>0.0</v>
      </c>
      <c r="I565" s="57">
        <v>0.0</v>
      </c>
      <c r="J565" s="57">
        <v>0.0</v>
      </c>
      <c r="K565" s="51">
        <v>62361.97116649618</v>
      </c>
      <c r="L565" s="57">
        <v>0.0013589176444330775</v>
      </c>
      <c r="M565" s="57">
        <v>1.0</v>
      </c>
      <c r="N565" s="59">
        <v>-1.0991087387113296E-5</v>
      </c>
      <c r="O565" s="57">
        <v>-0.004038160779130884</v>
      </c>
      <c r="P565" s="51">
        <v>58.39805101008836</v>
      </c>
      <c r="Q565" s="32">
        <v>5000.959997313246</v>
      </c>
      <c r="R565" s="13">
        <v>5173.2336987002545</v>
      </c>
      <c r="S565" s="57">
        <v>-0.012107283073309435</v>
      </c>
      <c r="T565" s="53">
        <v>280235.69559610984</v>
      </c>
      <c r="U565" s="51">
        <v>62361.97116649618</v>
      </c>
      <c r="V565" s="51">
        <v>-235313.70365184988</v>
      </c>
    </row>
    <row r="566">
      <c r="A566" s="55">
        <v>44912.95995428241</v>
      </c>
      <c r="B566" s="56">
        <v>1.1551628205764273</v>
      </c>
      <c r="C566" s="57">
        <v>-0.0015305489110359893</v>
      </c>
      <c r="D566" s="58">
        <v>-0.7918625548510942</v>
      </c>
      <c r="E566" s="62">
        <v>12.39</v>
      </c>
      <c r="F566" s="57">
        <v>-0.0015411473232976869</v>
      </c>
      <c r="G566" s="58">
        <v>-0.7878353851593505</v>
      </c>
      <c r="H566" s="51">
        <v>0.0</v>
      </c>
      <c r="I566" s="57">
        <v>0.0</v>
      </c>
      <c r="J566" s="57">
        <v>0.0</v>
      </c>
      <c r="K566" s="51">
        <v>61957.454439667024</v>
      </c>
      <c r="L566" s="57">
        <v>-0.0015305489110359893</v>
      </c>
      <c r="M566" s="57">
        <v>1.0</v>
      </c>
      <c r="N566" s="59">
        <v>1.0598412261697554E-5</v>
      </c>
      <c r="O566" s="57">
        <v>-0.0040271696917437705</v>
      </c>
      <c r="P566" s="51">
        <v>58.39805101008836</v>
      </c>
      <c r="Q566" s="32">
        <v>5000.6016496906395</v>
      </c>
      <c r="R566" s="13">
        <v>5173.2336987002545</v>
      </c>
      <c r="S566" s="57">
        <v>-0.012178071283311392</v>
      </c>
      <c r="T566" s="53">
        <v>280235.69559610984</v>
      </c>
      <c r="U566" s="51">
        <v>61957.454439667024</v>
      </c>
      <c r="V566" s="51">
        <v>-235718.22037867902</v>
      </c>
    </row>
    <row r="567">
      <c r="A567" s="55">
        <v>44911.95996337963</v>
      </c>
      <c r="B567" s="56">
        <v>1.1636573670326764</v>
      </c>
      <c r="C567" s="57">
        <v>-0.029924003075303962</v>
      </c>
      <c r="D567" s="58">
        <v>-0.7903320059400583</v>
      </c>
      <c r="E567" s="62">
        <v>12.48</v>
      </c>
      <c r="F567" s="57">
        <v>-0.025857027313105796</v>
      </c>
      <c r="G567" s="58">
        <v>-0.7862942378360528</v>
      </c>
      <c r="H567" s="51">
        <v>0.0</v>
      </c>
      <c r="I567" s="57">
        <v>0.0</v>
      </c>
      <c r="J567" s="57">
        <v>0.0</v>
      </c>
      <c r="K567" s="51">
        <v>62413.061619602115</v>
      </c>
      <c r="L567" s="57">
        <v>-0.029924003075303962</v>
      </c>
      <c r="M567" s="57">
        <v>1.0</v>
      </c>
      <c r="N567" s="59">
        <v>-0.004066975762198166</v>
      </c>
      <c r="O567" s="57">
        <v>-0.004037768104005468</v>
      </c>
      <c r="P567" s="51">
        <v>58.39805101008836</v>
      </c>
      <c r="Q567" s="32">
        <v>5001.0466041347845</v>
      </c>
      <c r="R567" s="13">
        <v>5173.2336987002545</v>
      </c>
      <c r="S567" s="57">
        <v>-0.012090174708459536</v>
      </c>
      <c r="T567" s="53">
        <v>280235.69559610984</v>
      </c>
      <c r="U567" s="51">
        <v>62413.061619602115</v>
      </c>
      <c r="V567" s="51">
        <v>-235262.61319874393</v>
      </c>
    </row>
    <row r="568">
      <c r="A568" s="55">
        <v>44910.95997915509</v>
      </c>
      <c r="B568" s="56">
        <v>1.3297355841006135</v>
      </c>
      <c r="C568" s="57">
        <v>-0.003748788068777098</v>
      </c>
      <c r="D568" s="58">
        <v>-0.7604080028647543</v>
      </c>
      <c r="E568" s="62">
        <v>13.99</v>
      </c>
      <c r="F568" s="57">
        <v>-0.003767249012505469</v>
      </c>
      <c r="G568" s="58">
        <v>-0.760437210522947</v>
      </c>
      <c r="H568" s="51">
        <v>0.0</v>
      </c>
      <c r="I568" s="57">
        <v>0.0</v>
      </c>
      <c r="J568" s="57">
        <v>0.0</v>
      </c>
      <c r="K568" s="51">
        <v>71323.60921347504</v>
      </c>
      <c r="L568" s="57">
        <v>-0.003748788068777098</v>
      </c>
      <c r="M568" s="57">
        <v>1.0</v>
      </c>
      <c r="N568" s="59">
        <v>1.846094372837115E-5</v>
      </c>
      <c r="O568" s="57">
        <v>2.9207658192698105E-5</v>
      </c>
      <c r="P568" s="51">
        <v>58.39805101008836</v>
      </c>
      <c r="Q568" s="13">
        <v>5098.1850760168</v>
      </c>
      <c r="R568" s="13">
        <v>5173.2336987002545</v>
      </c>
      <c r="S568" s="57">
        <v>0.007057673491731226</v>
      </c>
      <c r="T568" s="53">
        <v>280235.69559610984</v>
      </c>
      <c r="U568" s="53">
        <v>71323.60921347504</v>
      </c>
      <c r="V568" s="53">
        <v>-226352.06560487102</v>
      </c>
    </row>
    <row r="569">
      <c r="A569" s="55">
        <v>44909.959992488424</v>
      </c>
      <c r="B569" s="56">
        <v>1.3505413578823267</v>
      </c>
      <c r="C569" s="57">
        <v>0.006632249506057675</v>
      </c>
      <c r="D569" s="58">
        <v>-0.7566592147959772</v>
      </c>
      <c r="E569" s="62">
        <v>14.21</v>
      </c>
      <c r="F569" s="57">
        <v>0.006507066476145851</v>
      </c>
      <c r="G569" s="58">
        <v>-0.7566699615104415</v>
      </c>
      <c r="H569" s="51">
        <v>0.0</v>
      </c>
      <c r="I569" s="57">
        <v>0.0</v>
      </c>
      <c r="J569" s="57">
        <v>0.0</v>
      </c>
      <c r="K569" s="51">
        <v>72436.6324464337</v>
      </c>
      <c r="L569" s="57">
        <v>0.006632249506057675</v>
      </c>
      <c r="M569" s="57">
        <v>1.0</v>
      </c>
      <c r="N569" s="59">
        <v>1.2518302991182395E-4</v>
      </c>
      <c r="O569" s="57">
        <v>1.0746714464326956E-5</v>
      </c>
      <c r="P569" s="51">
        <v>58.39805101008836</v>
      </c>
      <c r="Q569" s="32">
        <v>5097.581452950999</v>
      </c>
      <c r="R569" s="13">
        <v>5173.2336987002545</v>
      </c>
      <c r="S569" s="57">
        <v>0.006979378762552547</v>
      </c>
      <c r="T569" s="53">
        <v>280235.69559610984</v>
      </c>
      <c r="U569" s="51">
        <v>72436.6324464337</v>
      </c>
      <c r="V569" s="51">
        <v>-225239.04237191234</v>
      </c>
    </row>
    <row r="570">
      <c r="A570" s="55">
        <v>44908.9599771412</v>
      </c>
      <c r="B570" s="56">
        <v>1.3137323731237065</v>
      </c>
      <c r="C570" s="57">
        <v>0.008744644231081011</v>
      </c>
      <c r="D570" s="58">
        <v>-0.7632914643020349</v>
      </c>
      <c r="E570" s="62">
        <v>13.83</v>
      </c>
      <c r="F570" s="57">
        <v>0.008733168165353633</v>
      </c>
      <c r="G570" s="58">
        <v>-0.7631770279865874</v>
      </c>
      <c r="H570" s="51">
        <v>0.0</v>
      </c>
      <c r="I570" s="57">
        <v>0.0</v>
      </c>
      <c r="J570" s="57">
        <v>0.0</v>
      </c>
      <c r="K570" s="51">
        <v>70462.37309915433</v>
      </c>
      <c r="L570" s="57">
        <v>0.008744644231081011</v>
      </c>
      <c r="M570" s="57">
        <v>1.0</v>
      </c>
      <c r="N570" s="59">
        <v>1.1476065727378248E-5</v>
      </c>
      <c r="O570" s="57">
        <v>-1.14436315447497E-4</v>
      </c>
      <c r="P570" s="51">
        <v>58.39805101008836</v>
      </c>
      <c r="Q570" s="32">
        <v>5094.893210351</v>
      </c>
      <c r="R570" s="13">
        <v>5173.2336987002545</v>
      </c>
      <c r="S570" s="57">
        <v>0.006448341664215802</v>
      </c>
      <c r="T570" s="53">
        <v>280235.69559610984</v>
      </c>
      <c r="U570" s="51">
        <v>70462.37309915433</v>
      </c>
      <c r="V570" s="51">
        <v>-227213.30171919172</v>
      </c>
    </row>
    <row r="571">
      <c r="A571" s="55">
        <v>44907.959978865736</v>
      </c>
      <c r="B571" s="56">
        <v>1.2651995976412067</v>
      </c>
      <c r="C571" s="57">
        <v>-0.00323337414032443</v>
      </c>
      <c r="D571" s="58">
        <v>-0.7720361085331159</v>
      </c>
      <c r="E571" s="62">
        <v>13.32</v>
      </c>
      <c r="F571" s="57">
        <v>-0.003253533238072981</v>
      </c>
      <c r="G571" s="58">
        <v>-0.771910196151941</v>
      </c>
      <c r="H571" s="51">
        <v>0.0</v>
      </c>
      <c r="I571" s="57">
        <v>0.0</v>
      </c>
      <c r="J571" s="57">
        <v>0.0</v>
      </c>
      <c r="K571" s="51">
        <v>67859.30522662093</v>
      </c>
      <c r="L571" s="57">
        <v>-0.00323337414032443</v>
      </c>
      <c r="M571" s="57">
        <v>1.0</v>
      </c>
      <c r="N571" s="59">
        <v>2.015909774855107E-5</v>
      </c>
      <c r="O571" s="57">
        <v>-1.2591238117487524E-4</v>
      </c>
      <c r="P571" s="51">
        <v>58.39805101008836</v>
      </c>
      <c r="Q571" s="32">
        <v>5094.542434431</v>
      </c>
      <c r="R571" s="13">
        <v>5173.2336987002545</v>
      </c>
      <c r="S571" s="57">
        <v>0.006379049173008775</v>
      </c>
      <c r="T571" s="53">
        <v>280235.69559610984</v>
      </c>
      <c r="U571" s="51">
        <v>67859.30522662093</v>
      </c>
      <c r="V571" s="51">
        <v>-229816.36959172512</v>
      </c>
    </row>
    <row r="572">
      <c r="A572" s="55">
        <v>44906.959957314815</v>
      </c>
      <c r="B572" s="56">
        <v>1.2831448241200074</v>
      </c>
      <c r="C572" s="57">
        <v>-0.001701283929037234</v>
      </c>
      <c r="D572" s="58">
        <v>-0.7688027343927915</v>
      </c>
      <c r="E572" s="62">
        <v>13.51</v>
      </c>
      <c r="F572" s="57">
        <v>-0.001712385914775183</v>
      </c>
      <c r="G572" s="58">
        <v>-0.768656662913868</v>
      </c>
      <c r="H572" s="51">
        <v>0.0</v>
      </c>
      <c r="I572" s="57">
        <v>0.0</v>
      </c>
      <c r="J572" s="57">
        <v>0.0</v>
      </c>
      <c r="K572" s="51">
        <v>68821.80205578219</v>
      </c>
      <c r="L572" s="57">
        <v>-0.001701283929037234</v>
      </c>
      <c r="M572" s="57">
        <v>1.0</v>
      </c>
      <c r="N572" s="59">
        <v>1.1101985737949072E-5</v>
      </c>
      <c r="O572" s="57">
        <v>-1.460714789234263E-4</v>
      </c>
      <c r="P572" s="51">
        <v>58.39805101008836</v>
      </c>
      <c r="Q572" s="32">
        <v>5094.137827963153</v>
      </c>
      <c r="R572" s="13">
        <v>5173.2336987002545</v>
      </c>
      <c r="S572" s="57">
        <v>0.006299122962236646</v>
      </c>
      <c r="T572" s="53">
        <v>280235.69559610984</v>
      </c>
      <c r="U572" s="51">
        <v>68821.80205578219</v>
      </c>
      <c r="V572" s="51">
        <v>-228853.87276256387</v>
      </c>
    </row>
    <row r="573">
      <c r="A573" s="55">
        <v>44905.959963229165</v>
      </c>
      <c r="B573" s="48">
        <v>1.292586949926164</v>
      </c>
      <c r="C573" s="7">
        <v>0.0010352478132585885</v>
      </c>
      <c r="D573" s="49">
        <v>-0.7671014504637542</v>
      </c>
      <c r="E573" s="62">
        <v>13.61</v>
      </c>
      <c r="F573" s="7">
        <v>0.0010274315488650876</v>
      </c>
      <c r="G573" s="49">
        <v>-0.7669442769990928</v>
      </c>
      <c r="H573" s="53">
        <v>0.0</v>
      </c>
      <c r="I573" s="7">
        <v>0.0</v>
      </c>
      <c r="J573" s="7">
        <v>0.0</v>
      </c>
      <c r="K573" s="53">
        <v>69328.23289741595</v>
      </c>
      <c r="L573" s="7">
        <v>0.0010352478132585885</v>
      </c>
      <c r="M573" s="7">
        <v>1.0</v>
      </c>
      <c r="N573" s="52">
        <v>7.816264393500916E-6</v>
      </c>
      <c r="O573" s="7">
        <v>-1.5717346466137538E-4</v>
      </c>
      <c r="P573" s="53">
        <v>58.39805101008836</v>
      </c>
      <c r="Q573" s="13">
        <v>5093.918655210577</v>
      </c>
      <c r="R573" s="13">
        <v>5173.2336987002545</v>
      </c>
      <c r="S573" s="7">
        <v>0.00625582744174959</v>
      </c>
      <c r="T573" s="53">
        <v>280235.69559610984</v>
      </c>
      <c r="U573" s="53">
        <v>69328.23289741595</v>
      </c>
      <c r="V573" s="53">
        <v>-228347.4419209301</v>
      </c>
    </row>
    <row r="574">
      <c r="A574" s="55">
        <v>44904.95997107639</v>
      </c>
      <c r="B574" s="48">
        <v>1.2868413245625792</v>
      </c>
      <c r="C574" s="7">
        <v>-0.002302397216704888</v>
      </c>
      <c r="D574" s="49">
        <v>-0.7681366982770128</v>
      </c>
      <c r="E574" s="62">
        <v>13.55</v>
      </c>
      <c r="F574" s="7">
        <v>-0.002054863097730286</v>
      </c>
      <c r="G574" s="49">
        <v>-0.7679717085479579</v>
      </c>
      <c r="H574" s="53">
        <v>0.0</v>
      </c>
      <c r="I574" s="7">
        <v>0.0</v>
      </c>
      <c r="J574" s="7">
        <v>0.0</v>
      </c>
      <c r="K574" s="53">
        <v>69020.06480600001</v>
      </c>
      <c r="L574" s="7">
        <v>-0.002302397216704888</v>
      </c>
      <c r="M574" s="7">
        <v>1.0</v>
      </c>
      <c r="N574" s="52">
        <v>-2.4753411897460165E-4</v>
      </c>
      <c r="O574" s="7">
        <v>-1.649897290548763E-4</v>
      </c>
      <c r="P574" s="53">
        <v>58.39805101008836</v>
      </c>
      <c r="Q574" s="13">
        <v>5093.731720000001</v>
      </c>
      <c r="R574" s="13">
        <v>5173.2336987002545</v>
      </c>
      <c r="S574" s="7">
        <v>0.006218900145157667</v>
      </c>
      <c r="T574" s="53">
        <v>280235.69559610984</v>
      </c>
      <c r="U574" s="53">
        <v>69020.06480600001</v>
      </c>
      <c r="V574" s="53">
        <v>-228655.61001234603</v>
      </c>
    </row>
    <row r="575">
      <c r="A575" s="55">
        <v>44903.95997834491</v>
      </c>
      <c r="B575" s="56">
        <v>1.299619629115291</v>
      </c>
      <c r="C575" s="57">
        <v>0.0013703918006712223</v>
      </c>
      <c r="D575" s="58">
        <v>-0.7658343010603079</v>
      </c>
      <c r="E575" s="62">
        <v>13.67</v>
      </c>
      <c r="F575" s="57">
        <v>0.0013699087318201908</v>
      </c>
      <c r="G575" s="58">
        <v>-0.7659168454502276</v>
      </c>
      <c r="H575" s="51">
        <v>0.0</v>
      </c>
      <c r="I575" s="57">
        <v>0.0</v>
      </c>
      <c r="J575" s="57">
        <v>0.0</v>
      </c>
      <c r="K575" s="51">
        <v>69705.43245118251</v>
      </c>
      <c r="L575" s="57">
        <v>0.0013703918006712223</v>
      </c>
      <c r="M575" s="57">
        <v>1.0</v>
      </c>
      <c r="N575" s="59">
        <v>4.83068851031554E-7</v>
      </c>
      <c r="O575" s="57">
        <v>8.254438991972535E-5</v>
      </c>
      <c r="P575" s="51">
        <v>58.39805101008836</v>
      </c>
      <c r="Q575" s="32">
        <v>5099.153800379116</v>
      </c>
      <c r="R575" s="13">
        <v>5173.2336987002545</v>
      </c>
      <c r="S575" s="57">
        <v>0.007289981241586455</v>
      </c>
      <c r="T575" s="53">
        <v>280235.69559610984</v>
      </c>
      <c r="U575" s="51">
        <v>69705.43245118251</v>
      </c>
      <c r="V575" s="51">
        <v>-227970.24236716353</v>
      </c>
    </row>
    <row r="576">
      <c r="A576" s="55">
        <v>44902.95997491898</v>
      </c>
      <c r="B576" s="56">
        <v>1.2920139546215659</v>
      </c>
      <c r="C576" s="57">
        <v>-0.009078845679446723</v>
      </c>
      <c r="D576" s="58">
        <v>-0.7672046928609791</v>
      </c>
      <c r="E576" s="62">
        <v>13.59</v>
      </c>
      <c r="F576" s="57">
        <v>-0.009075645348308625</v>
      </c>
      <c r="G576" s="58">
        <v>-0.7672867541820478</v>
      </c>
      <c r="H576" s="51">
        <v>0.0</v>
      </c>
      <c r="I576" s="57">
        <v>0.0</v>
      </c>
      <c r="J576" s="57">
        <v>0.0</v>
      </c>
      <c r="K576" s="51">
        <v>69297.50014715217</v>
      </c>
      <c r="L576" s="57">
        <v>-0.009078845679446723</v>
      </c>
      <c r="M576" s="57">
        <v>1.0</v>
      </c>
      <c r="N576" s="59">
        <v>-3.2003311380979227E-6</v>
      </c>
      <c r="O576" s="57">
        <v>8.20613210686938E-5</v>
      </c>
      <c r="P576" s="51">
        <v>58.39805101008836</v>
      </c>
      <c r="Q576" s="32">
        <v>5099.153800379115</v>
      </c>
      <c r="R576" s="13">
        <v>5099.834508491525</v>
      </c>
      <c r="S576" s="57">
        <v>0.007289981241586275</v>
      </c>
      <c r="T576" s="53">
        <v>280235.69559610984</v>
      </c>
      <c r="U576" s="51">
        <v>69297.50014715217</v>
      </c>
      <c r="V576" s="51">
        <v>-228378.17467119388</v>
      </c>
    </row>
    <row r="577">
      <c r="A577" s="55">
        <v>44901.959971828706</v>
      </c>
      <c r="B577" s="56">
        <v>1.3424015481424953</v>
      </c>
      <c r="C577" s="57">
        <v>0.004796371302349112</v>
      </c>
      <c r="D577" s="58">
        <v>-0.7581258471815324</v>
      </c>
      <c r="E577" s="62">
        <v>14.12</v>
      </c>
      <c r="F577" s="57">
        <v>0.004794680561370668</v>
      </c>
      <c r="G577" s="58">
        <v>-0.7582111088337392</v>
      </c>
      <c r="H577" s="51">
        <v>0.0</v>
      </c>
      <c r="I577" s="57">
        <v>0.0</v>
      </c>
      <c r="J577" s="57">
        <v>0.0</v>
      </c>
      <c r="K577" s="51">
        <v>72000.0516613531</v>
      </c>
      <c r="L577" s="57">
        <v>0.004796371302349112</v>
      </c>
      <c r="M577" s="57">
        <v>1.0</v>
      </c>
      <c r="N577" s="59">
        <v>1.6907409784439054E-6</v>
      </c>
      <c r="O577" s="57">
        <v>8.526165220679172E-5</v>
      </c>
      <c r="P577" s="51">
        <v>58.39805101008836</v>
      </c>
      <c r="Q577" s="32">
        <v>5099.153800379116</v>
      </c>
      <c r="R577" s="13">
        <v>5099.834508491525</v>
      </c>
      <c r="S577" s="57">
        <v>0.007289981241586455</v>
      </c>
      <c r="T577" s="53">
        <v>280235.69559610984</v>
      </c>
      <c r="U577" s="51">
        <v>72000.0516613531</v>
      </c>
      <c r="V577" s="51">
        <v>-225675.62315699295</v>
      </c>
    </row>
    <row r="578">
      <c r="A578" s="55">
        <v>44900.95997737268</v>
      </c>
      <c r="B578" s="56">
        <v>1.3157816874144572</v>
      </c>
      <c r="C578" s="57">
        <v>0.002398195083868515</v>
      </c>
      <c r="D578" s="58">
        <v>-0.7629222184838815</v>
      </c>
      <c r="E578" s="62">
        <v>13.84</v>
      </c>
      <c r="F578" s="57">
        <v>0.0023973402806852784</v>
      </c>
      <c r="G578" s="58">
        <v>-0.7630057893951099</v>
      </c>
      <c r="H578" s="51">
        <v>0.0</v>
      </c>
      <c r="I578" s="57">
        <v>0.0</v>
      </c>
      <c r="J578" s="57">
        <v>0.0</v>
      </c>
      <c r="K578" s="51">
        <v>70572.28859724695</v>
      </c>
      <c r="L578" s="57">
        <v>0.002398195083868515</v>
      </c>
      <c r="M578" s="57">
        <v>1.0</v>
      </c>
      <c r="N578" s="59">
        <v>8.548031832367187E-7</v>
      </c>
      <c r="O578" s="57">
        <v>8.357091122834781E-5</v>
      </c>
      <c r="P578" s="51">
        <v>58.39805101008836</v>
      </c>
      <c r="Q578" s="32">
        <v>5099.153800379115</v>
      </c>
      <c r="R578" s="13">
        <v>5099.834508491525</v>
      </c>
      <c r="S578" s="57">
        <v>0.007289981241586275</v>
      </c>
      <c r="T578" s="53">
        <v>280235.69559610984</v>
      </c>
      <c r="U578" s="51">
        <v>70572.28859724695</v>
      </c>
      <c r="V578" s="51">
        <v>-227103.3862210991</v>
      </c>
    </row>
    <row r="579">
      <c r="A579" s="55">
        <v>44899.95996523148</v>
      </c>
      <c r="B579" s="56">
        <v>1.302471704698987</v>
      </c>
      <c r="C579" s="57">
        <v>0.006338061823352725</v>
      </c>
      <c r="D579" s="58">
        <v>-0.76532041356775</v>
      </c>
      <c r="E579" s="62">
        <v>13.7</v>
      </c>
      <c r="F579" s="57">
        <v>0.006335827884668244</v>
      </c>
      <c r="G579" s="58">
        <v>-0.7654031296757952</v>
      </c>
      <c r="H579" s="51">
        <v>0.0</v>
      </c>
      <c r="I579" s="57">
        <v>0.0</v>
      </c>
      <c r="J579" s="57">
        <v>0.0</v>
      </c>
      <c r="K579" s="51">
        <v>69858.40425731037</v>
      </c>
      <c r="L579" s="57">
        <v>0.006338061823352725</v>
      </c>
      <c r="M579" s="57">
        <v>1.0</v>
      </c>
      <c r="N579" s="59">
        <v>2.233938684481629E-6</v>
      </c>
      <c r="O579" s="57">
        <v>8.271610804511109E-5</v>
      </c>
      <c r="P579" s="51">
        <v>58.39805101008836</v>
      </c>
      <c r="Q579" s="32">
        <v>5099.153595424114</v>
      </c>
      <c r="R579" s="13">
        <v>5099.834508491525</v>
      </c>
      <c r="S579" s="57">
        <v>0.007289940754649327</v>
      </c>
      <c r="T579" s="53">
        <v>280235.69559610984</v>
      </c>
      <c r="U579" s="51">
        <v>69858.40425731037</v>
      </c>
      <c r="V579" s="51">
        <v>-227817.27056103566</v>
      </c>
    </row>
    <row r="580">
      <c r="A580" s="55">
        <v>44898.95997094907</v>
      </c>
      <c r="B580" s="56">
        <v>1.2672954615793794</v>
      </c>
      <c r="C580" s="57">
        <v>-0.008393649441737483</v>
      </c>
      <c r="D580" s="58">
        <v>-0.7716584753911028</v>
      </c>
      <c r="E580" s="62">
        <v>13.33</v>
      </c>
      <c r="F580" s="57">
        <v>-0.00839069098239853</v>
      </c>
      <c r="G580" s="58">
        <v>-0.7717389575604634</v>
      </c>
      <c r="H580" s="51">
        <v>0.0</v>
      </c>
      <c r="I580" s="57">
        <v>0.0</v>
      </c>
      <c r="J580" s="57">
        <v>0.0</v>
      </c>
      <c r="K580" s="51">
        <v>67971.71742700344</v>
      </c>
      <c r="L580" s="57">
        <v>-0.008393649441737483</v>
      </c>
      <c r="M580" s="57">
        <v>1.0</v>
      </c>
      <c r="N580" s="59">
        <v>-2.958459338953112E-6</v>
      </c>
      <c r="O580" s="57">
        <v>8.048216936062946E-5</v>
      </c>
      <c r="P580" s="51">
        <v>58.39805101008836</v>
      </c>
      <c r="Q580" s="32">
        <v>5099.153595424114</v>
      </c>
      <c r="R580" s="13">
        <v>5099.834508491525</v>
      </c>
      <c r="S580" s="57">
        <v>0.007289940754649327</v>
      </c>
      <c r="T580" s="53">
        <v>280235.69559610984</v>
      </c>
      <c r="U580" s="51">
        <v>67971.71742700344</v>
      </c>
      <c r="V580" s="51">
        <v>-229703.9573913426</v>
      </c>
    </row>
    <row r="581">
      <c r="A581" s="55">
        <v>44897.959977094906</v>
      </c>
      <c r="B581" s="56">
        <v>1.3138802159810226</v>
      </c>
      <c r="C581" s="57">
        <v>0.006448740405136544</v>
      </c>
      <c r="D581" s="58">
        <v>-0.7632648259493653</v>
      </c>
      <c r="E581" s="62">
        <v>13.82</v>
      </c>
      <c r="F581" s="57">
        <v>0.004794680561370557</v>
      </c>
      <c r="G581" s="58">
        <v>-0.7633482665780649</v>
      </c>
      <c r="H581" s="51">
        <v>0.0</v>
      </c>
      <c r="I581" s="57">
        <v>0.0</v>
      </c>
      <c r="J581" s="57">
        <v>0.0</v>
      </c>
      <c r="K581" s="51">
        <v>70470.30268876128</v>
      </c>
      <c r="L581" s="57">
        <v>0.006448740405136544</v>
      </c>
      <c r="M581" s="57">
        <v>1.0</v>
      </c>
      <c r="N581" s="59">
        <v>0.001654059843765987</v>
      </c>
      <c r="O581" s="57">
        <v>8.344062869958258E-5</v>
      </c>
      <c r="P581" s="51">
        <v>58.39805101008836</v>
      </c>
      <c r="Q581" s="32">
        <v>5099.153595424115</v>
      </c>
      <c r="R581" s="13">
        <v>5099.834508491525</v>
      </c>
      <c r="S581" s="57">
        <v>0.007289940754649507</v>
      </c>
      <c r="T581" s="53">
        <v>280235.69559610984</v>
      </c>
      <c r="U581" s="51">
        <v>70470.30268876128</v>
      </c>
      <c r="V581" s="51">
        <v>-227205.37212958478</v>
      </c>
    </row>
    <row r="582">
      <c r="A582" s="55">
        <v>44896.959963263886</v>
      </c>
      <c r="B582" s="56">
        <v>1.2780897067325145</v>
      </c>
      <c r="C582" s="57">
        <v>-0.005442515418505045</v>
      </c>
      <c r="D582" s="58">
        <v>-0.7697135663545018</v>
      </c>
      <c r="E582" s="62">
        <v>13.54</v>
      </c>
      <c r="F582" s="57">
        <v>-0.005479634927280652</v>
      </c>
      <c r="G582" s="58">
        <v>-0.7681429471394354</v>
      </c>
      <c r="H582" s="51">
        <v>0.0</v>
      </c>
      <c r="I582" s="57">
        <v>0.0</v>
      </c>
      <c r="J582" s="57">
        <v>0.0</v>
      </c>
      <c r="K582" s="51">
        <v>68550.66953693393</v>
      </c>
      <c r="L582" s="57">
        <v>-0.005442515418505045</v>
      </c>
      <c r="M582" s="57">
        <v>1.0</v>
      </c>
      <c r="N582" s="59">
        <v>3.71195087756071E-5</v>
      </c>
      <c r="O582" s="57">
        <v>-0.0015706192150664045</v>
      </c>
      <c r="P582" s="51">
        <v>58.39805101008836</v>
      </c>
      <c r="Q582" s="32">
        <v>5062.826405977396</v>
      </c>
      <c r="R582" s="13">
        <v>5099.834508491525</v>
      </c>
      <c r="S582" s="57">
        <v>1.1384538493828905E-4</v>
      </c>
      <c r="T582" s="53">
        <v>280235.69559610984</v>
      </c>
      <c r="U582" s="51">
        <v>68550.66953693393</v>
      </c>
      <c r="V582" s="51">
        <v>-229125.0052814121</v>
      </c>
    </row>
    <row r="583">
      <c r="A583" s="55">
        <v>44895.959990601856</v>
      </c>
      <c r="B583" s="56">
        <v>1.308295667305218</v>
      </c>
      <c r="C583" s="57">
        <v>0.00782361546394672</v>
      </c>
      <c r="D583" s="58">
        <v>-0.7642710509359968</v>
      </c>
      <c r="E583" s="62">
        <v>13.86</v>
      </c>
      <c r="F583" s="57">
        <v>0.007876975207966042</v>
      </c>
      <c r="G583" s="58">
        <v>-0.7626633122121548</v>
      </c>
      <c r="H583" s="51">
        <v>0.0</v>
      </c>
      <c r="I583" s="57">
        <v>0.0</v>
      </c>
      <c r="J583" s="57">
        <v>0.0</v>
      </c>
      <c r="K583" s="51">
        <v>70170.77398684669</v>
      </c>
      <c r="L583" s="57">
        <v>0.00782361546394672</v>
      </c>
      <c r="M583" s="57">
        <v>1.0</v>
      </c>
      <c r="N583" s="59">
        <v>-5.33597440193212E-5</v>
      </c>
      <c r="O583" s="57">
        <v>-0.0016077387238420116</v>
      </c>
      <c r="P583" s="51">
        <v>58.39805101008836</v>
      </c>
      <c r="Q583" s="32">
        <v>5062.826405977395</v>
      </c>
      <c r="R583" s="13">
        <v>5099.834508491525</v>
      </c>
      <c r="S583" s="57">
        <v>1.1384538493810939E-4</v>
      </c>
      <c r="T583" s="53">
        <v>280235.69559610984</v>
      </c>
      <c r="U583" s="51">
        <v>70170.77398684669</v>
      </c>
      <c r="V583" s="51">
        <v>-227504.90083149937</v>
      </c>
    </row>
    <row r="584">
      <c r="A584" s="55">
        <v>44894.95996732639</v>
      </c>
      <c r="B584" s="56">
        <v>1.2648746014803134</v>
      </c>
      <c r="C584" s="57">
        <v>3.401572143284515E-4</v>
      </c>
      <c r="D584" s="58">
        <v>-0.7720946663999435</v>
      </c>
      <c r="E584" s="62">
        <v>13.4</v>
      </c>
      <c r="F584" s="57">
        <v>3.424771829549922E-4</v>
      </c>
      <c r="G584" s="58">
        <v>-0.7705402874201208</v>
      </c>
      <c r="H584" s="51">
        <v>0.0</v>
      </c>
      <c r="I584" s="57">
        <v>0.0</v>
      </c>
      <c r="J584" s="57">
        <v>0.0</v>
      </c>
      <c r="K584" s="51">
        <v>67841.87397409709</v>
      </c>
      <c r="L584" s="57">
        <v>3.401572143284515E-4</v>
      </c>
      <c r="M584" s="57">
        <v>1.0</v>
      </c>
      <c r="N584" s="59">
        <v>-2.3199686265407138E-6</v>
      </c>
      <c r="O584" s="57">
        <v>-0.0015543789798226904</v>
      </c>
      <c r="P584" s="51">
        <v>58.39805101008836</v>
      </c>
      <c r="Q584" s="32">
        <v>5062.826415977394</v>
      </c>
      <c r="R584" s="13">
        <v>5098.860075777839</v>
      </c>
      <c r="S584" s="57">
        <v>1.1384736034421642E-4</v>
      </c>
      <c r="T584" s="53">
        <v>280235.69559610984</v>
      </c>
      <c r="U584" s="51">
        <v>67841.87397409709</v>
      </c>
      <c r="V584" s="51">
        <v>-229833.80084424897</v>
      </c>
    </row>
    <row r="585">
      <c r="A585" s="55">
        <v>44893.95998644676</v>
      </c>
      <c r="B585" s="56">
        <v>1.2629867289407903</v>
      </c>
      <c r="C585" s="57">
        <v>-0.017518096537914807</v>
      </c>
      <c r="D585" s="58">
        <v>-0.772434823614272</v>
      </c>
      <c r="E585" s="62">
        <v>13.38</v>
      </c>
      <c r="F585" s="57">
        <v>-0.017637574922184762</v>
      </c>
      <c r="G585" s="58">
        <v>-0.7708827646030758</v>
      </c>
      <c r="H585" s="51">
        <v>0.0</v>
      </c>
      <c r="I585" s="57">
        <v>0.0</v>
      </c>
      <c r="J585" s="57">
        <v>0.0</v>
      </c>
      <c r="K585" s="51">
        <v>67740.61744577753</v>
      </c>
      <c r="L585" s="57">
        <v>-0.017518096537914807</v>
      </c>
      <c r="M585" s="57">
        <v>1.0</v>
      </c>
      <c r="N585" s="59">
        <v>1.1947838426995538E-4</v>
      </c>
      <c r="O585" s="57">
        <v>-0.0015520590111961496</v>
      </c>
      <c r="P585" s="51">
        <v>58.39805101008836</v>
      </c>
      <c r="Q585" s="32">
        <v>5062.8264159773935</v>
      </c>
      <c r="R585" s="13">
        <v>5098.860075777839</v>
      </c>
      <c r="S585" s="57">
        <v>1.1384736034403675E-4</v>
      </c>
      <c r="T585" s="53">
        <v>280235.69559610984</v>
      </c>
      <c r="U585" s="51">
        <v>67740.61744577753</v>
      </c>
      <c r="V585" s="51">
        <v>-229935.05737256852</v>
      </c>
    </row>
    <row r="586">
      <c r="A586" s="55">
        <v>44892.95996810185</v>
      </c>
      <c r="B586" s="56">
        <v>1.3602121647262175</v>
      </c>
      <c r="C586" s="57">
        <v>0.005612594036419338</v>
      </c>
      <c r="D586" s="58">
        <v>-0.7549167270763572</v>
      </c>
      <c r="E586" s="62">
        <v>14.41</v>
      </c>
      <c r="F586" s="57">
        <v>0.005650873518758259</v>
      </c>
      <c r="G586" s="58">
        <v>-0.753245189680891</v>
      </c>
      <c r="H586" s="51">
        <v>0.0</v>
      </c>
      <c r="I586" s="57">
        <v>0.0</v>
      </c>
      <c r="J586" s="57">
        <v>0.0</v>
      </c>
      <c r="K586" s="51">
        <v>72955.32865423425</v>
      </c>
      <c r="L586" s="57">
        <v>0.005612594036419338</v>
      </c>
      <c r="M586" s="57">
        <v>1.0</v>
      </c>
      <c r="N586" s="59">
        <v>-3.827948233892098E-5</v>
      </c>
      <c r="O586" s="57">
        <v>-0.001671537395466105</v>
      </c>
      <c r="P586" s="51">
        <v>58.39805101008836</v>
      </c>
      <c r="Q586" s="32">
        <v>5062.826415977394</v>
      </c>
      <c r="R586" s="13">
        <v>5098.860075777839</v>
      </c>
      <c r="S586" s="57">
        <v>1.1384736034421642E-4</v>
      </c>
      <c r="T586" s="53">
        <v>280235.69559610984</v>
      </c>
      <c r="U586" s="51">
        <v>72955.32865423425</v>
      </c>
      <c r="V586" s="51">
        <v>-224720.3461641118</v>
      </c>
    </row>
    <row r="587">
      <c r="A587" s="55">
        <v>44891.95995497685</v>
      </c>
      <c r="B587" s="56">
        <v>1.3290622678240906</v>
      </c>
      <c r="C587" s="57">
        <v>-0.001530804776586625</v>
      </c>
      <c r="D587" s="58">
        <v>-0.7605293211127765</v>
      </c>
      <c r="E587" s="62">
        <v>14.08</v>
      </c>
      <c r="F587" s="57">
        <v>-0.0015411473232976869</v>
      </c>
      <c r="G587" s="58">
        <v>-0.7588960631996493</v>
      </c>
      <c r="H587" s="51">
        <v>0.0</v>
      </c>
      <c r="I587" s="57">
        <v>0.0</v>
      </c>
      <c r="J587" s="57">
        <v>0.0</v>
      </c>
      <c r="K587" s="51">
        <v>71284.59593696172</v>
      </c>
      <c r="L587" s="57">
        <v>-0.001530804776586625</v>
      </c>
      <c r="M587" s="57">
        <v>1.0</v>
      </c>
      <c r="N587" s="59">
        <v>1.0342546711061829E-5</v>
      </c>
      <c r="O587" s="57">
        <v>-0.001633257913127184</v>
      </c>
      <c r="P587" s="51">
        <v>58.39805101008836</v>
      </c>
      <c r="Q587" s="32">
        <v>5062.826415977394</v>
      </c>
      <c r="R587" s="13">
        <v>5098.860075777839</v>
      </c>
      <c r="S587" s="57">
        <v>1.1384736034421642E-4</v>
      </c>
      <c r="T587" s="53">
        <v>280235.69559610984</v>
      </c>
      <c r="U587" s="51">
        <v>71284.59593696172</v>
      </c>
      <c r="V587" s="51">
        <v>-226391.07888138434</v>
      </c>
    </row>
    <row r="588">
      <c r="A588" s="55">
        <v>44890.95996299769</v>
      </c>
      <c r="B588" s="56">
        <v>1.3375582343341461</v>
      </c>
      <c r="C588" s="57">
        <v>-0.007477338735579764</v>
      </c>
      <c r="D588" s="58">
        <v>-0.7589985163361899</v>
      </c>
      <c r="E588" s="62">
        <v>14.17</v>
      </c>
      <c r="F588" s="57">
        <v>-0.007534498025010938</v>
      </c>
      <c r="G588" s="58">
        <v>-0.7573549158763516</v>
      </c>
      <c r="H588" s="51">
        <v>0.0</v>
      </c>
      <c r="I588" s="57">
        <v>0.0</v>
      </c>
      <c r="J588" s="57">
        <v>0.0</v>
      </c>
      <c r="K588" s="51">
        <v>71740.27928184728</v>
      </c>
      <c r="L588" s="57">
        <v>-0.007477338735579764</v>
      </c>
      <c r="M588" s="57">
        <v>1.0</v>
      </c>
      <c r="N588" s="59">
        <v>5.715928943117454E-5</v>
      </c>
      <c r="O588" s="57">
        <v>-0.0016436004598382459</v>
      </c>
      <c r="P588" s="51">
        <v>58.39805101008836</v>
      </c>
      <c r="Q588" s="32">
        <v>5062.828460257395</v>
      </c>
      <c r="R588" s="13">
        <v>5098.860075777839</v>
      </c>
      <c r="S588" s="57">
        <v>1.1425118867416828E-4</v>
      </c>
      <c r="T588" s="53">
        <v>280235.69559610984</v>
      </c>
      <c r="U588" s="51">
        <v>71740.27928184728</v>
      </c>
      <c r="V588" s="51">
        <v>-225935.39553649875</v>
      </c>
    </row>
    <row r="589">
      <c r="A589" s="55">
        <v>44889.95996554398</v>
      </c>
      <c r="B589" s="56">
        <v>1.3790574643166138</v>
      </c>
      <c r="C589" s="57">
        <v>0.007832366838416482</v>
      </c>
      <c r="D589" s="58">
        <v>-0.7515211776006101</v>
      </c>
      <c r="E589" s="62">
        <v>14.61</v>
      </c>
      <c r="F589" s="57">
        <v>0.00787697520796593</v>
      </c>
      <c r="G589" s="58">
        <v>-0.7498204178513407</v>
      </c>
      <c r="H589" s="51">
        <v>0.0</v>
      </c>
      <c r="I589" s="57">
        <v>0.0</v>
      </c>
      <c r="J589" s="57">
        <v>0.0</v>
      </c>
      <c r="K589" s="51">
        <v>73966.10113580634</v>
      </c>
      <c r="L589" s="57">
        <v>0.007832366838416482</v>
      </c>
      <c r="M589" s="57">
        <v>1.0</v>
      </c>
      <c r="N589" s="59">
        <v>-4.4608369549448135E-5</v>
      </c>
      <c r="O589" s="57">
        <v>-0.0017007597492694204</v>
      </c>
      <c r="P589" s="51">
        <v>58.39805101008836</v>
      </c>
      <c r="Q589" s="32">
        <v>5062.703705394</v>
      </c>
      <c r="R589" s="13">
        <v>5098.860075777839</v>
      </c>
      <c r="S589" s="57">
        <v>8.960703614846322E-5</v>
      </c>
      <c r="T589" s="53">
        <v>280235.69559610984</v>
      </c>
      <c r="U589" s="51">
        <v>73966.10113580634</v>
      </c>
      <c r="V589" s="51">
        <v>-223709.5736825397</v>
      </c>
    </row>
    <row r="590">
      <c r="A590" s="55">
        <v>44888.95998680555</v>
      </c>
      <c r="B590" s="56">
        <v>1.3355878283634024</v>
      </c>
      <c r="C590" s="57">
        <v>0.036796413383148985</v>
      </c>
      <c r="D590" s="58">
        <v>-0.7593535444390266</v>
      </c>
      <c r="E590" s="62">
        <v>14.15</v>
      </c>
      <c r="F590" s="57">
        <v>0.03219285519777415</v>
      </c>
      <c r="G590" s="58">
        <v>-0.7576973930593066</v>
      </c>
      <c r="H590" s="51">
        <v>0.0</v>
      </c>
      <c r="I590" s="57">
        <v>0.0</v>
      </c>
      <c r="J590" s="57">
        <v>0.0</v>
      </c>
      <c r="K590" s="51">
        <v>71634.59605175589</v>
      </c>
      <c r="L590" s="57">
        <v>0.036796413383148985</v>
      </c>
      <c r="M590" s="57">
        <v>1.0</v>
      </c>
      <c r="N590" s="59">
        <v>0.004603558185374834</v>
      </c>
      <c r="O590" s="57">
        <v>-0.0016561513797199723</v>
      </c>
      <c r="P590" s="51">
        <v>58.39805101008836</v>
      </c>
      <c r="Q590" s="32">
        <v>5062.515622032218</v>
      </c>
      <c r="R590" s="13">
        <v>5098.860075777839</v>
      </c>
      <c r="S590" s="57">
        <v>5.245293306029802E-5</v>
      </c>
      <c r="T590" s="53">
        <v>280235.69559610984</v>
      </c>
      <c r="U590" s="51">
        <v>71634.59605175589</v>
      </c>
      <c r="V590" s="51">
        <v>-226041.07876659016</v>
      </c>
    </row>
    <row r="591">
      <c r="A591" s="55">
        <v>44887.95996945602</v>
      </c>
      <c r="B591" s="56">
        <v>1.1313677340869255</v>
      </c>
      <c r="C591" s="57">
        <v>0.006755174078841075</v>
      </c>
      <c r="D591" s="58">
        <v>-0.7961499578221756</v>
      </c>
      <c r="E591" s="62">
        <v>12.27</v>
      </c>
      <c r="F591" s="57">
        <v>0.006849543659100843</v>
      </c>
      <c r="G591" s="58">
        <v>-0.7898902482570808</v>
      </c>
      <c r="H591" s="51">
        <v>0.0</v>
      </c>
      <c r="I591" s="57">
        <v>0.0</v>
      </c>
      <c r="J591" s="57">
        <v>0.0</v>
      </c>
      <c r="K591" s="51">
        <v>60681.19886703218</v>
      </c>
      <c r="L591" s="57">
        <v>0.006755174078841075</v>
      </c>
      <c r="M591" s="57">
        <v>1.0</v>
      </c>
      <c r="N591" s="59">
        <v>-9.436958025976772E-5</v>
      </c>
      <c r="O591" s="57">
        <v>-0.0062597095650948065</v>
      </c>
      <c r="P591" s="51">
        <v>58.39805101008836</v>
      </c>
      <c r="Q591" s="32">
        <v>4945.492980198222</v>
      </c>
      <c r="R591" s="13">
        <v>5098.860075777839</v>
      </c>
      <c r="S591" s="57">
        <v>-0.023064271784880748</v>
      </c>
      <c r="T591" s="53">
        <v>280235.69559610984</v>
      </c>
      <c r="U591" s="51">
        <v>60681.19886703218</v>
      </c>
      <c r="V591" s="51">
        <v>-236994.47595131386</v>
      </c>
    </row>
    <row r="592">
      <c r="A592" s="55">
        <v>44886.95996663194</v>
      </c>
      <c r="B592" s="56">
        <v>1.0938765179493577</v>
      </c>
      <c r="C592" s="57">
        <v>-0.009279417584736938</v>
      </c>
      <c r="D592" s="58">
        <v>-0.8029051319010166</v>
      </c>
      <c r="E592" s="62">
        <v>11.87</v>
      </c>
      <c r="F592" s="57">
        <v>-0.009589361122741225</v>
      </c>
      <c r="G592" s="58">
        <v>-0.7967397919161816</v>
      </c>
      <c r="H592" s="51">
        <v>0.0</v>
      </c>
      <c r="I592" s="57">
        <v>0.0</v>
      </c>
      <c r="J592" s="57">
        <v>0.0</v>
      </c>
      <c r="K592" s="51">
        <v>58670.347864597774</v>
      </c>
      <c r="L592" s="57">
        <v>-0.009279417584736938</v>
      </c>
      <c r="M592" s="57">
        <v>1.0</v>
      </c>
      <c r="N592" s="59">
        <v>3.09943538004287E-4</v>
      </c>
      <c r="O592" s="57">
        <v>-0.006165339984835039</v>
      </c>
      <c r="P592" s="51">
        <v>58.39805101008836</v>
      </c>
      <c r="Q592" s="32">
        <v>4942.742027346064</v>
      </c>
      <c r="R592" s="13">
        <v>5098.860075777839</v>
      </c>
      <c r="S592" s="57">
        <v>-0.023607696705039156</v>
      </c>
      <c r="T592" s="53">
        <v>280235.69559610984</v>
      </c>
      <c r="U592" s="51">
        <v>58670.347864597774</v>
      </c>
      <c r="V592" s="51">
        <v>-239005.32695374827</v>
      </c>
    </row>
    <row r="593">
      <c r="A593" s="55">
        <v>44885.95996903935</v>
      </c>
      <c r="B593" s="56">
        <v>1.1453772855446476</v>
      </c>
      <c r="C593" s="57">
        <v>-0.008273640331492471</v>
      </c>
      <c r="D593" s="58">
        <v>-0.7936257143162797</v>
      </c>
      <c r="E593" s="62">
        <v>12.43</v>
      </c>
      <c r="F593" s="57">
        <v>-0.008561929573876026</v>
      </c>
      <c r="G593" s="58">
        <v>-0.7871504307934404</v>
      </c>
      <c r="H593" s="51">
        <v>0.0</v>
      </c>
      <c r="I593" s="57">
        <v>0.0</v>
      </c>
      <c r="J593" s="57">
        <v>0.0</v>
      </c>
      <c r="K593" s="51">
        <v>61432.60475605557</v>
      </c>
      <c r="L593" s="57">
        <v>-0.008273640331492471</v>
      </c>
      <c r="M593" s="57">
        <v>1.0</v>
      </c>
      <c r="N593" s="59">
        <v>2.882892423835548E-4</v>
      </c>
      <c r="O593" s="57">
        <v>-0.006475283522839326</v>
      </c>
      <c r="P593" s="51">
        <v>58.39805101008836</v>
      </c>
      <c r="Q593" s="32">
        <v>4942.285177478324</v>
      </c>
      <c r="R593" s="13">
        <v>5098.860075777839</v>
      </c>
      <c r="S593" s="57">
        <v>-0.023697943109191898</v>
      </c>
      <c r="T593" s="53">
        <v>280235.69559610984</v>
      </c>
      <c r="U593" s="51">
        <v>61432.60475605557</v>
      </c>
      <c r="V593" s="51">
        <v>-236243.07006229047</v>
      </c>
    </row>
    <row r="594">
      <c r="A594" s="55">
        <v>44884.95997840278</v>
      </c>
      <c r="B594" s="56">
        <v>1.191295989384431</v>
      </c>
      <c r="C594" s="57">
        <v>-0.004647298192888671</v>
      </c>
      <c r="D594" s="58">
        <v>-0.7853520739847872</v>
      </c>
      <c r="E594" s="62">
        <v>12.93</v>
      </c>
      <c r="F594" s="57">
        <v>-0.004965919152848164</v>
      </c>
      <c r="G594" s="58">
        <v>-0.7785885012195644</v>
      </c>
      <c r="H594" s="51">
        <v>0.0</v>
      </c>
      <c r="I594" s="57">
        <v>0.0</v>
      </c>
      <c r="J594" s="57">
        <v>0.0</v>
      </c>
      <c r="K594" s="51">
        <v>63895.46622493689</v>
      </c>
      <c r="L594" s="57">
        <v>-0.004647298192888671</v>
      </c>
      <c r="M594" s="57">
        <v>1.0</v>
      </c>
      <c r="N594" s="59">
        <v>3.1862095995949247E-4</v>
      </c>
      <c r="O594" s="57">
        <v>-0.0067635727652228805</v>
      </c>
      <c r="P594" s="51">
        <v>58.39805101008836</v>
      </c>
      <c r="Q594" s="32">
        <v>4941.644719639357</v>
      </c>
      <c r="R594" s="13">
        <v>5098.860075777839</v>
      </c>
      <c r="S594" s="57">
        <v>-0.023824459545026933</v>
      </c>
      <c r="T594" s="53">
        <v>280235.69559610984</v>
      </c>
      <c r="U594" s="51">
        <v>63895.46622493689</v>
      </c>
      <c r="V594" s="51">
        <v>-233780.20859340916</v>
      </c>
    </row>
    <row r="595">
      <c r="A595" s="55">
        <v>44883.95997251157</v>
      </c>
      <c r="B595" s="56">
        <v>1.2170884943549631</v>
      </c>
      <c r="C595" s="57">
        <v>-0.009248522063417308</v>
      </c>
      <c r="D595" s="58">
        <v>-0.7807047757918986</v>
      </c>
      <c r="E595" s="62">
        <v>13.22</v>
      </c>
      <c r="F595" s="57">
        <v>-0.009589361122741225</v>
      </c>
      <c r="G595" s="58">
        <v>-0.7736225820667162</v>
      </c>
      <c r="H595" s="51">
        <v>0.0</v>
      </c>
      <c r="I595" s="57">
        <v>0.0</v>
      </c>
      <c r="J595" s="57">
        <v>0.0</v>
      </c>
      <c r="K595" s="51">
        <v>65278.853850587104</v>
      </c>
      <c r="L595" s="57">
        <v>-0.009248522063417308</v>
      </c>
      <c r="M595" s="57">
        <v>1.0</v>
      </c>
      <c r="N595" s="59">
        <v>3.4083905932391634E-4</v>
      </c>
      <c r="O595" s="57">
        <v>-0.007082193725182373</v>
      </c>
      <c r="P595" s="51">
        <v>58.39805101008836</v>
      </c>
      <c r="Q595" s="32">
        <v>4937.886070392367</v>
      </c>
      <c r="R595" s="13">
        <v>5098.936753078748</v>
      </c>
      <c r="S595" s="57">
        <v>-0.024566945431452394</v>
      </c>
      <c r="T595" s="53">
        <v>280235.69559610984</v>
      </c>
      <c r="U595" s="51">
        <v>65278.853850587104</v>
      </c>
      <c r="V595" s="51">
        <v>-232396.82096775895</v>
      </c>
    </row>
    <row r="596">
      <c r="A596" s="55">
        <v>44882.95997001157</v>
      </c>
      <c r="B596" s="48">
        <v>1.268417791806929</v>
      </c>
      <c r="C596" s="7">
        <v>-0.007802587567466657</v>
      </c>
      <c r="D596" s="49">
        <v>-0.7714562537284813</v>
      </c>
      <c r="E596" s="62">
        <v>13.78</v>
      </c>
      <c r="F596" s="57">
        <v>-0.008219452390921034</v>
      </c>
      <c r="G596" s="58">
        <v>-0.764033220943975</v>
      </c>
      <c r="H596" s="51">
        <v>0.0</v>
      </c>
      <c r="I596" s="57">
        <v>0.0</v>
      </c>
      <c r="J596" s="57">
        <v>0.0</v>
      </c>
      <c r="K596" s="51">
        <v>68031.9138968872</v>
      </c>
      <c r="L596" s="7">
        <v>-0.007802587567466657</v>
      </c>
      <c r="M596" s="57">
        <v>1.0</v>
      </c>
      <c r="N596" s="52">
        <v>4.1686482345437703E-4</v>
      </c>
      <c r="O596" s="7">
        <v>-0.007423032784506289</v>
      </c>
      <c r="P596" s="51">
        <v>58.39805101008836</v>
      </c>
      <c r="Q596" s="32">
        <v>4937.00391124</v>
      </c>
      <c r="R596" s="13">
        <v>5098.936753078748</v>
      </c>
      <c r="S596" s="7">
        <v>-0.02474120769355051</v>
      </c>
      <c r="T596" s="53">
        <v>280235.69559610984</v>
      </c>
      <c r="U596" s="51">
        <v>68031.9138968872</v>
      </c>
      <c r="V596" s="53">
        <v>-229643.76092145883</v>
      </c>
    </row>
    <row r="597">
      <c r="A597" s="55">
        <v>44881.95996928241</v>
      </c>
      <c r="B597" s="56">
        <v>1.3117221528063687</v>
      </c>
      <c r="C597" s="57">
        <v>-0.0017690088498381051</v>
      </c>
      <c r="D597" s="58">
        <v>-0.7636536661610146</v>
      </c>
      <c r="E597" s="62">
        <v>14.26</v>
      </c>
      <c r="F597" s="57">
        <v>-0.00188362450625279</v>
      </c>
      <c r="G597" s="58">
        <v>-0.7558137685530539</v>
      </c>
      <c r="H597" s="51">
        <v>0.0</v>
      </c>
      <c r="I597" s="57">
        <v>0.0</v>
      </c>
      <c r="J597" s="57">
        <v>0.0</v>
      </c>
      <c r="K597" s="51">
        <v>70354.55441636207</v>
      </c>
      <c r="L597" s="57">
        <v>-0.0017690088498381051</v>
      </c>
      <c r="M597" s="57">
        <v>1.0</v>
      </c>
      <c r="N597" s="59">
        <v>1.1461565641468496E-4</v>
      </c>
      <c r="O597" s="57">
        <v>-0.007839897607960666</v>
      </c>
      <c r="P597" s="51">
        <v>58.39805101008836</v>
      </c>
      <c r="Q597" s="32">
        <v>4933.699468188083</v>
      </c>
      <c r="R597" s="13">
        <v>5098.936753078748</v>
      </c>
      <c r="S597" s="57">
        <v>-0.02539396940854949</v>
      </c>
      <c r="T597" s="53">
        <v>280235.69559610984</v>
      </c>
      <c r="U597" s="51">
        <v>70354.55441636207</v>
      </c>
      <c r="V597" s="51">
        <v>-227321.12040198396</v>
      </c>
    </row>
    <row r="598">
      <c r="A598" s="55">
        <v>44880.9599808912</v>
      </c>
      <c r="B598" s="56">
        <v>1.3215401519229704</v>
      </c>
      <c r="C598" s="57">
        <v>0.008848824705171787</v>
      </c>
      <c r="D598" s="58">
        <v>-0.7618846573111765</v>
      </c>
      <c r="E598" s="62">
        <v>14.37</v>
      </c>
      <c r="F598" s="57">
        <v>0.00890440675683113</v>
      </c>
      <c r="G598" s="58">
        <v>-0.7539301440468011</v>
      </c>
      <c r="H598" s="51">
        <v>0.0</v>
      </c>
      <c r="I598" s="57">
        <v>0.0</v>
      </c>
      <c r="J598" s="57">
        <v>0.0</v>
      </c>
      <c r="K598" s="51">
        <v>70881.14531949726</v>
      </c>
      <c r="L598" s="57">
        <v>0.008848824705171787</v>
      </c>
      <c r="M598" s="57">
        <v>1.0</v>
      </c>
      <c r="N598" s="59">
        <v>-5.5582051659341936E-5</v>
      </c>
      <c r="O598" s="57">
        <v>-0.007954513264375351</v>
      </c>
      <c r="P598" s="51">
        <v>58.39805101008836</v>
      </c>
      <c r="Q598" s="32">
        <v>4932.5779623867265</v>
      </c>
      <c r="R598" s="13">
        <v>5097.920632714574</v>
      </c>
      <c r="S598" s="57">
        <v>-0.025615512355053084</v>
      </c>
      <c r="T598" s="53">
        <v>280235.69559610984</v>
      </c>
      <c r="U598" s="51">
        <v>70881.14531949726</v>
      </c>
      <c r="V598" s="51">
        <v>-226794.52949884877</v>
      </c>
    </row>
    <row r="599">
      <c r="A599" s="55">
        <v>44879.95998850695</v>
      </c>
      <c r="B599" s="56">
        <v>1.2724291748092673</v>
      </c>
      <c r="C599" s="57">
        <v>0.0010144234318827383</v>
      </c>
      <c r="D599" s="58">
        <v>-0.7707334820163483</v>
      </c>
      <c r="E599" s="62">
        <v>13.85</v>
      </c>
      <c r="F599" s="57">
        <v>0.0010274315488651986</v>
      </c>
      <c r="G599" s="58">
        <v>-0.7628345508036323</v>
      </c>
      <c r="H599" s="51">
        <v>0.0</v>
      </c>
      <c r="I599" s="57">
        <v>0.0</v>
      </c>
      <c r="J599" s="57">
        <v>0.0</v>
      </c>
      <c r="K599" s="51">
        <v>68247.06545403601</v>
      </c>
      <c r="L599" s="57">
        <v>0.0010144234318827383</v>
      </c>
      <c r="M599" s="57">
        <v>1.0</v>
      </c>
      <c r="N599" s="59">
        <v>-1.3008116982460294E-5</v>
      </c>
      <c r="O599" s="57">
        <v>-0.00789893121271601</v>
      </c>
      <c r="P599" s="51">
        <v>58.39805101008836</v>
      </c>
      <c r="Q599" s="32">
        <v>4927.585953360001</v>
      </c>
      <c r="R599" s="13">
        <v>5097.920632714574</v>
      </c>
      <c r="S599" s="57">
        <v>-0.02660163689173874</v>
      </c>
      <c r="T599" s="53">
        <v>280235.69559610984</v>
      </c>
      <c r="U599" s="51">
        <v>68247.06545403601</v>
      </c>
      <c r="V599" s="51">
        <v>-229428.60936431005</v>
      </c>
    </row>
    <row r="600">
      <c r="A600" s="55">
        <v>44878.959959872685</v>
      </c>
      <c r="B600" s="56">
        <v>1.266799124762318</v>
      </c>
      <c r="C600" s="57">
        <v>-0.020904528016312485</v>
      </c>
      <c r="D600" s="58">
        <v>-0.771747905448231</v>
      </c>
      <c r="E600" s="62">
        <v>13.79</v>
      </c>
      <c r="F600" s="57">
        <v>-0.021747301117645335</v>
      </c>
      <c r="G600" s="58">
        <v>-0.7638619823524975</v>
      </c>
      <c r="H600" s="51">
        <v>0.0</v>
      </c>
      <c r="I600" s="57">
        <v>0.0</v>
      </c>
      <c r="J600" s="57">
        <v>0.0</v>
      </c>
      <c r="K600" s="51">
        <v>67945.09627439876</v>
      </c>
      <c r="L600" s="57">
        <v>-0.020904528016312485</v>
      </c>
      <c r="M600" s="57">
        <v>1.0</v>
      </c>
      <c r="N600" s="59">
        <v>8.427731013328499E-4</v>
      </c>
      <c r="O600" s="57">
        <v>-0.007885923095733549</v>
      </c>
      <c r="P600" s="51">
        <v>58.39805101008836</v>
      </c>
      <c r="Q600" s="32">
        <v>4927.128083712746</v>
      </c>
      <c r="R600" s="13">
        <v>5097.920632714574</v>
      </c>
      <c r="S600" s="57">
        <v>-0.026692084743764832</v>
      </c>
      <c r="T600" s="53">
        <v>280235.69559610984</v>
      </c>
      <c r="U600" s="51">
        <v>67945.09627439876</v>
      </c>
      <c r="V600" s="51">
        <v>-229730.57854394728</v>
      </c>
    </row>
    <row r="601">
      <c r="A601" s="55">
        <v>44877.95996085648</v>
      </c>
      <c r="B601" s="56">
        <v>1.3828192552528522</v>
      </c>
      <c r="C601" s="57">
        <v>-0.012191427948558542</v>
      </c>
      <c r="D601" s="58">
        <v>-0.7508433774319185</v>
      </c>
      <c r="E601" s="62">
        <v>15.06</v>
      </c>
      <c r="F601" s="57">
        <v>-0.0251720729471957</v>
      </c>
      <c r="G601" s="58">
        <v>-0.7421146812348521</v>
      </c>
      <c r="H601" s="51">
        <v>0.0</v>
      </c>
      <c r="I601" s="57">
        <v>0.0</v>
      </c>
      <c r="J601" s="57">
        <v>0.0</v>
      </c>
      <c r="K601" s="51">
        <v>74167.86575841361</v>
      </c>
      <c r="L601" s="57">
        <v>-0.012191427948558542</v>
      </c>
      <c r="M601" s="57">
        <v>1.0</v>
      </c>
      <c r="N601" s="59">
        <v>0.012980644998637159</v>
      </c>
      <c r="O601" s="57">
        <v>-0.008728696197066399</v>
      </c>
      <c r="P601" s="51">
        <v>58.39805101008836</v>
      </c>
      <c r="Q601" s="32">
        <v>4924.82508356</v>
      </c>
      <c r="R601" s="13">
        <v>5097.920632714574</v>
      </c>
      <c r="S601" s="57">
        <v>-0.027147020811879956</v>
      </c>
      <c r="T601" s="53">
        <v>280235.69559610984</v>
      </c>
      <c r="U601" s="51">
        <v>74167.86575841361</v>
      </c>
      <c r="V601" s="51">
        <v>-223507.80905993242</v>
      </c>
    </row>
    <row r="602">
      <c r="A602" s="55">
        <v>44876.95996605324</v>
      </c>
      <c r="B602" s="48">
        <v>1.450481680367352</v>
      </c>
      <c r="C602" s="7">
        <v>-0.021039281356240447</v>
      </c>
      <c r="D602" s="49">
        <v>-0.73865194948336</v>
      </c>
      <c r="E602" s="62">
        <v>16.53</v>
      </c>
      <c r="F602" s="57">
        <v>-0.026370743087538395</v>
      </c>
      <c r="G602" s="58">
        <v>-0.7169426082876564</v>
      </c>
      <c r="H602" s="51">
        <v>0.0</v>
      </c>
      <c r="I602" s="7">
        <v>0.0</v>
      </c>
      <c r="J602" s="7">
        <v>0.0</v>
      </c>
      <c r="K602" s="51">
        <v>77796.95730000001</v>
      </c>
      <c r="L602" s="7">
        <v>-0.021039281356240447</v>
      </c>
      <c r="M602" s="7">
        <v>1.0</v>
      </c>
      <c r="N602" s="52">
        <v>0.005331461731297948</v>
      </c>
      <c r="O602" s="7">
        <v>-0.021709341195703558</v>
      </c>
      <c r="P602" s="53">
        <v>58.39805101008836</v>
      </c>
      <c r="Q602" s="32">
        <v>4706.41</v>
      </c>
      <c r="R602" s="13">
        <v>5097.920632714574</v>
      </c>
      <c r="S602" s="7">
        <v>-0.07029287089502022</v>
      </c>
      <c r="T602" s="53">
        <v>280235.69559610984</v>
      </c>
      <c r="U602" s="51">
        <v>77796.95730000001</v>
      </c>
      <c r="V602" s="53">
        <v>-219878.71751834603</v>
      </c>
    </row>
    <row r="603">
      <c r="A603" s="55">
        <v>44875.959959618056</v>
      </c>
      <c r="B603" s="56">
        <v>1.5672496918944863</v>
      </c>
      <c r="C603" s="57">
        <v>0.05813404333188266</v>
      </c>
      <c r="D603" s="58">
        <v>-0.7176126681271195</v>
      </c>
      <c r="E603" s="62">
        <v>18.07</v>
      </c>
      <c r="F603" s="57">
        <v>0.0637007560296382</v>
      </c>
      <c r="G603" s="58">
        <v>-0.690571865200118</v>
      </c>
      <c r="H603" s="51">
        <v>0.0</v>
      </c>
      <c r="I603" s="57">
        <v>0.0</v>
      </c>
      <c r="J603" s="57">
        <v>0.0</v>
      </c>
      <c r="K603" s="51">
        <v>84059.83957541191</v>
      </c>
      <c r="L603" s="57">
        <v>0.05813404333188266</v>
      </c>
      <c r="M603" s="57">
        <v>1.0</v>
      </c>
      <c r="N603" s="59">
        <v>-0.005566712697755549</v>
      </c>
      <c r="O603" s="57">
        <v>-0.027040802927001506</v>
      </c>
      <c r="P603" s="51">
        <v>58.39805101008836</v>
      </c>
      <c r="Q603" s="32">
        <v>4651.900363885551</v>
      </c>
      <c r="R603" s="13">
        <v>5097.920632714574</v>
      </c>
      <c r="S603" s="57">
        <v>-0.08106073797428473</v>
      </c>
      <c r="T603" s="53">
        <v>280235.69559610984</v>
      </c>
      <c r="U603" s="51">
        <v>84059.83957541191</v>
      </c>
      <c r="V603" s="51">
        <v>-213615.83524293412</v>
      </c>
    </row>
    <row r="604">
      <c r="A604" s="55">
        <v>44874.95997045139</v>
      </c>
      <c r="B604" s="56">
        <v>1.2446057514025375</v>
      </c>
      <c r="C604" s="57">
        <v>-0.14799154303019157</v>
      </c>
      <c r="D604" s="58">
        <v>-0.7757467114590022</v>
      </c>
      <c r="E604" s="62">
        <v>14.35</v>
      </c>
      <c r="F604" s="57">
        <v>-0.16216294612921323</v>
      </c>
      <c r="G604" s="58">
        <v>-0.7542726212297562</v>
      </c>
      <c r="H604" s="51">
        <v>0.0</v>
      </c>
      <c r="I604" s="57">
        <v>0.0</v>
      </c>
      <c r="J604" s="57">
        <v>0.0</v>
      </c>
      <c r="K604" s="51">
        <v>66754.74899667478</v>
      </c>
      <c r="L604" s="57">
        <v>-0.14799154303019157</v>
      </c>
      <c r="M604" s="57">
        <v>1.0</v>
      </c>
      <c r="N604" s="59">
        <v>0.014171403099021651</v>
      </c>
      <c r="O604" s="57">
        <v>-0.021474090229245957</v>
      </c>
      <c r="P604" s="51">
        <v>58.39805101008836</v>
      </c>
      <c r="Q604" s="32">
        <v>4651.898884785699</v>
      </c>
      <c r="R604" s="13">
        <v>5097.920632714574</v>
      </c>
      <c r="S604" s="57">
        <v>-0.08106103015658019</v>
      </c>
      <c r="T604" s="53">
        <v>280235.69559610984</v>
      </c>
      <c r="U604" s="51">
        <v>66754.74899667478</v>
      </c>
      <c r="V604" s="51">
        <v>-230920.92582167126</v>
      </c>
    </row>
    <row r="605">
      <c r="A605" s="55">
        <v>44873.95997296296</v>
      </c>
      <c r="B605" s="56">
        <v>2.065958815220101</v>
      </c>
      <c r="C605" s="57">
        <v>-0.08782602659236294</v>
      </c>
      <c r="D605" s="58">
        <v>-0.6277551684288106</v>
      </c>
      <c r="E605" s="62">
        <v>23.82</v>
      </c>
      <c r="F605" s="57">
        <v>-0.09623608841036724</v>
      </c>
      <c r="G605" s="58">
        <v>-0.592109675100543</v>
      </c>
      <c r="H605" s="51">
        <v>0.0</v>
      </c>
      <c r="I605" s="57">
        <v>0.0</v>
      </c>
      <c r="J605" s="57">
        <v>0.0</v>
      </c>
      <c r="K605" s="51">
        <v>110808.23143559536</v>
      </c>
      <c r="L605" s="57">
        <v>-0.08782602659236294</v>
      </c>
      <c r="M605" s="57">
        <v>1.0</v>
      </c>
      <c r="N605" s="59">
        <v>0.0084100618180043</v>
      </c>
      <c r="O605" s="57">
        <v>-0.03564549332826761</v>
      </c>
      <c r="P605" s="51">
        <v>58.39805101008836</v>
      </c>
      <c r="Q605" s="32">
        <v>4651.898884785699</v>
      </c>
      <c r="R605" s="13">
        <v>5097.920632714574</v>
      </c>
      <c r="S605" s="57">
        <v>-0.08106103015658019</v>
      </c>
      <c r="T605" s="53">
        <v>280235.69559610984</v>
      </c>
      <c r="U605" s="51">
        <v>110808.23143559536</v>
      </c>
      <c r="V605" s="51">
        <v>-186867.44338275067</v>
      </c>
    </row>
    <row r="606">
      <c r="A606" s="55">
        <v>44872.95996662037</v>
      </c>
      <c r="B606" s="56">
        <v>2.5533932628077154</v>
      </c>
      <c r="C606" s="57">
        <v>-0.06252398790177549</v>
      </c>
      <c r="D606" s="58">
        <v>-0.5399291418364477</v>
      </c>
      <c r="E606" s="62">
        <v>29.44</v>
      </c>
      <c r="F606" s="57">
        <v>-0.0690769513012881</v>
      </c>
      <c r="G606" s="58">
        <v>-0.4958735866901758</v>
      </c>
      <c r="H606" s="51">
        <v>0.0</v>
      </c>
      <c r="I606" s="57">
        <v>0.0</v>
      </c>
      <c r="J606" s="57">
        <v>0.0</v>
      </c>
      <c r="K606" s="51">
        <v>136951.903168091</v>
      </c>
      <c r="L606" s="57">
        <v>-0.06252398790177549</v>
      </c>
      <c r="M606" s="57">
        <v>1.0</v>
      </c>
      <c r="N606" s="59">
        <v>0.006552963399512612</v>
      </c>
      <c r="O606" s="57">
        <v>-0.04405555514627191</v>
      </c>
      <c r="P606" s="51">
        <v>58.39805101008836</v>
      </c>
      <c r="Q606" s="32">
        <v>4651.898884785699</v>
      </c>
      <c r="R606" s="13">
        <v>5097.920632714574</v>
      </c>
      <c r="S606" s="57">
        <v>-0.08106103015658019</v>
      </c>
      <c r="T606" s="53">
        <v>280235.69559610984</v>
      </c>
      <c r="U606" s="51">
        <v>136951.903168091</v>
      </c>
      <c r="V606" s="51">
        <v>-160723.77165025505</v>
      </c>
    </row>
    <row r="607">
      <c r="A607" s="55">
        <v>44871.959984375004</v>
      </c>
      <c r="B607" s="56">
        <v>2.9004013956625694</v>
      </c>
      <c r="C607" s="57">
        <v>-0.05342439542604227</v>
      </c>
      <c r="D607" s="58">
        <v>-0.4774051539346722</v>
      </c>
      <c r="E607" s="62">
        <v>33.46</v>
      </c>
      <c r="F607" s="57">
        <v>-0.06450117595209015</v>
      </c>
      <c r="G607" s="58">
        <v>-0.4267966353888877</v>
      </c>
      <c r="H607" s="51">
        <v>0.0</v>
      </c>
      <c r="I607" s="57">
        <v>0.0</v>
      </c>
      <c r="J607" s="57">
        <v>0.0</v>
      </c>
      <c r="K607" s="51">
        <v>155652.53668492948</v>
      </c>
      <c r="L607" s="57">
        <v>-0.05342439542604227</v>
      </c>
      <c r="M607" s="57">
        <v>1.0</v>
      </c>
      <c r="N607" s="59">
        <v>0.01107678052604788</v>
      </c>
      <c r="O607" s="57">
        <v>-0.05060851854578452</v>
      </c>
      <c r="P607" s="51">
        <v>58.37369782834546</v>
      </c>
      <c r="Q607" s="32">
        <v>4651.898884785699</v>
      </c>
      <c r="R607" s="13">
        <v>5102.955421513297</v>
      </c>
      <c r="S607" s="57">
        <v>-0.08197153935149233</v>
      </c>
      <c r="T607" s="53">
        <v>280406.95946301176</v>
      </c>
      <c r="U607" s="51">
        <v>155652.53668492948</v>
      </c>
      <c r="V607" s="51">
        <v>-142192.98907341654</v>
      </c>
    </row>
    <row r="608">
      <c r="A608" s="55">
        <v>44870.95997467593</v>
      </c>
      <c r="B608" s="56">
        <v>3.196906790277104</v>
      </c>
      <c r="C608" s="57">
        <v>0.05035894070242963</v>
      </c>
      <c r="D608" s="58">
        <v>-0.42398075850862993</v>
      </c>
      <c r="E608" s="62">
        <v>37.06</v>
      </c>
      <c r="F608" s="57">
        <v>0.05575182707568205</v>
      </c>
      <c r="G608" s="58">
        <v>-0.36229545943679753</v>
      </c>
      <c r="H608" s="51">
        <v>0.0</v>
      </c>
      <c r="I608" s="57">
        <v>0.0</v>
      </c>
      <c r="J608" s="57">
        <v>0.0</v>
      </c>
      <c r="K608" s="51">
        <v>172399.37267015802</v>
      </c>
      <c r="L608" s="57">
        <v>0.05035894070242963</v>
      </c>
      <c r="M608" s="57">
        <v>1.0</v>
      </c>
      <c r="N608" s="59">
        <v>-0.005392886373252415</v>
      </c>
      <c r="O608" s="57">
        <v>-0.0616852990718324</v>
      </c>
      <c r="P608" s="51">
        <v>58.11468735547918</v>
      </c>
      <c r="Q608" s="32">
        <v>4651.898884785699</v>
      </c>
      <c r="R608" s="13">
        <v>5102.955421513297</v>
      </c>
      <c r="S608" s="57">
        <v>-0.0904980598917746</v>
      </c>
      <c r="T608" s="53">
        <v>280406.95946301176</v>
      </c>
      <c r="U608" s="51">
        <v>172399.37267015802</v>
      </c>
      <c r="V608" s="51">
        <v>-126895.095729542</v>
      </c>
    </row>
    <row r="609">
      <c r="A609" s="55">
        <v>44869.95996269676</v>
      </c>
      <c r="B609" s="56">
        <v>2.917414669378619</v>
      </c>
      <c r="C609" s="57">
        <v>0.06067403606189503</v>
      </c>
      <c r="D609" s="58">
        <v>-0.47433969921105956</v>
      </c>
      <c r="E609" s="62">
        <v>33.82</v>
      </c>
      <c r="F609" s="57">
        <v>0.035686665106626325</v>
      </c>
      <c r="G609" s="58">
        <v>-0.4180472865124796</v>
      </c>
      <c r="H609" s="51">
        <v>0.0</v>
      </c>
      <c r="I609" s="57">
        <v>0.0</v>
      </c>
      <c r="J609" s="57">
        <v>0.0</v>
      </c>
      <c r="K609" s="51">
        <v>157327.22028345233</v>
      </c>
      <c r="L609" s="57">
        <v>0.06067403606189503</v>
      </c>
      <c r="M609" s="57">
        <v>1.0</v>
      </c>
      <c r="N609" s="59">
        <v>0.024987370955268706</v>
      </c>
      <c r="O609" s="57">
        <v>-0.056292412698579986</v>
      </c>
      <c r="P609" s="51">
        <v>58.11468735547918</v>
      </c>
      <c r="Q609" s="32">
        <v>4651.898884785699</v>
      </c>
      <c r="R609" s="13">
        <v>5102.955421513297</v>
      </c>
      <c r="S609" s="57">
        <v>-0.0904980598917746</v>
      </c>
      <c r="T609" s="53">
        <v>280406.95946301176</v>
      </c>
      <c r="U609" s="51">
        <v>157327.22028345233</v>
      </c>
      <c r="V609" s="51">
        <v>-141967.24811624768</v>
      </c>
    </row>
    <row r="610">
      <c r="A610" s="55">
        <v>44868.95996461806</v>
      </c>
      <c r="B610" s="56">
        <v>2.580673769235102</v>
      </c>
      <c r="C610" s="57">
        <v>-0.01898899997794945</v>
      </c>
      <c r="D610" s="58">
        <v>-0.5350137352729546</v>
      </c>
      <c r="E610" s="62">
        <v>31.02</v>
      </c>
      <c r="F610" s="57">
        <v>0.008981163271252535</v>
      </c>
      <c r="G610" s="58">
        <v>-0.4537339516191059</v>
      </c>
      <c r="H610" s="51">
        <v>0.0</v>
      </c>
      <c r="I610" s="57">
        <v>0.0</v>
      </c>
      <c r="J610" s="57">
        <v>0.0</v>
      </c>
      <c r="K610" s="51">
        <v>143817.68029752196</v>
      </c>
      <c r="L610" s="57">
        <v>-0.01898899997794945</v>
      </c>
      <c r="M610" s="57">
        <v>1.0</v>
      </c>
      <c r="N610" s="59">
        <v>-0.027970163249201985</v>
      </c>
      <c r="O610" s="57">
        <v>-0.08127978365384869</v>
      </c>
      <c r="P610" s="51">
        <v>56.78551704236747</v>
      </c>
      <c r="Q610" s="32">
        <v>4636.288855497162</v>
      </c>
      <c r="R610" s="13">
        <v>5399.463513526428</v>
      </c>
      <c r="S610" s="57">
        <v>-0.14310139197646687</v>
      </c>
      <c r="T610" s="53">
        <v>290525.5017952708</v>
      </c>
      <c r="U610" s="51">
        <v>143817.68029752196</v>
      </c>
      <c r="V610" s="51">
        <v>-165476.78968417805</v>
      </c>
    </row>
    <row r="611">
      <c r="A611" s="55">
        <v>44867.959964988426</v>
      </c>
      <c r="B611" s="56">
        <v>2.6860627191127215</v>
      </c>
      <c r="C611" s="57">
        <v>-0.0291876265833233</v>
      </c>
      <c r="D611" s="58">
        <v>-0.5160247352950051</v>
      </c>
      <c r="E611" s="62">
        <v>30.51</v>
      </c>
      <c r="F611" s="57">
        <v>-0.03240262827275453</v>
      </c>
      <c r="G611" s="58">
        <v>-0.46271511489035844</v>
      </c>
      <c r="H611" s="51">
        <v>0.0</v>
      </c>
      <c r="I611" s="57">
        <v>0.0</v>
      </c>
      <c r="J611" s="57">
        <v>0.0</v>
      </c>
      <c r="K611" s="51">
        <v>149690.87298118437</v>
      </c>
      <c r="L611" s="57">
        <v>-0.0291876265833233</v>
      </c>
      <c r="M611" s="57">
        <v>1.0</v>
      </c>
      <c r="N611" s="59">
        <v>0.0032150016894312294</v>
      </c>
      <c r="O611" s="57">
        <v>-0.05330962040464671</v>
      </c>
      <c r="P611" s="51">
        <v>56.78551704236747</v>
      </c>
      <c r="Q611" s="32">
        <v>4906.2888554960455</v>
      </c>
      <c r="R611" s="13">
        <v>5399.463513526428</v>
      </c>
      <c r="S611" s="57">
        <v>-0.09319884462092959</v>
      </c>
      <c r="T611" s="53">
        <v>290525.5017952708</v>
      </c>
      <c r="U611" s="51">
        <v>149690.87298118437</v>
      </c>
      <c r="V611" s="51">
        <v>-159603.59700051564</v>
      </c>
    </row>
    <row r="612">
      <c r="A612" s="55">
        <v>44866.95998101852</v>
      </c>
      <c r="B612" s="56">
        <v>2.848054046650166</v>
      </c>
      <c r="C612" s="57">
        <v>-0.0031725681068828226</v>
      </c>
      <c r="D612" s="58">
        <v>-0.48683710871168184</v>
      </c>
      <c r="E612" s="62">
        <v>32.35</v>
      </c>
      <c r="F612" s="57">
        <v>-0.0035220248122558306</v>
      </c>
      <c r="G612" s="58">
        <v>-0.4303124866176039</v>
      </c>
      <c r="H612" s="51">
        <v>0.0</v>
      </c>
      <c r="I612" s="57">
        <v>0.0</v>
      </c>
      <c r="J612" s="57">
        <v>0.0</v>
      </c>
      <c r="K612" s="51">
        <v>158718.4444752971</v>
      </c>
      <c r="L612" s="57">
        <v>-0.0031725681068828226</v>
      </c>
      <c r="M612" s="57">
        <v>1.0</v>
      </c>
      <c r="N612" s="59">
        <v>3.49456705373008E-4</v>
      </c>
      <c r="O612" s="57">
        <v>-0.056524622094077936</v>
      </c>
      <c r="P612" s="51">
        <v>56.78551704236747</v>
      </c>
      <c r="Q612" s="32">
        <v>4906.2888554960455</v>
      </c>
      <c r="R612" s="13">
        <v>5399.463513526428</v>
      </c>
      <c r="S612" s="57">
        <v>-0.09319884462092959</v>
      </c>
      <c r="T612" s="53">
        <v>290525.5017952708</v>
      </c>
      <c r="U612" s="51">
        <v>158718.4444752971</v>
      </c>
      <c r="V612" s="51">
        <v>-150576.02550640292</v>
      </c>
    </row>
    <row r="613">
      <c r="A613" s="55">
        <v>44865.959956770836</v>
      </c>
      <c r="B613" s="56">
        <v>2.8656617996433655</v>
      </c>
      <c r="C613" s="57">
        <v>0.002538054485506258</v>
      </c>
      <c r="D613" s="58">
        <v>-0.483664540604799</v>
      </c>
      <c r="E613" s="62">
        <v>32.55</v>
      </c>
      <c r="F613" s="57">
        <v>0.0028176198498046645</v>
      </c>
      <c r="G613" s="58">
        <v>-0.4267904618053481</v>
      </c>
      <c r="H613" s="51">
        <v>0.0</v>
      </c>
      <c r="I613" s="57">
        <v>0.0</v>
      </c>
      <c r="J613" s="57">
        <v>0.0</v>
      </c>
      <c r="K613" s="51">
        <v>159699.70224639628</v>
      </c>
      <c r="L613" s="57">
        <v>0.002538054485506258</v>
      </c>
      <c r="M613" s="57">
        <v>1.0</v>
      </c>
      <c r="N613" s="59">
        <v>-2.795653642984064E-4</v>
      </c>
      <c r="O613" s="57">
        <v>-0.056874078799450944</v>
      </c>
      <c r="P613" s="51">
        <v>56.78551704236747</v>
      </c>
      <c r="Q613" s="32">
        <v>4906.2888554960455</v>
      </c>
      <c r="R613" s="13">
        <v>5399.463513526428</v>
      </c>
      <c r="S613" s="57">
        <v>-0.09319884462092959</v>
      </c>
      <c r="T613" s="53">
        <v>290525.5017952708</v>
      </c>
      <c r="U613" s="51">
        <v>159699.70224639628</v>
      </c>
      <c r="V613" s="51">
        <v>-149594.76773530373</v>
      </c>
    </row>
    <row r="614">
      <c r="A614" s="55">
        <v>44864.95998511574</v>
      </c>
      <c r="B614" s="56">
        <v>2.8515755972488055</v>
      </c>
      <c r="C614" s="57">
        <v>-0.010310846347369451</v>
      </c>
      <c r="D614" s="58">
        <v>-0.4862025950903053</v>
      </c>
      <c r="E614" s="62">
        <v>32.39</v>
      </c>
      <c r="F614" s="57">
        <v>-0.011446580639831727</v>
      </c>
      <c r="G614" s="58">
        <v>-0.42960808165515274</v>
      </c>
      <c r="H614" s="51">
        <v>0.0</v>
      </c>
      <c r="I614" s="57">
        <v>0.0</v>
      </c>
      <c r="J614" s="57">
        <v>0.0</v>
      </c>
      <c r="K614" s="51">
        <v>158914.69602951693</v>
      </c>
      <c r="L614" s="57">
        <v>-0.010310846347369451</v>
      </c>
      <c r="M614" s="57">
        <v>1.0</v>
      </c>
      <c r="N614" s="59">
        <v>0.001135734292462276</v>
      </c>
      <c r="O614" s="57">
        <v>-0.05659451343515254</v>
      </c>
      <c r="P614" s="51">
        <v>56.78551704236747</v>
      </c>
      <c r="Q614" s="32">
        <v>4906.2888554960455</v>
      </c>
      <c r="R614" s="13">
        <v>5399.463513526428</v>
      </c>
      <c r="S614" s="57">
        <v>-0.09319884462092959</v>
      </c>
      <c r="T614" s="53">
        <v>290525.5017952708</v>
      </c>
      <c r="U614" s="51">
        <v>158914.69602951693</v>
      </c>
      <c r="V614" s="51">
        <v>-150379.77395218308</v>
      </c>
    </row>
    <row r="615">
      <c r="A615" s="55">
        <v>44863.9599944213</v>
      </c>
      <c r="B615" s="56">
        <v>2.908800794476706</v>
      </c>
      <c r="C615" s="57">
        <v>0.0133247860489083</v>
      </c>
      <c r="D615" s="58">
        <v>-0.4758917487429358</v>
      </c>
      <c r="E615" s="62">
        <v>33.04</v>
      </c>
      <c r="F615" s="57">
        <v>0.014792504211474822</v>
      </c>
      <c r="G615" s="58">
        <v>-0.418161501015321</v>
      </c>
      <c r="H615" s="51">
        <v>0.0</v>
      </c>
      <c r="I615" s="57">
        <v>0.0</v>
      </c>
      <c r="J615" s="57">
        <v>0.0</v>
      </c>
      <c r="K615" s="51">
        <v>162103.78378558933</v>
      </c>
      <c r="L615" s="57">
        <v>0.0133247860489083</v>
      </c>
      <c r="M615" s="57">
        <v>1.0</v>
      </c>
      <c r="N615" s="59">
        <v>-0.0014677181625665225</v>
      </c>
      <c r="O615" s="57">
        <v>-0.057730247727614814</v>
      </c>
      <c r="P615" s="51">
        <v>56.78551704236747</v>
      </c>
      <c r="Q615" s="32">
        <v>4906.2888554960455</v>
      </c>
      <c r="R615" s="13">
        <v>5399.463513526428</v>
      </c>
      <c r="S615" s="57">
        <v>-0.09319884462092959</v>
      </c>
      <c r="T615" s="53">
        <v>290525.5017952708</v>
      </c>
      <c r="U615" s="51">
        <v>162103.78378558933</v>
      </c>
      <c r="V615" s="51">
        <v>-147190.68619611068</v>
      </c>
    </row>
    <row r="616">
      <c r="A616" s="55">
        <v>44862.959960381944</v>
      </c>
      <c r="B616" s="56">
        <v>2.834848231905265</v>
      </c>
      <c r="C616" s="57">
        <v>0.01985892587185345</v>
      </c>
      <c r="D616" s="58">
        <v>-0.4892165347918441</v>
      </c>
      <c r="E616" s="62">
        <v>32.2</v>
      </c>
      <c r="F616" s="57">
        <v>0.025358578648242647</v>
      </c>
      <c r="G616" s="58">
        <v>-0.43295400522679583</v>
      </c>
      <c r="H616" s="51">
        <v>0.0</v>
      </c>
      <c r="I616" s="57">
        <v>0.0</v>
      </c>
      <c r="J616" s="57">
        <v>0.0</v>
      </c>
      <c r="K616" s="51">
        <v>157982.50114697267</v>
      </c>
      <c r="L616" s="57">
        <v>0.01985892587185345</v>
      </c>
      <c r="M616" s="57">
        <v>1.0</v>
      </c>
      <c r="N616" s="59">
        <v>-0.005499652776389197</v>
      </c>
      <c r="O616" s="57">
        <v>-0.05626252956504829</v>
      </c>
      <c r="P616" s="51">
        <v>56.78551704236747</v>
      </c>
      <c r="Q616" s="32">
        <v>4906.2888554960455</v>
      </c>
      <c r="R616" s="13">
        <v>5399.463513526428</v>
      </c>
      <c r="S616" s="57">
        <v>-0.09319884462092959</v>
      </c>
      <c r="T616" s="53">
        <v>290525.5017952708</v>
      </c>
      <c r="U616" s="51">
        <v>157982.50114697267</v>
      </c>
      <c r="V616" s="51">
        <v>-151311.96883472733</v>
      </c>
    </row>
    <row r="617">
      <c r="A617" s="55">
        <v>44861.959965057875</v>
      </c>
      <c r="B617" s="56">
        <v>2.724631193316478</v>
      </c>
      <c r="C617" s="57">
        <v>-0.007022327610792245</v>
      </c>
      <c r="D617" s="58">
        <v>-0.5090754606636976</v>
      </c>
      <c r="E617" s="62">
        <v>30.76</v>
      </c>
      <c r="F617" s="57">
        <v>-0.007748454586962938</v>
      </c>
      <c r="G617" s="58">
        <v>-0.4583125838750385</v>
      </c>
      <c r="H617" s="51">
        <v>0.0</v>
      </c>
      <c r="I617" s="57">
        <v>0.0</v>
      </c>
      <c r="J617" s="57">
        <v>0.0</v>
      </c>
      <c r="K617" s="51">
        <v>151840.24519503186</v>
      </c>
      <c r="L617" s="57">
        <v>-0.007022327610792245</v>
      </c>
      <c r="M617" s="57">
        <v>1.0</v>
      </c>
      <c r="N617" s="59">
        <v>7.261269761706934E-4</v>
      </c>
      <c r="O617" s="57">
        <v>-0.050762876788659095</v>
      </c>
      <c r="P617" s="51">
        <v>56.78551704236747</v>
      </c>
      <c r="Q617" s="32">
        <v>4936.288855495184</v>
      </c>
      <c r="R617" s="13">
        <v>5399.463513526428</v>
      </c>
      <c r="S617" s="57">
        <v>-0.08765411713711725</v>
      </c>
      <c r="T617" s="53">
        <v>290525.5017952708</v>
      </c>
      <c r="U617" s="51">
        <v>151840.24519503186</v>
      </c>
      <c r="V617" s="51">
        <v>-157454.22478666814</v>
      </c>
    </row>
    <row r="618">
      <c r="A618" s="55">
        <v>44860.95998134259</v>
      </c>
      <c r="B618" s="56">
        <v>2.7636051115563753</v>
      </c>
      <c r="C618" s="57">
        <v>0.0023939753218610305</v>
      </c>
      <c r="D618" s="58">
        <v>-0.5020531330529053</v>
      </c>
      <c r="E618" s="62">
        <v>31.2</v>
      </c>
      <c r="F618" s="57">
        <v>0.0026415186091919285</v>
      </c>
      <c r="G618" s="58">
        <v>-0.45056412928807554</v>
      </c>
      <c r="H618" s="51">
        <v>0.0</v>
      </c>
      <c r="I618" s="57">
        <v>0.0</v>
      </c>
      <c r="J618" s="57">
        <v>0.0</v>
      </c>
      <c r="K618" s="51">
        <v>154012.21229144974</v>
      </c>
      <c r="L618" s="57">
        <v>0.0023939753218610305</v>
      </c>
      <c r="M618" s="57">
        <v>1.0</v>
      </c>
      <c r="N618" s="59">
        <v>-2.4754328733089803E-4</v>
      </c>
      <c r="O618" s="57">
        <v>-0.05148900376482979</v>
      </c>
      <c r="P618" s="51">
        <v>56.78551704236747</v>
      </c>
      <c r="Q618" s="32">
        <v>4936.288855495184</v>
      </c>
      <c r="R618" s="13">
        <v>5399.463513526428</v>
      </c>
      <c r="S618" s="57">
        <v>-0.08765411713711725</v>
      </c>
      <c r="T618" s="53">
        <v>290525.5017952708</v>
      </c>
      <c r="U618" s="51">
        <v>154012.21229144974</v>
      </c>
      <c r="V618" s="51">
        <v>-155282.25769025026</v>
      </c>
    </row>
    <row r="619">
      <c r="A619" s="55">
        <v>44859.95996788194</v>
      </c>
      <c r="B619" s="56">
        <v>2.7503185485200468</v>
      </c>
      <c r="C619" s="57">
        <v>0.0429319574387077</v>
      </c>
      <c r="D619" s="58">
        <v>-0.5044471083747664</v>
      </c>
      <c r="E619" s="62">
        <v>31.05</v>
      </c>
      <c r="F619" s="57">
        <v>0.0473712337248422</v>
      </c>
      <c r="G619" s="58">
        <v>-0.45320564789726747</v>
      </c>
      <c r="H619" s="51">
        <v>0.0</v>
      </c>
      <c r="I619" s="57">
        <v>0.0</v>
      </c>
      <c r="J619" s="57">
        <v>0.0</v>
      </c>
      <c r="K619" s="51">
        <v>153271.76896312548</v>
      </c>
      <c r="L619" s="57">
        <v>0.0429319574387077</v>
      </c>
      <c r="M619" s="57">
        <v>1.0</v>
      </c>
      <c r="N619" s="59">
        <v>-0.004439276286134497</v>
      </c>
      <c r="O619" s="57">
        <v>-0.05124146047749889</v>
      </c>
      <c r="P619" s="51">
        <v>56.78551704236747</v>
      </c>
      <c r="Q619" s="32">
        <v>4936.288855495184</v>
      </c>
      <c r="R619" s="13">
        <v>5399.463513526428</v>
      </c>
      <c r="S619" s="57">
        <v>-0.08765411713711725</v>
      </c>
      <c r="T619" s="53">
        <v>290525.5017952708</v>
      </c>
      <c r="U619" s="51">
        <v>153271.76896312548</v>
      </c>
      <c r="V619" s="51">
        <v>-156022.70101857453</v>
      </c>
    </row>
    <row r="620">
      <c r="A620" s="55">
        <v>44858.95996091435</v>
      </c>
      <c r="B620" s="56">
        <v>2.5120461847352185</v>
      </c>
      <c r="C620" s="57">
        <v>-0.005125957994991603</v>
      </c>
      <c r="D620" s="58">
        <v>-0.5473790658134741</v>
      </c>
      <c r="E620" s="62">
        <v>28.36</v>
      </c>
      <c r="F620" s="57">
        <v>-0.007044049624511883</v>
      </c>
      <c r="G620" s="58">
        <v>-0.5005768816221097</v>
      </c>
      <c r="H620" s="51">
        <v>0.0</v>
      </c>
      <c r="I620" s="57">
        <v>0.0</v>
      </c>
      <c r="J620" s="57">
        <v>0.0</v>
      </c>
      <c r="K620" s="51">
        <v>139993.15194184342</v>
      </c>
      <c r="L620" s="57">
        <v>-0.005125957994991603</v>
      </c>
      <c r="M620" s="57">
        <v>1.0</v>
      </c>
      <c r="N620" s="59">
        <v>0.00191809162952028</v>
      </c>
      <c r="O620" s="57">
        <v>-0.04680218419136439</v>
      </c>
      <c r="P620" s="51">
        <v>56.78551704236747</v>
      </c>
      <c r="Q620" s="32">
        <v>4936.288855495184</v>
      </c>
      <c r="R620" s="13">
        <v>5399.463513526428</v>
      </c>
      <c r="S620" s="57">
        <v>-0.08765411713711725</v>
      </c>
      <c r="T620" s="53">
        <v>290525.5017952708</v>
      </c>
      <c r="U620" s="51">
        <v>139993.15194184342</v>
      </c>
      <c r="V620" s="51">
        <v>-169301.3180398566</v>
      </c>
    </row>
    <row r="621">
      <c r="A621" s="55">
        <v>44857.95996648148</v>
      </c>
      <c r="B621" s="56">
        <v>2.540495251607422</v>
      </c>
      <c r="C621" s="57">
        <v>0.012096232199511725</v>
      </c>
      <c r="D621" s="58">
        <v>-0.5422531078184825</v>
      </c>
      <c r="E621" s="62">
        <v>28.76</v>
      </c>
      <c r="F621" s="57">
        <v>0.0133836942865726</v>
      </c>
      <c r="G621" s="58">
        <v>-0.4935328319975978</v>
      </c>
      <c r="H621" s="51">
        <v>0.0</v>
      </c>
      <c r="I621" s="57">
        <v>0.0</v>
      </c>
      <c r="J621" s="57">
        <v>0.0</v>
      </c>
      <c r="K621" s="51">
        <v>141578.58240305283</v>
      </c>
      <c r="L621" s="57">
        <v>0.012096232199511725</v>
      </c>
      <c r="M621" s="57">
        <v>1.0</v>
      </c>
      <c r="N621" s="59">
        <v>-0.0012874620870608755</v>
      </c>
      <c r="O621" s="57">
        <v>-0.04872027582088467</v>
      </c>
      <c r="P621" s="51">
        <v>56.78551704236747</v>
      </c>
      <c r="Q621" s="32">
        <v>4922.760167004619</v>
      </c>
      <c r="R621" s="13">
        <v>5399.463513526428</v>
      </c>
      <c r="S621" s="57">
        <v>-0.09015454683364149</v>
      </c>
      <c r="T621" s="53">
        <v>290525.5017952708</v>
      </c>
      <c r="U621" s="51">
        <v>141578.58240305283</v>
      </c>
      <c r="V621" s="51">
        <v>-167715.88757864718</v>
      </c>
    </row>
    <row r="622">
      <c r="A622" s="55">
        <v>44856.95998175926</v>
      </c>
      <c r="B622" s="56">
        <v>2.473361162900132</v>
      </c>
      <c r="C622" s="57">
        <v>-0.003342379949865193</v>
      </c>
      <c r="D622" s="58">
        <v>-0.5543493400179942</v>
      </c>
      <c r="E622" s="62">
        <v>28.0</v>
      </c>
      <c r="F622" s="57">
        <v>-0.0036981260528687887</v>
      </c>
      <c r="G622" s="58">
        <v>-0.5069165262841704</v>
      </c>
      <c r="H622" s="51">
        <v>0.0</v>
      </c>
      <c r="I622" s="57">
        <v>0.0</v>
      </c>
      <c r="J622" s="57">
        <v>0.0</v>
      </c>
      <c r="K622" s="51">
        <v>137837.2846761293</v>
      </c>
      <c r="L622" s="57">
        <v>-0.003342379949865193</v>
      </c>
      <c r="M622" s="57">
        <v>1.0</v>
      </c>
      <c r="N622" s="59">
        <v>3.5574610300359577E-4</v>
      </c>
      <c r="O622" s="57">
        <v>-0.0474328137338238</v>
      </c>
      <c r="P622" s="51">
        <v>56.78551704236747</v>
      </c>
      <c r="Q622" s="32">
        <v>4922.760167004618</v>
      </c>
      <c r="R622" s="13">
        <v>5399.463513526428</v>
      </c>
      <c r="S622" s="57">
        <v>-0.09015454683364166</v>
      </c>
      <c r="T622" s="53">
        <v>290525.5017952708</v>
      </c>
      <c r="U622" s="51">
        <v>137837.2846761293</v>
      </c>
      <c r="V622" s="51">
        <v>-171457.18530557072</v>
      </c>
    </row>
    <row r="623">
      <c r="A623" s="55">
        <v>44855.95996861111</v>
      </c>
      <c r="B623" s="56">
        <v>2.491911371621884</v>
      </c>
      <c r="C623" s="57">
        <v>1.6373726647200826E-5</v>
      </c>
      <c r="D623" s="58">
        <v>-0.551006960068129</v>
      </c>
      <c r="E623" s="62">
        <v>28.21</v>
      </c>
      <c r="F623" s="57">
        <v>-0.0022893161279663454</v>
      </c>
      <c r="G623" s="58">
        <v>-0.5032184002313016</v>
      </c>
      <c r="H623" s="51">
        <v>0.0</v>
      </c>
      <c r="I623" s="57">
        <v>0.0</v>
      </c>
      <c r="J623" s="57">
        <v>0.0</v>
      </c>
      <c r="K623" s="51">
        <v>138871.0643112003</v>
      </c>
      <c r="L623" s="57">
        <v>1.6373726647200826E-5</v>
      </c>
      <c r="M623" s="57">
        <v>1.0</v>
      </c>
      <c r="N623" s="59">
        <v>0.0023056898546135463</v>
      </c>
      <c r="O623" s="57">
        <v>-0.04778855983682739</v>
      </c>
      <c r="P623" s="51">
        <v>56.78551704236747</v>
      </c>
      <c r="Q623" s="32">
        <v>4922.760167004619</v>
      </c>
      <c r="R623" s="13">
        <v>5423.6406549181365</v>
      </c>
      <c r="S623" s="57">
        <v>-0.09015454683364149</v>
      </c>
      <c r="T623" s="53">
        <v>291209.90444099304</v>
      </c>
      <c r="U623" s="51">
        <v>138871.0643112003</v>
      </c>
      <c r="V623" s="51">
        <v>-170423.40567049972</v>
      </c>
    </row>
    <row r="624">
      <c r="A624" s="55">
        <v>44854.96000641204</v>
      </c>
      <c r="B624" s="56">
        <v>2.491820497438992</v>
      </c>
      <c r="C624" s="57">
        <v>-0.020436834841380924</v>
      </c>
      <c r="D624" s="58">
        <v>-0.5510233337947762</v>
      </c>
      <c r="E624" s="62">
        <v>28.34</v>
      </c>
      <c r="F624" s="57">
        <v>-0.022717060039050718</v>
      </c>
      <c r="G624" s="58">
        <v>-0.5009290841033353</v>
      </c>
      <c r="H624" s="51">
        <v>0.0</v>
      </c>
      <c r="I624" s="57">
        <v>0.0</v>
      </c>
      <c r="J624" s="57">
        <v>0.0</v>
      </c>
      <c r="K624" s="51">
        <v>138866.00000809532</v>
      </c>
      <c r="L624" s="57">
        <v>-0.020436834841380924</v>
      </c>
      <c r="M624" s="57">
        <v>1.0</v>
      </c>
      <c r="N624" s="59">
        <v>0.002280225197669794</v>
      </c>
      <c r="O624" s="57">
        <v>-0.05009424969144094</v>
      </c>
      <c r="P624" s="51">
        <v>56.78551704236747</v>
      </c>
      <c r="Q624" s="32">
        <v>4900.00000028565</v>
      </c>
      <c r="R624" s="13">
        <v>5423.6406549181365</v>
      </c>
      <c r="S624" s="57">
        <v>-0.09436117756518958</v>
      </c>
      <c r="T624" s="53">
        <v>291209.90444099304</v>
      </c>
      <c r="U624" s="51">
        <v>138866.00000809532</v>
      </c>
      <c r="V624" s="51">
        <v>-170428.4699736047</v>
      </c>
    </row>
    <row r="625">
      <c r="A625" s="55">
        <v>44853.95996366898</v>
      </c>
      <c r="B625" s="56">
        <v>2.6052449308086563</v>
      </c>
      <c r="C625" s="57">
        <v>-0.011751255976610642</v>
      </c>
      <c r="D625" s="58">
        <v>-0.5305864989533953</v>
      </c>
      <c r="E625" s="62">
        <v>29.63</v>
      </c>
      <c r="F625" s="57">
        <v>-0.010566074436767825</v>
      </c>
      <c r="G625" s="58">
        <v>-0.47821202406428454</v>
      </c>
      <c r="H625" s="51">
        <v>0.0</v>
      </c>
      <c r="I625" s="57">
        <v>0.0</v>
      </c>
      <c r="J625" s="57">
        <v>0.0</v>
      </c>
      <c r="K625" s="51">
        <v>145187.0000084638</v>
      </c>
      <c r="L625" s="57">
        <v>-0.011751255976610642</v>
      </c>
      <c r="M625" s="57">
        <v>1.0</v>
      </c>
      <c r="N625" s="59">
        <v>-0.0011851815398428167</v>
      </c>
      <c r="O625" s="57">
        <v>-0.052374474889110734</v>
      </c>
      <c r="P625" s="51">
        <v>56.78551704236747</v>
      </c>
      <c r="Q625" s="32">
        <v>4900.00000028565</v>
      </c>
      <c r="R625" s="13">
        <v>5423.6406549181365</v>
      </c>
      <c r="S625" s="57">
        <v>-0.09436117756518958</v>
      </c>
      <c r="T625" s="53">
        <v>291209.90444099304</v>
      </c>
      <c r="U625" s="51">
        <v>145187.0000084638</v>
      </c>
      <c r="V625" s="51">
        <v>-164107.4699732362</v>
      </c>
    </row>
    <row r="626">
      <c r="A626" s="55">
        <v>44852.95996346065</v>
      </c>
      <c r="B626" s="56">
        <v>2.6704644014788457</v>
      </c>
      <c r="C626" s="57">
        <v>-0.011778429381315902</v>
      </c>
      <c r="D626" s="58">
        <v>-0.5188352429767846</v>
      </c>
      <c r="E626" s="62">
        <v>30.23</v>
      </c>
      <c r="F626" s="57">
        <v>-0.013031491805346906</v>
      </c>
      <c r="G626" s="58">
        <v>-0.4676459496275167</v>
      </c>
      <c r="H626" s="51">
        <v>0.0</v>
      </c>
      <c r="I626" s="57">
        <v>0.0</v>
      </c>
      <c r="J626" s="57">
        <v>0.0</v>
      </c>
      <c r="K626" s="51">
        <v>148821.5984973689</v>
      </c>
      <c r="L626" s="57">
        <v>-0.011778429381315902</v>
      </c>
      <c r="M626" s="57">
        <v>1.0</v>
      </c>
      <c r="N626" s="59">
        <v>0.001253062424031004</v>
      </c>
      <c r="O626" s="57">
        <v>-0.05118929334926792</v>
      </c>
      <c r="P626" s="51">
        <v>56.78551704236747</v>
      </c>
      <c r="Q626" s="32">
        <v>4922.977125285111</v>
      </c>
      <c r="R626" s="13">
        <v>5423.6406549181365</v>
      </c>
      <c r="S626" s="57">
        <v>-0.09011444768228423</v>
      </c>
      <c r="T626" s="53">
        <v>291209.90444099304</v>
      </c>
      <c r="U626" s="51">
        <v>148821.5984973689</v>
      </c>
      <c r="V626" s="51">
        <v>-160472.87148433112</v>
      </c>
    </row>
    <row r="627">
      <c r="A627" s="55">
        <v>44851.959968587966</v>
      </c>
      <c r="B627" s="56">
        <v>2.7358346845451487</v>
      </c>
      <c r="C627" s="57">
        <v>0.012096765310540603</v>
      </c>
      <c r="D627" s="58">
        <v>-0.5070568135954687</v>
      </c>
      <c r="E627" s="62">
        <v>30.97</v>
      </c>
      <c r="F627" s="57">
        <v>0.01338369428657249</v>
      </c>
      <c r="G627" s="58">
        <v>-0.4546144578221698</v>
      </c>
      <c r="H627" s="51">
        <v>0.0</v>
      </c>
      <c r="I627" s="57">
        <v>0.0</v>
      </c>
      <c r="J627" s="57">
        <v>0.0</v>
      </c>
      <c r="K627" s="51">
        <v>152464.60157007986</v>
      </c>
      <c r="L627" s="57">
        <v>0.012096765310540603</v>
      </c>
      <c r="M627" s="57">
        <v>1.0</v>
      </c>
      <c r="N627" s="59">
        <v>-0.001286928976031887</v>
      </c>
      <c r="O627" s="57">
        <v>-0.05244235577329892</v>
      </c>
      <c r="P627" s="51">
        <v>56.78551704236747</v>
      </c>
      <c r="Q627" s="32">
        <v>4922.977125285111</v>
      </c>
      <c r="R627" s="13">
        <v>5423.6406549181365</v>
      </c>
      <c r="S627" s="57">
        <v>-0.09011444768228423</v>
      </c>
      <c r="T627" s="53">
        <v>291209.90444099304</v>
      </c>
      <c r="U627" s="51">
        <v>152464.60157007986</v>
      </c>
      <c r="V627" s="51">
        <v>-156829.86841162015</v>
      </c>
    </row>
    <row r="628">
      <c r="A628" s="55">
        <v>44850.96028706018</v>
      </c>
      <c r="B628" s="56">
        <v>2.668697637071648</v>
      </c>
      <c r="C628" s="57">
        <v>0.007003390442944513</v>
      </c>
      <c r="D628" s="58">
        <v>-0.5191535789060093</v>
      </c>
      <c r="E628" s="62">
        <v>30.21</v>
      </c>
      <c r="F628" s="57">
        <v>0.0077484545869630495</v>
      </c>
      <c r="G628" s="58">
        <v>-0.4679981521087423</v>
      </c>
      <c r="H628" s="51">
        <v>0.0</v>
      </c>
      <c r="I628" s="57">
        <v>0.0</v>
      </c>
      <c r="J628" s="57">
        <v>0.0</v>
      </c>
      <c r="K628" s="51">
        <v>148723.13895486319</v>
      </c>
      <c r="L628" s="57">
        <v>0.007003390442944513</v>
      </c>
      <c r="M628" s="57">
        <v>1.0</v>
      </c>
      <c r="N628" s="59">
        <v>-7.450641440185368E-4</v>
      </c>
      <c r="O628" s="57">
        <v>-0.051155426797267034</v>
      </c>
      <c r="P628" s="51">
        <v>56.78551704236747</v>
      </c>
      <c r="Q628" s="32">
        <v>4922.977125285111</v>
      </c>
      <c r="R628" s="13">
        <v>5423.6406549181365</v>
      </c>
      <c r="S628" s="57">
        <v>-0.09011444768228423</v>
      </c>
      <c r="T628" s="53">
        <v>291209.90444099304</v>
      </c>
      <c r="U628" s="51">
        <v>148723.13895486319</v>
      </c>
      <c r="V628" s="51">
        <v>-160571.33102683682</v>
      </c>
    </row>
    <row r="629">
      <c r="A629" s="55">
        <v>44849.959962974535</v>
      </c>
      <c r="B629" s="56">
        <v>2.629828820113306</v>
      </c>
      <c r="C629" s="57">
        <v>-0.00604838265527019</v>
      </c>
      <c r="D629" s="58">
        <v>-0.5261569693489538</v>
      </c>
      <c r="E629" s="62">
        <v>29.77</v>
      </c>
      <c r="F629" s="57">
        <v>-0.006691847143286189</v>
      </c>
      <c r="G629" s="58">
        <v>-0.47574660669570534</v>
      </c>
      <c r="H629" s="51">
        <v>0.0</v>
      </c>
      <c r="I629" s="57">
        <v>0.0</v>
      </c>
      <c r="J629" s="57">
        <v>0.0</v>
      </c>
      <c r="K629" s="51">
        <v>146557.02901973773</v>
      </c>
      <c r="L629" s="57">
        <v>-0.00604838265527019</v>
      </c>
      <c r="M629" s="57">
        <v>1.0</v>
      </c>
      <c r="N629" s="59">
        <v>6.43464488015999E-4</v>
      </c>
      <c r="O629" s="57">
        <v>-0.0504103626532485</v>
      </c>
      <c r="P629" s="51">
        <v>56.78551704236747</v>
      </c>
      <c r="Q629" s="32">
        <v>4922.977125285111</v>
      </c>
      <c r="R629" s="13">
        <v>5423.6406549181365</v>
      </c>
      <c r="S629" s="57">
        <v>-0.09011444768228423</v>
      </c>
      <c r="T629" s="53">
        <v>291209.90444099304</v>
      </c>
      <c r="U629" s="51">
        <v>146557.02901973773</v>
      </c>
      <c r="V629" s="51">
        <v>-162737.44096196227</v>
      </c>
    </row>
    <row r="630">
      <c r="A630" s="55">
        <v>44848.95997113426</v>
      </c>
      <c r="B630" s="56">
        <v>2.6633973438500558</v>
      </c>
      <c r="C630" s="57">
        <v>0.001763296468266673</v>
      </c>
      <c r="D630" s="58">
        <v>-0.5201085866936836</v>
      </c>
      <c r="E630" s="62">
        <v>30.15</v>
      </c>
      <c r="F630" s="57">
        <v>-5.283037218384301E-4</v>
      </c>
      <c r="G630" s="58">
        <v>-0.46905475955241915</v>
      </c>
      <c r="H630" s="51">
        <v>0.0</v>
      </c>
      <c r="I630" s="57">
        <v>0.0</v>
      </c>
      <c r="J630" s="57">
        <v>0.0</v>
      </c>
      <c r="K630" s="51">
        <v>148427.76032734607</v>
      </c>
      <c r="L630" s="57">
        <v>0.001763296468266673</v>
      </c>
      <c r="M630" s="57">
        <v>1.0</v>
      </c>
      <c r="N630" s="59">
        <v>0.002291600190105103</v>
      </c>
      <c r="O630" s="57">
        <v>-0.051053827141264496</v>
      </c>
      <c r="P630" s="51">
        <v>56.78551704236747</v>
      </c>
      <c r="Q630" s="32">
        <v>4922.977125285111</v>
      </c>
      <c r="R630" s="13">
        <v>5423.6406549181365</v>
      </c>
      <c r="S630" s="57">
        <v>-0.09011444768228423</v>
      </c>
      <c r="T630" s="53">
        <v>291209.90444099304</v>
      </c>
      <c r="U630" s="51">
        <v>148427.76032734607</v>
      </c>
      <c r="V630" s="51">
        <v>-160866.70965435394</v>
      </c>
    </row>
    <row r="631">
      <c r="A631" s="55">
        <v>44847.95996636574</v>
      </c>
      <c r="B631" s="56">
        <v>2.6536110484511757</v>
      </c>
      <c r="C631" s="57">
        <v>-0.016476250547103</v>
      </c>
      <c r="D631" s="58">
        <v>-0.5218718831619503</v>
      </c>
      <c r="E631" s="62">
        <v>30.18</v>
      </c>
      <c r="F631" s="57">
        <v>-0.018314529023730763</v>
      </c>
      <c r="G631" s="58">
        <v>-0.4685264558305807</v>
      </c>
      <c r="H631" s="51">
        <v>0.0</v>
      </c>
      <c r="I631" s="57">
        <v>0.0</v>
      </c>
      <c r="J631" s="57">
        <v>0.0</v>
      </c>
      <c r="K631" s="51">
        <v>147882.3824807729</v>
      </c>
      <c r="L631" s="57">
        <v>-0.016476250547103</v>
      </c>
      <c r="M631" s="57">
        <v>1.0</v>
      </c>
      <c r="N631" s="59">
        <v>0.0018382784766277638</v>
      </c>
      <c r="O631" s="57">
        <v>-0.0533454273313696</v>
      </c>
      <c r="P631" s="51">
        <v>56.78551704236747</v>
      </c>
      <c r="Q631" s="32">
        <v>4900.012673319182</v>
      </c>
      <c r="R631" s="13">
        <v>5423.6406549181365</v>
      </c>
      <c r="S631" s="57">
        <v>-0.09435883528127852</v>
      </c>
      <c r="T631" s="53">
        <v>291209.90444099304</v>
      </c>
      <c r="U631" s="51">
        <v>147882.3824807729</v>
      </c>
      <c r="V631" s="51">
        <v>-161412.0875009271</v>
      </c>
    </row>
    <row r="632">
      <c r="A632" s="55">
        <v>44846.959972592595</v>
      </c>
      <c r="B632" s="56">
        <v>2.7450542389875974</v>
      </c>
      <c r="C632" s="57">
        <v>6.350442502018883E-4</v>
      </c>
      <c r="D632" s="58">
        <v>-0.5053956326148473</v>
      </c>
      <c r="E632" s="62">
        <v>31.22</v>
      </c>
      <c r="F632" s="57">
        <v>7.044049624511661E-4</v>
      </c>
      <c r="G632" s="58">
        <v>-0.45021192680684996</v>
      </c>
      <c r="H632" s="51">
        <v>0.0</v>
      </c>
      <c r="I632" s="57">
        <v>0.0</v>
      </c>
      <c r="J632" s="57">
        <v>0.0</v>
      </c>
      <c r="K632" s="51">
        <v>152978.39566102484</v>
      </c>
      <c r="L632" s="57">
        <v>6.350442502018883E-4</v>
      </c>
      <c r="M632" s="57">
        <v>1.0</v>
      </c>
      <c r="N632" s="59">
        <v>-6.936071224927787E-5</v>
      </c>
      <c r="O632" s="57">
        <v>-0.05518370580799736</v>
      </c>
      <c r="P632" s="51">
        <v>56.78551704236747</v>
      </c>
      <c r="Q632" s="32">
        <v>4900.012673319182</v>
      </c>
      <c r="R632" s="13">
        <v>5423.6406549181365</v>
      </c>
      <c r="S632" s="57">
        <v>-0.09435883528127852</v>
      </c>
      <c r="T632" s="53">
        <v>291209.90444099304</v>
      </c>
      <c r="U632" s="51">
        <v>152978.39566102484</v>
      </c>
      <c r="V632" s="51">
        <v>-156316.07432067516</v>
      </c>
    </row>
    <row r="633">
      <c r="A633" s="55">
        <v>44845.959958935186</v>
      </c>
      <c r="B633" s="56">
        <v>2.741529743398977</v>
      </c>
      <c r="C633" s="57">
        <v>-0.019961556996473284</v>
      </c>
      <c r="D633" s="58">
        <v>-0.5060306768650492</v>
      </c>
      <c r="E633" s="62">
        <v>31.18</v>
      </c>
      <c r="F633" s="57">
        <v>-0.022188756317212288</v>
      </c>
      <c r="G633" s="58">
        <v>-0.4509163317693011</v>
      </c>
      <c r="H633" s="51">
        <v>0.0</v>
      </c>
      <c r="I633" s="57">
        <v>0.0</v>
      </c>
      <c r="J633" s="57">
        <v>0.0</v>
      </c>
      <c r="K633" s="51">
        <v>152781.9799862437</v>
      </c>
      <c r="L633" s="57">
        <v>-0.019961556996473284</v>
      </c>
      <c r="M633" s="57">
        <v>1.0</v>
      </c>
      <c r="N633" s="59">
        <v>0.002227199320739004</v>
      </c>
      <c r="O633" s="57">
        <v>-0.055114345095748085</v>
      </c>
      <c r="P633" s="51">
        <v>56.78551704236747</v>
      </c>
      <c r="Q633" s="32">
        <v>4899.999358121992</v>
      </c>
      <c r="R633" s="13">
        <v>5423.6406549181365</v>
      </c>
      <c r="S633" s="57">
        <v>-0.09436129625260556</v>
      </c>
      <c r="T633" s="53">
        <v>291209.90444099304</v>
      </c>
      <c r="U633" s="51">
        <v>152781.9799862437</v>
      </c>
      <c r="V633" s="51">
        <v>-156512.4899954563</v>
      </c>
    </row>
    <row r="634">
      <c r="A634" s="55">
        <v>44844.95996305556</v>
      </c>
      <c r="B634" s="56">
        <v>2.8523163847294035</v>
      </c>
      <c r="C634" s="57">
        <v>-0.007287552554268051</v>
      </c>
      <c r="D634" s="58">
        <v>-0.4860691198685759</v>
      </c>
      <c r="E634" s="62">
        <v>32.44</v>
      </c>
      <c r="F634" s="57">
        <v>-0.008100657068188633</v>
      </c>
      <c r="G634" s="58">
        <v>-0.42872757545208884</v>
      </c>
      <c r="H634" s="51">
        <v>0.0</v>
      </c>
      <c r="I634" s="57">
        <v>0.0</v>
      </c>
      <c r="J634" s="57">
        <v>0.0</v>
      </c>
      <c r="K634" s="51">
        <v>158955.97917747742</v>
      </c>
      <c r="L634" s="57">
        <v>-0.007287552554268051</v>
      </c>
      <c r="M634" s="57">
        <v>1.0</v>
      </c>
      <c r="N634" s="59">
        <v>8.131045139205817E-4</v>
      </c>
      <c r="O634" s="57">
        <v>-0.05734154441648709</v>
      </c>
      <c r="P634" s="51">
        <v>56.78551704236747</v>
      </c>
      <c r="Q634" s="32">
        <v>4899.999358121992</v>
      </c>
      <c r="R634" s="13">
        <v>5423.6406549181365</v>
      </c>
      <c r="S634" s="57">
        <v>-0.09436129625260556</v>
      </c>
      <c r="T634" s="53">
        <v>291209.90444099304</v>
      </c>
      <c r="U634" s="51">
        <v>158955.97917747742</v>
      </c>
      <c r="V634" s="51">
        <v>-150338.4908042226</v>
      </c>
    </row>
    <row r="635">
      <c r="A635" s="55">
        <v>44843.95996957176</v>
      </c>
      <c r="B635" s="56">
        <v>2.892762301405591</v>
      </c>
      <c r="C635" s="57">
        <v>0.004752684011131825</v>
      </c>
      <c r="D635" s="58">
        <v>-0.4787815673143079</v>
      </c>
      <c r="E635" s="62">
        <v>32.9</v>
      </c>
      <c r="F635" s="57">
        <v>0.005283037218383746</v>
      </c>
      <c r="G635" s="58">
        <v>-0.4206269183839002</v>
      </c>
      <c r="H635" s="51">
        <v>0.0</v>
      </c>
      <c r="I635" s="57">
        <v>0.0</v>
      </c>
      <c r="J635" s="57">
        <v>0.0</v>
      </c>
      <c r="K635" s="51">
        <v>161209.97888221353</v>
      </c>
      <c r="L635" s="57">
        <v>0.004752684011131825</v>
      </c>
      <c r="M635" s="57">
        <v>1.0</v>
      </c>
      <c r="N635" s="59">
        <v>-5.303532072519213E-4</v>
      </c>
      <c r="O635" s="57">
        <v>-0.05815464893040767</v>
      </c>
      <c r="P635" s="51">
        <v>56.78551704236747</v>
      </c>
      <c r="Q635" s="32">
        <v>4899.999358121992</v>
      </c>
      <c r="R635" s="13">
        <v>5423.6406549181365</v>
      </c>
      <c r="S635" s="57">
        <v>-0.09436129625260556</v>
      </c>
      <c r="T635" s="53">
        <v>291209.90444099304</v>
      </c>
      <c r="U635" s="51">
        <v>161209.97888221353</v>
      </c>
      <c r="V635" s="51">
        <v>-148084.49109948648</v>
      </c>
    </row>
    <row r="636">
      <c r="A636" s="55">
        <v>44842.959966689814</v>
      </c>
      <c r="B636" s="48">
        <v>2.8663849051438097</v>
      </c>
      <c r="C636" s="7">
        <v>-0.00459425895560428</v>
      </c>
      <c r="D636" s="49">
        <v>-0.4835342513254397</v>
      </c>
      <c r="E636" s="62">
        <v>32.6</v>
      </c>
      <c r="F636" s="7">
        <v>-0.00510693597777101</v>
      </c>
      <c r="G636" s="49">
        <v>-0.42590995560228395</v>
      </c>
      <c r="H636" s="51">
        <v>0.0</v>
      </c>
      <c r="I636" s="57">
        <v>0.0</v>
      </c>
      <c r="J636" s="57">
        <v>0.0</v>
      </c>
      <c r="K636" s="51">
        <v>159740.0</v>
      </c>
      <c r="L636" s="7">
        <v>-0.00459425895560428</v>
      </c>
      <c r="M636" s="7">
        <v>1.0</v>
      </c>
      <c r="N636" s="52">
        <v>5.126770221667298E-4</v>
      </c>
      <c r="O636" s="7">
        <v>-0.05762429572315575</v>
      </c>
      <c r="P636" s="53">
        <v>56.78551704236747</v>
      </c>
      <c r="Q636" s="32">
        <v>4900.0</v>
      </c>
      <c r="R636" s="13">
        <v>5423.6406549181365</v>
      </c>
      <c r="S636" s="7">
        <v>-0.09436117761798454</v>
      </c>
      <c r="T636" s="53">
        <v>291209.90444099304</v>
      </c>
      <c r="U636" s="53">
        <v>159740.0</v>
      </c>
      <c r="V636" s="53">
        <v>-149554.4699817</v>
      </c>
    </row>
    <row r="637">
      <c r="A637" s="55">
        <v>44841.95995695602</v>
      </c>
      <c r="B637" s="56">
        <v>2.891883042347413</v>
      </c>
      <c r="C637" s="57">
        <v>-0.009992686385558502</v>
      </c>
      <c r="D637" s="58">
        <v>-0.4789399923698354</v>
      </c>
      <c r="E637" s="62">
        <v>32.89</v>
      </c>
      <c r="F637" s="57">
        <v>-0.011622681880444463</v>
      </c>
      <c r="G637" s="58">
        <v>-0.42080301962451294</v>
      </c>
      <c r="H637" s="51">
        <v>0.0</v>
      </c>
      <c r="I637" s="57">
        <v>0.0</v>
      </c>
      <c r="J637" s="57">
        <v>0.0</v>
      </c>
      <c r="K637" s="51">
        <v>161160.97888863232</v>
      </c>
      <c r="L637" s="57">
        <v>-0.009992686385558502</v>
      </c>
      <c r="M637" s="57">
        <v>1.0</v>
      </c>
      <c r="N637" s="59">
        <v>0.0016299954948859607</v>
      </c>
      <c r="O637" s="57">
        <v>-0.05813697274532248</v>
      </c>
      <c r="P637" s="51">
        <v>56.78551704236747</v>
      </c>
      <c r="Q637" s="32">
        <v>4899.999358121992</v>
      </c>
      <c r="R637" s="13">
        <v>5423.670240575741</v>
      </c>
      <c r="S637" s="57">
        <v>-0.09436129625260556</v>
      </c>
      <c r="T637" s="53">
        <v>291210.90117777564</v>
      </c>
      <c r="U637" s="51">
        <v>161160.97888863232</v>
      </c>
      <c r="V637" s="51">
        <v>-148133.49109306769</v>
      </c>
    </row>
    <row r="638">
      <c r="A638" s="55">
        <v>44840.96109304398</v>
      </c>
      <c r="B638" s="56">
        <v>2.947342451787263</v>
      </c>
      <c r="C638" s="57">
        <v>-0.0052234691214660955</v>
      </c>
      <c r="D638" s="58">
        <v>-0.4689473059842769</v>
      </c>
      <c r="E638" s="62">
        <v>33.55</v>
      </c>
      <c r="F638" s="57">
        <v>-0.005811340940222398</v>
      </c>
      <c r="G638" s="58">
        <v>-0.4091803377440685</v>
      </c>
      <c r="H638" s="51">
        <v>0.0</v>
      </c>
      <c r="I638" s="57">
        <v>0.0</v>
      </c>
      <c r="J638" s="57">
        <v>0.0</v>
      </c>
      <c r="K638" s="51">
        <v>164251.66152794697</v>
      </c>
      <c r="L638" s="57">
        <v>-0.0052234691214660955</v>
      </c>
      <c r="M638" s="57">
        <v>1.0</v>
      </c>
      <c r="N638" s="59">
        <v>5.878718187563026E-4</v>
      </c>
      <c r="O638" s="57">
        <v>-0.05976696824020844</v>
      </c>
      <c r="P638" s="51">
        <v>56.78551704236747</v>
      </c>
      <c r="Q638" s="32">
        <v>4895.727616332249</v>
      </c>
      <c r="R638" s="13">
        <v>5423.670240575741</v>
      </c>
      <c r="S638" s="57">
        <v>-0.09515081772280613</v>
      </c>
      <c r="T638" s="53">
        <v>291210.90117777564</v>
      </c>
      <c r="U638" s="51">
        <v>164251.66152794697</v>
      </c>
      <c r="V638" s="51">
        <v>-145042.80845375304</v>
      </c>
    </row>
    <row r="639">
      <c r="A639" s="55">
        <v>44839.961237905096</v>
      </c>
      <c r="B639" s="56">
        <v>2.9763327054113997</v>
      </c>
      <c r="C639" s="57">
        <v>-0.0037988866337935745</v>
      </c>
      <c r="D639" s="58">
        <v>-0.4637238368628108</v>
      </c>
      <c r="E639" s="62">
        <v>33.88</v>
      </c>
      <c r="F639" s="57">
        <v>-0.004226429774706997</v>
      </c>
      <c r="G639" s="58">
        <v>-0.4033689968038461</v>
      </c>
      <c r="H639" s="51">
        <v>0.0</v>
      </c>
      <c r="I639" s="57">
        <v>0.0</v>
      </c>
      <c r="J639" s="57">
        <v>0.0</v>
      </c>
      <c r="K639" s="51">
        <v>165867.25164133662</v>
      </c>
      <c r="L639" s="57">
        <v>-0.0037988866337935745</v>
      </c>
      <c r="M639" s="57">
        <v>1.0</v>
      </c>
      <c r="N639" s="59">
        <v>4.2754314091342227E-4</v>
      </c>
      <c r="O639" s="57">
        <v>-0.06035484005896474</v>
      </c>
      <c r="P639" s="51">
        <v>56.78551704236747</v>
      </c>
      <c r="Q639" s="32">
        <v>4895.727616332249</v>
      </c>
      <c r="R639" s="13">
        <v>5423.670240575741</v>
      </c>
      <c r="S639" s="57">
        <v>-0.09515081772280613</v>
      </c>
      <c r="T639" s="53">
        <v>291210.90117777564</v>
      </c>
      <c r="U639" s="51">
        <v>165867.25164133662</v>
      </c>
      <c r="V639" s="51">
        <v>-143427.21834036338</v>
      </c>
    </row>
    <row r="640">
      <c r="A640" s="55">
        <v>44838.95997777778</v>
      </c>
      <c r="B640" s="56">
        <v>2.997416526228954</v>
      </c>
      <c r="C640" s="57">
        <v>0.018202998453594188</v>
      </c>
      <c r="D640" s="58">
        <v>-0.45992495022901725</v>
      </c>
      <c r="E640" s="62">
        <v>34.12</v>
      </c>
      <c r="F640" s="57">
        <v>0.020251642670471526</v>
      </c>
      <c r="G640" s="58">
        <v>-0.3991425670291391</v>
      </c>
      <c r="H640" s="51">
        <v>0.0</v>
      </c>
      <c r="I640" s="57">
        <v>0.0</v>
      </c>
      <c r="J640" s="57">
        <v>0.0</v>
      </c>
      <c r="K640" s="51">
        <v>167042.22626925635</v>
      </c>
      <c r="L640" s="57">
        <v>0.018202998453594188</v>
      </c>
      <c r="M640" s="57">
        <v>1.0</v>
      </c>
      <c r="N640" s="59">
        <v>-0.0020486442168773378</v>
      </c>
      <c r="O640" s="57">
        <v>-0.060782383199878165</v>
      </c>
      <c r="P640" s="51">
        <v>56.78551704236747</v>
      </c>
      <c r="Q640" s="32">
        <v>4895.727616332249</v>
      </c>
      <c r="R640" s="13">
        <v>5423.670240575741</v>
      </c>
      <c r="S640" s="57">
        <v>-0.09515081772280613</v>
      </c>
      <c r="T640" s="53">
        <v>291210.90117777564</v>
      </c>
      <c r="U640" s="51">
        <v>167042.22626925635</v>
      </c>
      <c r="V640" s="51">
        <v>-142252.24371244365</v>
      </c>
    </row>
    <row r="641">
      <c r="A641" s="55">
        <v>44837.959966319446</v>
      </c>
      <c r="B641" s="56">
        <v>2.8963898848115064</v>
      </c>
      <c r="C641" s="57">
        <v>0.007914347153736512</v>
      </c>
      <c r="D641" s="58">
        <v>-0.47812794868261144</v>
      </c>
      <c r="E641" s="62">
        <v>32.97</v>
      </c>
      <c r="F641" s="57">
        <v>0.008805062030639799</v>
      </c>
      <c r="G641" s="58">
        <v>-0.4193942096996106</v>
      </c>
      <c r="H641" s="51">
        <v>0.0</v>
      </c>
      <c r="I641" s="57">
        <v>0.0</v>
      </c>
      <c r="J641" s="57">
        <v>0.0</v>
      </c>
      <c r="K641" s="51">
        <v>161412.13951047426</v>
      </c>
      <c r="L641" s="57">
        <v>0.007914347153736512</v>
      </c>
      <c r="M641" s="57">
        <v>1.0</v>
      </c>
      <c r="N641" s="59">
        <v>-8.907148769032869E-4</v>
      </c>
      <c r="O641" s="57">
        <v>-0.05873373898300083</v>
      </c>
      <c r="P641" s="51">
        <v>56.78551704236747</v>
      </c>
      <c r="Q641" s="32">
        <v>4895.727616332249</v>
      </c>
      <c r="R641" s="13">
        <v>5423.670240575741</v>
      </c>
      <c r="S641" s="57">
        <v>-0.09515081772280613</v>
      </c>
      <c r="T641" s="53">
        <v>291210.90117777564</v>
      </c>
      <c r="U641" s="51">
        <v>161412.13951047426</v>
      </c>
      <c r="V641" s="51">
        <v>-147882.33047122575</v>
      </c>
    </row>
    <row r="642">
      <c r="A642" s="55">
        <v>44836.95996633102</v>
      </c>
      <c r="B642" s="56">
        <v>2.852465258108269</v>
      </c>
      <c r="C642" s="57">
        <v>-0.003165738861494627</v>
      </c>
      <c r="D642" s="58">
        <v>-0.48604229583634795</v>
      </c>
      <c r="E642" s="62">
        <v>32.47</v>
      </c>
      <c r="F642" s="57">
        <v>-0.0035220248122559417</v>
      </c>
      <c r="G642" s="58">
        <v>-0.4281992717302504</v>
      </c>
      <c r="H642" s="51">
        <v>0.0</v>
      </c>
      <c r="I642" s="57">
        <v>0.0</v>
      </c>
      <c r="J642" s="57">
        <v>0.0</v>
      </c>
      <c r="K642" s="51">
        <v>158964.27570230814</v>
      </c>
      <c r="L642" s="57">
        <v>-0.003165738861494627</v>
      </c>
      <c r="M642" s="57">
        <v>1.0</v>
      </c>
      <c r="N642" s="59">
        <v>3.5628595076131475E-4</v>
      </c>
      <c r="O642" s="57">
        <v>-0.05784302410609754</v>
      </c>
      <c r="P642" s="51">
        <v>56.78551704236747</v>
      </c>
      <c r="Q642" s="32">
        <v>4895.727616332249</v>
      </c>
      <c r="R642" s="13">
        <v>5423.670240575741</v>
      </c>
      <c r="S642" s="57">
        <v>-0.09515081772280613</v>
      </c>
      <c r="T642" s="53">
        <v>291210.90117777564</v>
      </c>
      <c r="U642" s="51">
        <v>158964.27570230814</v>
      </c>
      <c r="V642" s="51">
        <v>-150330.19427939187</v>
      </c>
    </row>
    <row r="643">
      <c r="A643" s="55">
        <v>44835.95997667824</v>
      </c>
      <c r="B643" s="56">
        <v>2.870035108789564</v>
      </c>
      <c r="C643" s="57">
        <v>-0.010446938242932302</v>
      </c>
      <c r="D643" s="58">
        <v>-0.4828765569748533</v>
      </c>
      <c r="E643" s="62">
        <v>32.67</v>
      </c>
      <c r="F643" s="57">
        <v>-0.011622681880444574</v>
      </c>
      <c r="G643" s="58">
        <v>-0.42467724691799447</v>
      </c>
      <c r="H643" s="51">
        <v>0.0</v>
      </c>
      <c r="I643" s="57">
        <v>0.0</v>
      </c>
      <c r="J643" s="57">
        <v>0.0</v>
      </c>
      <c r="K643" s="51">
        <v>159943.4212255746</v>
      </c>
      <c r="L643" s="57">
        <v>-0.010446938242932302</v>
      </c>
      <c r="M643" s="57">
        <v>1.0</v>
      </c>
      <c r="N643" s="59">
        <v>0.001175743637512272</v>
      </c>
      <c r="O643" s="57">
        <v>-0.058199310056858855</v>
      </c>
      <c r="P643" s="51">
        <v>56.78551704236747</v>
      </c>
      <c r="Q643" s="32">
        <v>4895.727616332249</v>
      </c>
      <c r="R643" s="13">
        <v>5423.670240575741</v>
      </c>
      <c r="S643" s="57">
        <v>-0.09515081772280613</v>
      </c>
      <c r="T643" s="53">
        <v>291210.90117777564</v>
      </c>
      <c r="U643" s="51">
        <v>159943.4212255746</v>
      </c>
      <c r="V643" s="51">
        <v>-149351.0487561254</v>
      </c>
    </row>
    <row r="644">
      <c r="A644" s="55">
        <v>44834.95996640046</v>
      </c>
      <c r="B644" s="56">
        <v>2.9280156160378383</v>
      </c>
      <c r="C644" s="57">
        <v>-0.00918144034149293</v>
      </c>
      <c r="D644" s="58">
        <v>-0.472429618731921</v>
      </c>
      <c r="E644" s="62">
        <v>33.33</v>
      </c>
      <c r="F644" s="57">
        <v>-0.010213871955542131</v>
      </c>
      <c r="G644" s="58">
        <v>-0.4130545650375499</v>
      </c>
      <c r="H644" s="51">
        <v>0.0</v>
      </c>
      <c r="I644" s="57">
        <v>0.0</v>
      </c>
      <c r="J644" s="57">
        <v>0.0</v>
      </c>
      <c r="K644" s="51">
        <v>163174.60145235388</v>
      </c>
      <c r="L644" s="57">
        <v>-0.00918144034149293</v>
      </c>
      <c r="M644" s="57">
        <v>1.0</v>
      </c>
      <c r="N644" s="59">
        <v>0.0010324316140492007</v>
      </c>
      <c r="O644" s="57">
        <v>-0.05937505369437113</v>
      </c>
      <c r="P644" s="51">
        <v>56.78551704236747</v>
      </c>
      <c r="Q644" s="32">
        <v>4895.727616332249</v>
      </c>
      <c r="R644" s="13">
        <v>5423.670240575741</v>
      </c>
      <c r="S644" s="57">
        <v>-0.09515081772280613</v>
      </c>
      <c r="T644" s="53">
        <v>291210.90117777564</v>
      </c>
      <c r="U644" s="51">
        <v>163174.60145235388</v>
      </c>
      <c r="V644" s="51">
        <v>-146119.86852934613</v>
      </c>
    </row>
    <row r="645">
      <c r="A645" s="55">
        <v>44833.95996902778</v>
      </c>
      <c r="B645" s="56">
        <v>2.978972609933124</v>
      </c>
      <c r="C645" s="57">
        <v>0.008864081984705341</v>
      </c>
      <c r="D645" s="58">
        <v>-0.4632481783904281</v>
      </c>
      <c r="E645" s="62">
        <v>33.91</v>
      </c>
      <c r="F645" s="57">
        <v>0.009861669474316548</v>
      </c>
      <c r="G645" s="58">
        <v>-0.40284069308200776</v>
      </c>
      <c r="H645" s="51">
        <v>0.0</v>
      </c>
      <c r="I645" s="57">
        <v>0.0</v>
      </c>
      <c r="J645" s="57">
        <v>0.0</v>
      </c>
      <c r="K645" s="51">
        <v>166014.37017644453</v>
      </c>
      <c r="L645" s="57">
        <v>0.008864081984705341</v>
      </c>
      <c r="M645" s="57">
        <v>1.0</v>
      </c>
      <c r="N645" s="59">
        <v>-9.97587489611207E-4</v>
      </c>
      <c r="O645" s="57">
        <v>-0.06040748530842033</v>
      </c>
      <c r="P645" s="51">
        <v>56.78551704236747</v>
      </c>
      <c r="Q645" s="32">
        <v>4895.734891667489</v>
      </c>
      <c r="R645" s="13">
        <v>5435.398044550754</v>
      </c>
      <c r="S645" s="57">
        <v>-0.09514947306443085</v>
      </c>
      <c r="T645" s="53">
        <v>291600.8059652339</v>
      </c>
      <c r="U645" s="51">
        <v>166014.37017644453</v>
      </c>
      <c r="V645" s="51">
        <v>-143280.09980525548</v>
      </c>
    </row>
    <row r="646">
      <c r="A646" s="55">
        <v>44832.959975081016</v>
      </c>
      <c r="B646" s="56">
        <v>2.9297769549180095</v>
      </c>
      <c r="C646" s="57">
        <v>0.01044695376768856</v>
      </c>
      <c r="D646" s="58">
        <v>-0.47211226037513343</v>
      </c>
      <c r="E646" s="62">
        <v>33.35</v>
      </c>
      <c r="F646" s="57">
        <v>0.011622681880444574</v>
      </c>
      <c r="G646" s="58">
        <v>-0.4127023625563243</v>
      </c>
      <c r="H646" s="51">
        <v>0.0</v>
      </c>
      <c r="I646" s="57">
        <v>0.0</v>
      </c>
      <c r="J646" s="57">
        <v>0.0</v>
      </c>
      <c r="K646" s="51">
        <v>163272.75863711076</v>
      </c>
      <c r="L646" s="57">
        <v>0.01044695376768856</v>
      </c>
      <c r="M646" s="57">
        <v>1.0</v>
      </c>
      <c r="N646" s="59">
        <v>-0.0011757281127560137</v>
      </c>
      <c r="O646" s="57">
        <v>-0.05940989781880912</v>
      </c>
      <c r="P646" s="51">
        <v>56.78551704236747</v>
      </c>
      <c r="Q646" s="32">
        <v>4895.734891667489</v>
      </c>
      <c r="R646" s="13">
        <v>5435.398044550754</v>
      </c>
      <c r="S646" s="57">
        <v>-0.09514947306443085</v>
      </c>
      <c r="T646" s="53">
        <v>291600.8059652339</v>
      </c>
      <c r="U646" s="51">
        <v>163272.75863711076</v>
      </c>
      <c r="V646" s="51">
        <v>-146021.71134458925</v>
      </c>
    </row>
    <row r="647">
      <c r="A647" s="55">
        <v>44831.95996450231</v>
      </c>
      <c r="B647" s="56">
        <v>2.871796361507338</v>
      </c>
      <c r="C647" s="57">
        <v>-0.011871538372373314</v>
      </c>
      <c r="D647" s="58">
        <v>-0.482559214142822</v>
      </c>
      <c r="E647" s="62">
        <v>32.69</v>
      </c>
      <c r="F647" s="57">
        <v>-0.013207593045959753</v>
      </c>
      <c r="G647" s="58">
        <v>-0.4243250444367689</v>
      </c>
      <c r="H647" s="51">
        <v>0.0</v>
      </c>
      <c r="I647" s="57">
        <v>0.0</v>
      </c>
      <c r="J647" s="57">
        <v>0.0</v>
      </c>
      <c r="K647" s="51">
        <v>160041.5736086102</v>
      </c>
      <c r="L647" s="57">
        <v>-0.011871538372373314</v>
      </c>
      <c r="M647" s="57">
        <v>1.0</v>
      </c>
      <c r="N647" s="59">
        <v>0.0013360546735864398</v>
      </c>
      <c r="O647" s="57">
        <v>-0.05823416970605311</v>
      </c>
      <c r="P647" s="51">
        <v>56.78551704236747</v>
      </c>
      <c r="Q647" s="32">
        <v>4895.734891667489</v>
      </c>
      <c r="R647" s="13">
        <v>5435.398044550754</v>
      </c>
      <c r="S647" s="57">
        <v>-0.09514947306443085</v>
      </c>
      <c r="T647" s="53">
        <v>291600.8059652339</v>
      </c>
      <c r="U647" s="51">
        <v>160041.5736086102</v>
      </c>
      <c r="V647" s="51">
        <v>-149252.8963730898</v>
      </c>
    </row>
    <row r="648">
      <c r="A648" s="55">
        <v>44830.959966724535</v>
      </c>
      <c r="B648" s="56">
        <v>2.9376833994740097</v>
      </c>
      <c r="C648" s="57">
        <v>0.018044738326007392</v>
      </c>
      <c r="D648" s="58">
        <v>-0.4706876757704487</v>
      </c>
      <c r="E648" s="62">
        <v>33.44</v>
      </c>
      <c r="F648" s="57">
        <v>0.02007554142985879</v>
      </c>
      <c r="G648" s="58">
        <v>-0.41111745139080913</v>
      </c>
      <c r="H648" s="51">
        <v>0.0</v>
      </c>
      <c r="I648" s="57">
        <v>0.0</v>
      </c>
      <c r="J648" s="57">
        <v>0.0</v>
      </c>
      <c r="K648" s="51">
        <v>163713.37477736082</v>
      </c>
      <c r="L648" s="57">
        <v>0.018044738326007392</v>
      </c>
      <c r="M648" s="57">
        <v>1.0</v>
      </c>
      <c r="N648" s="59">
        <v>-0.0020308031038513974</v>
      </c>
      <c r="O648" s="57">
        <v>-0.05957022437963955</v>
      </c>
      <c r="P648" s="51">
        <v>56.78551704236747</v>
      </c>
      <c r="Q648" s="32">
        <v>4895.734891667489</v>
      </c>
      <c r="R648" s="13">
        <v>5435.398044550754</v>
      </c>
      <c r="S648" s="57">
        <v>-0.09514947306443085</v>
      </c>
      <c r="T648" s="53">
        <v>291600.8059652339</v>
      </c>
      <c r="U648" s="51">
        <v>163713.37477736082</v>
      </c>
      <c r="V648" s="51">
        <v>-145581.0952043392</v>
      </c>
    </row>
    <row r="649">
      <c r="A649" s="55">
        <v>44829.96051819445</v>
      </c>
      <c r="B649" s="56">
        <v>2.8375351017646686</v>
      </c>
      <c r="C649" s="57">
        <v>-0.01994418446558721</v>
      </c>
      <c r="D649" s="58">
        <v>-0.48873241409645607</v>
      </c>
      <c r="E649" s="62">
        <v>32.3</v>
      </c>
      <c r="F649" s="57">
        <v>-0.0221887563172124</v>
      </c>
      <c r="G649" s="58">
        <v>-0.4311929928206679</v>
      </c>
      <c r="H649" s="51">
        <v>0.0</v>
      </c>
      <c r="I649" s="57">
        <v>0.0</v>
      </c>
      <c r="J649" s="57">
        <v>0.0</v>
      </c>
      <c r="K649" s="51">
        <v>158132.2370008599</v>
      </c>
      <c r="L649" s="57">
        <v>-0.01994418446558721</v>
      </c>
      <c r="M649" s="57">
        <v>1.0</v>
      </c>
      <c r="N649" s="59">
        <v>0.002244571851625188</v>
      </c>
      <c r="O649" s="57">
        <v>-0.05753942127578815</v>
      </c>
      <c r="P649" s="51">
        <v>56.78551704236747</v>
      </c>
      <c r="Q649" s="32">
        <v>4895.734891667489</v>
      </c>
      <c r="R649" s="13">
        <v>5435.398044550754</v>
      </c>
      <c r="S649" s="57">
        <v>-0.09514947306443085</v>
      </c>
      <c r="T649" s="53">
        <v>291600.8059652339</v>
      </c>
      <c r="U649" s="51">
        <v>158132.2370008599</v>
      </c>
      <c r="V649" s="51">
        <v>-151162.2329808401</v>
      </c>
    </row>
    <row r="650">
      <c r="A650" s="55">
        <v>44828.96046752315</v>
      </c>
      <c r="B650" s="56">
        <v>2.9482253255486777</v>
      </c>
      <c r="C650" s="57">
        <v>0.003798892279159416</v>
      </c>
      <c r="D650" s="58">
        <v>-0.46878822963086886</v>
      </c>
      <c r="E650" s="62">
        <v>33.56</v>
      </c>
      <c r="F650" s="57">
        <v>0.004226429774707219</v>
      </c>
      <c r="G650" s="58">
        <v>-0.4090042365034555</v>
      </c>
      <c r="H650" s="51">
        <v>0.0</v>
      </c>
      <c r="I650" s="57">
        <v>0.0</v>
      </c>
      <c r="J650" s="57">
        <v>0.0</v>
      </c>
      <c r="K650" s="51">
        <v>164300.86296436095</v>
      </c>
      <c r="L650" s="57">
        <v>0.003798892279159416</v>
      </c>
      <c r="M650" s="57">
        <v>1.0</v>
      </c>
      <c r="N650" s="59">
        <v>-4.2753749554780285E-4</v>
      </c>
      <c r="O650" s="57">
        <v>-0.05978399312741334</v>
      </c>
      <c r="P650" s="51">
        <v>56.78551704236747</v>
      </c>
      <c r="Q650" s="32">
        <v>4895.734891667489</v>
      </c>
      <c r="R650" s="13">
        <v>5446.224483507824</v>
      </c>
      <c r="S650" s="57">
        <v>-0.09514947306443085</v>
      </c>
      <c r="T650" s="53">
        <v>291999.99999999994</v>
      </c>
      <c r="U650" s="51">
        <v>164300.86296436095</v>
      </c>
      <c r="V650" s="51">
        <v>-144993.60701733906</v>
      </c>
    </row>
    <row r="651">
      <c r="A651" s="55">
        <v>44827.95996857639</v>
      </c>
      <c r="B651" s="56">
        <v>2.927141473399343</v>
      </c>
      <c r="C651" s="57">
        <v>0.02262670445588022</v>
      </c>
      <c r="D651" s="58">
        <v>-0.4725871219100283</v>
      </c>
      <c r="E651" s="62">
        <v>33.32</v>
      </c>
      <c r="F651" s="57">
        <v>0.021308250114148275</v>
      </c>
      <c r="G651" s="58">
        <v>-0.41323066627816274</v>
      </c>
      <c r="H651" s="51">
        <v>0.0</v>
      </c>
      <c r="I651" s="57">
        <v>0.0</v>
      </c>
      <c r="J651" s="57">
        <v>0.0</v>
      </c>
      <c r="K651" s="51">
        <v>163125.88659036075</v>
      </c>
      <c r="L651" s="57">
        <v>0.02262670445588022</v>
      </c>
      <c r="M651" s="57">
        <v>1.0</v>
      </c>
      <c r="N651" s="59">
        <v>0.001318454341731945</v>
      </c>
      <c r="O651" s="57">
        <v>-0.059356455631865535</v>
      </c>
      <c r="P651" s="51">
        <v>56.78551704236747</v>
      </c>
      <c r="Q651" s="32">
        <v>4895.734891667489</v>
      </c>
      <c r="R651" s="13">
        <v>5446.224483507824</v>
      </c>
      <c r="S651" s="57">
        <v>-0.09514947306443085</v>
      </c>
      <c r="T651" s="53">
        <v>291999.99999999994</v>
      </c>
      <c r="U651" s="51">
        <v>163125.88659036075</v>
      </c>
      <c r="V651" s="51">
        <v>-146168.58339133926</v>
      </c>
    </row>
    <row r="652">
      <c r="A652" s="55">
        <v>44826.959970625</v>
      </c>
      <c r="B652" s="56">
        <v>2.8015632636692076</v>
      </c>
      <c r="C652" s="57">
        <v>0.02232315062474033</v>
      </c>
      <c r="D652" s="58">
        <v>-0.4952138263659085</v>
      </c>
      <c r="E652" s="62">
        <v>32.11</v>
      </c>
      <c r="F652" s="57">
        <v>0.025006376167017064</v>
      </c>
      <c r="G652" s="58">
        <v>-0.434538916392311</v>
      </c>
      <c r="H652" s="51">
        <v>0.0</v>
      </c>
      <c r="I652" s="57">
        <v>0.0</v>
      </c>
      <c r="J652" s="57">
        <v>0.0</v>
      </c>
      <c r="K652" s="51">
        <v>156127.5720282467</v>
      </c>
      <c r="L652" s="57">
        <v>0.02232315062474033</v>
      </c>
      <c r="M652" s="57">
        <v>1.0</v>
      </c>
      <c r="N652" s="59">
        <v>-0.002683225542276735</v>
      </c>
      <c r="O652" s="57">
        <v>-0.06067490997359748</v>
      </c>
      <c r="P652" s="51">
        <v>56.78551704236747</v>
      </c>
      <c r="Q652" s="32">
        <v>4862.272563944151</v>
      </c>
      <c r="R652" s="13">
        <v>5446.224483507824</v>
      </c>
      <c r="S652" s="57">
        <v>-0.1013341226712726</v>
      </c>
      <c r="T652" s="53">
        <v>291999.99999999994</v>
      </c>
      <c r="U652" s="51">
        <v>156127.5720282467</v>
      </c>
      <c r="V652" s="51">
        <v>-153166.8979534533</v>
      </c>
    </row>
    <row r="653">
      <c r="A653" s="55">
        <v>44825.95997630787</v>
      </c>
      <c r="B653" s="56">
        <v>2.677669777701899</v>
      </c>
      <c r="C653" s="57">
        <v>-0.015877733895061752</v>
      </c>
      <c r="D653" s="58">
        <v>-0.5175369769906488</v>
      </c>
      <c r="E653" s="62">
        <v>30.69</v>
      </c>
      <c r="F653" s="57">
        <v>-0.017786225301892333</v>
      </c>
      <c r="G653" s="58">
        <v>-0.4595452925593281</v>
      </c>
      <c r="H653" s="51">
        <v>0.0</v>
      </c>
      <c r="I653" s="57">
        <v>0.0</v>
      </c>
      <c r="J653" s="57">
        <v>0.0</v>
      </c>
      <c r="K653" s="51">
        <v>149223.14498744602</v>
      </c>
      <c r="L653" s="57">
        <v>-0.015877733895061752</v>
      </c>
      <c r="M653" s="57">
        <v>1.0</v>
      </c>
      <c r="N653" s="59">
        <v>0.0019084914068305814</v>
      </c>
      <c r="O653" s="57">
        <v>-0.057991684431320745</v>
      </c>
      <c r="P653" s="51">
        <v>56.78551704236747</v>
      </c>
      <c r="Q653" s="32">
        <v>4862.272563944151</v>
      </c>
      <c r="R653" s="13">
        <v>5446.224483507824</v>
      </c>
      <c r="S653" s="57">
        <v>-0.1013341226712726</v>
      </c>
      <c r="T653" s="53">
        <v>291999.99999999994</v>
      </c>
      <c r="U653" s="51">
        <v>149223.14498744602</v>
      </c>
      <c r="V653" s="51">
        <v>-160071.32499425398</v>
      </c>
    </row>
    <row r="654">
      <c r="A654" s="55">
        <v>44824.95999275463</v>
      </c>
      <c r="B654" s="48">
        <v>2.7657912008194914</v>
      </c>
      <c r="C654" s="7">
        <v>-0.01713537618377947</v>
      </c>
      <c r="D654" s="49">
        <v>-0.5016592430955871</v>
      </c>
      <c r="E654" s="62">
        <v>31.7</v>
      </c>
      <c r="F654" s="57">
        <v>-0.019195035226794888</v>
      </c>
      <c r="G654" s="58">
        <v>-0.44175906725743574</v>
      </c>
      <c r="H654" s="53">
        <v>0.0</v>
      </c>
      <c r="I654" s="7">
        <v>0.0</v>
      </c>
      <c r="J654" s="7">
        <v>0.0</v>
      </c>
      <c r="K654" s="53">
        <v>154134.0402770296</v>
      </c>
      <c r="L654" s="7">
        <v>-0.01713537618377947</v>
      </c>
      <c r="M654" s="7">
        <v>1.0</v>
      </c>
      <c r="N654" s="52">
        <v>0.002059659043015416</v>
      </c>
      <c r="O654" s="7">
        <v>-0.059900175838151326</v>
      </c>
      <c r="P654" s="53">
        <v>56.78551704236747</v>
      </c>
      <c r="Q654" s="32">
        <v>4862.272563944151</v>
      </c>
      <c r="R654" s="13">
        <v>5446.224483507824</v>
      </c>
      <c r="S654" s="7">
        <v>-0.1013341226712726</v>
      </c>
      <c r="T654" s="53">
        <v>291999.99999999994</v>
      </c>
      <c r="U654" s="53">
        <v>154134.0402770296</v>
      </c>
      <c r="V654" s="53">
        <v>-155160.42970467042</v>
      </c>
    </row>
    <row r="655">
      <c r="A655" s="55">
        <v>44823.959966712966</v>
      </c>
      <c r="B655" s="56">
        <v>2.860892538639468</v>
      </c>
      <c r="C655" s="57">
        <v>0.01886463433076646</v>
      </c>
      <c r="D655" s="58">
        <v>-0.4845238669118076</v>
      </c>
      <c r="E655" s="62">
        <v>32.79</v>
      </c>
      <c r="F655" s="57">
        <v>0.02113214887353565</v>
      </c>
      <c r="G655" s="58">
        <v>-0.42256403203064086</v>
      </c>
      <c r="H655" s="51">
        <v>0.0</v>
      </c>
      <c r="I655" s="57">
        <v>0.0</v>
      </c>
      <c r="J655" s="57">
        <v>0.0</v>
      </c>
      <c r="K655" s="51">
        <v>159433.91737172872</v>
      </c>
      <c r="L655" s="57">
        <v>0.01886463433076646</v>
      </c>
      <c r="M655" s="57">
        <v>1.0</v>
      </c>
      <c r="N655" s="59">
        <v>-0.002267514542769189</v>
      </c>
      <c r="O655" s="57">
        <v>-0.06195983488116674</v>
      </c>
      <c r="P655" s="51">
        <v>56.78551704236747</v>
      </c>
      <c r="Q655" s="32">
        <v>4862.272563944151</v>
      </c>
      <c r="R655" s="13">
        <v>5446.224483507824</v>
      </c>
      <c r="S655" s="57">
        <v>-0.1013341226712726</v>
      </c>
      <c r="T655" s="53">
        <v>291999.99999999994</v>
      </c>
      <c r="U655" s="51">
        <v>159433.91737172872</v>
      </c>
      <c r="V655" s="51">
        <v>-149860.5526099713</v>
      </c>
    </row>
    <row r="656">
      <c r="A656" s="55">
        <v>44822.95996357639</v>
      </c>
      <c r="B656" s="56">
        <v>2.7561938181037138</v>
      </c>
      <c r="C656" s="57">
        <v>-0.02766813035179083</v>
      </c>
      <c r="D656" s="58">
        <v>-0.5033885012425741</v>
      </c>
      <c r="E656" s="62">
        <v>31.59</v>
      </c>
      <c r="F656" s="57">
        <v>-0.030993818347852198</v>
      </c>
      <c r="G656" s="58">
        <v>-0.4436961809041765</v>
      </c>
      <c r="H656" s="51">
        <v>0.0</v>
      </c>
      <c r="I656" s="57">
        <v>0.0</v>
      </c>
      <c r="J656" s="57">
        <v>0.0</v>
      </c>
      <c r="K656" s="51">
        <v>153599.19029499573</v>
      </c>
      <c r="L656" s="57">
        <v>-0.02766813035179083</v>
      </c>
      <c r="M656" s="57">
        <v>1.0</v>
      </c>
      <c r="N656" s="59">
        <v>0.003325687996061366</v>
      </c>
      <c r="O656" s="57">
        <v>-0.05969232033839755</v>
      </c>
      <c r="P656" s="51">
        <v>56.78551704236747</v>
      </c>
      <c r="Q656" s="32">
        <v>4862.272563944151</v>
      </c>
      <c r="R656" s="13">
        <v>5446.224483507824</v>
      </c>
      <c r="S656" s="57">
        <v>-0.1013341226712726</v>
      </c>
      <c r="T656" s="53">
        <v>291999.99999999994</v>
      </c>
      <c r="U656" s="51">
        <v>153599.19029499573</v>
      </c>
      <c r="V656" s="51">
        <v>-155695.27968670428</v>
      </c>
    </row>
    <row r="657">
      <c r="A657" s="55">
        <v>44821.95995809028</v>
      </c>
      <c r="B657" s="56">
        <v>2.909751941556153</v>
      </c>
      <c r="C657" s="57">
        <v>0.015877733895061752</v>
      </c>
      <c r="D657" s="58">
        <v>-0.47572037089078323</v>
      </c>
      <c r="E657" s="62">
        <v>33.35</v>
      </c>
      <c r="F657" s="57">
        <v>0.017786225301892333</v>
      </c>
      <c r="G657" s="58">
        <v>-0.4127023625563243</v>
      </c>
      <c r="H657" s="51">
        <v>0.0</v>
      </c>
      <c r="I657" s="57">
        <v>0.0</v>
      </c>
      <c r="J657" s="57">
        <v>0.0</v>
      </c>
      <c r="K657" s="51">
        <v>162156.79000753746</v>
      </c>
      <c r="L657" s="57">
        <v>0.015877733895061752</v>
      </c>
      <c r="M657" s="57">
        <v>1.0</v>
      </c>
      <c r="N657" s="59">
        <v>-0.0019084914068305814</v>
      </c>
      <c r="O657" s="57">
        <v>-0.06301800833445892</v>
      </c>
      <c r="P657" s="51">
        <v>56.78551704236747</v>
      </c>
      <c r="Q657" s="32">
        <v>4862.272563944151</v>
      </c>
      <c r="R657" s="13">
        <v>5446.224483507824</v>
      </c>
      <c r="S657" s="57">
        <v>-0.1013341226712726</v>
      </c>
      <c r="T657" s="53">
        <v>291999.99999999994</v>
      </c>
      <c r="U657" s="51">
        <v>162156.79000753746</v>
      </c>
      <c r="V657" s="51">
        <v>-147137.67997416254</v>
      </c>
    </row>
    <row r="658">
      <c r="A658" s="55">
        <v>44820.959983078705</v>
      </c>
      <c r="B658" s="56">
        <v>2.8216305184385604</v>
      </c>
      <c r="C658" s="57">
        <v>-0.012671294433658664</v>
      </c>
      <c r="D658" s="58">
        <v>-0.491598104785845</v>
      </c>
      <c r="E658" s="62">
        <v>32.34</v>
      </c>
      <c r="F658" s="57">
        <v>-0.018666731504956346</v>
      </c>
      <c r="G658" s="58">
        <v>-0.43048858785821664</v>
      </c>
      <c r="H658" s="51">
        <v>0.0</v>
      </c>
      <c r="I658" s="57">
        <v>0.0</v>
      </c>
      <c r="J658" s="57">
        <v>0.0</v>
      </c>
      <c r="K658" s="51">
        <v>157245.89471795387</v>
      </c>
      <c r="L658" s="57">
        <v>-0.012671294433658664</v>
      </c>
      <c r="M658" s="57">
        <v>1.0</v>
      </c>
      <c r="N658" s="59">
        <v>0.005995437071297682</v>
      </c>
      <c r="O658" s="57">
        <v>-0.06110951692762834</v>
      </c>
      <c r="P658" s="51">
        <v>56.78551704236747</v>
      </c>
      <c r="Q658" s="32">
        <v>4862.272563944151</v>
      </c>
      <c r="R658" s="13">
        <v>5446.224483507824</v>
      </c>
      <c r="S658" s="57">
        <v>-0.1013341226712726</v>
      </c>
      <c r="T658" s="53">
        <v>291999.99999999994</v>
      </c>
      <c r="U658" s="51">
        <v>157245.89471795387</v>
      </c>
      <c r="V658" s="51">
        <v>-152048.57526374614</v>
      </c>
    </row>
    <row r="659">
      <c r="A659" s="55">
        <v>44819.959963113426</v>
      </c>
      <c r="B659" s="56">
        <v>2.891956202545366</v>
      </c>
      <c r="C659" s="57">
        <v>-0.004992317984649719</v>
      </c>
      <c r="D659" s="58">
        <v>-0.4789268103521863</v>
      </c>
      <c r="E659" s="62">
        <v>33.4</v>
      </c>
      <c r="F659" s="57">
        <v>-0.00563523969960944</v>
      </c>
      <c r="G659" s="58">
        <v>-0.4118218563532603</v>
      </c>
      <c r="H659" s="51">
        <v>0.0</v>
      </c>
      <c r="I659" s="57">
        <v>0.0</v>
      </c>
      <c r="J659" s="57">
        <v>0.0</v>
      </c>
      <c r="K659" s="51">
        <v>161165.05601379438</v>
      </c>
      <c r="L659" s="57">
        <v>-0.004992317984649719</v>
      </c>
      <c r="M659" s="57">
        <v>1.0</v>
      </c>
      <c r="N659" s="59">
        <v>6.429217149597211E-4</v>
      </c>
      <c r="O659" s="57">
        <v>-0.06710495399892602</v>
      </c>
      <c r="P659" s="51">
        <v>56.78551704236747</v>
      </c>
      <c r="Q659" s="32">
        <v>4825.301078257317</v>
      </c>
      <c r="R659" s="13">
        <v>5446.224483507824</v>
      </c>
      <c r="S659" s="57">
        <v>-0.10816734976497422</v>
      </c>
      <c r="T659" s="53">
        <v>291999.99999999994</v>
      </c>
      <c r="U659" s="51">
        <v>161165.05601379438</v>
      </c>
      <c r="V659" s="51">
        <v>-148129.41396790562</v>
      </c>
    </row>
    <row r="660">
      <c r="A660" s="55">
        <v>44818.95997418981</v>
      </c>
      <c r="B660" s="56">
        <v>2.9196635673601716</v>
      </c>
      <c r="C660" s="57">
        <v>-6.240397480812288E-4</v>
      </c>
      <c r="D660" s="58">
        <v>-0.4739344923675366</v>
      </c>
      <c r="E660" s="62">
        <v>33.72</v>
      </c>
      <c r="F660" s="57">
        <v>-7.044049624511661E-4</v>
      </c>
      <c r="G660" s="58">
        <v>-0.40618661665365086</v>
      </c>
      <c r="H660" s="51">
        <v>0.0</v>
      </c>
      <c r="I660" s="57">
        <v>0.0</v>
      </c>
      <c r="J660" s="57">
        <v>0.0</v>
      </c>
      <c r="K660" s="51">
        <v>162709.15235883673</v>
      </c>
      <c r="L660" s="57">
        <v>-6.240397480812288E-4</v>
      </c>
      <c r="M660" s="57">
        <v>1.0</v>
      </c>
      <c r="N660" s="59">
        <v>8.036521436993738E-5</v>
      </c>
      <c r="O660" s="57">
        <v>-0.06774787571388574</v>
      </c>
      <c r="P660" s="51">
        <v>56.78551704236747</v>
      </c>
      <c r="Q660" s="32">
        <v>4825.301078257317</v>
      </c>
      <c r="R660" s="13">
        <v>5446.224483507824</v>
      </c>
      <c r="S660" s="57">
        <v>-0.10816734976497422</v>
      </c>
      <c r="T660" s="53">
        <v>291999.99999999994</v>
      </c>
      <c r="U660" s="51">
        <v>162709.15235883673</v>
      </c>
      <c r="V660" s="51">
        <v>-146585.31762286328</v>
      </c>
    </row>
    <row r="661">
      <c r="A661" s="55">
        <v>44817.95996974537</v>
      </c>
      <c r="B661" s="56">
        <v>2.9231269879620227</v>
      </c>
      <c r="C661" s="57">
        <v>-0.058166273406568214</v>
      </c>
      <c r="D661" s="58">
        <v>-0.47331045261945537</v>
      </c>
      <c r="E661" s="62">
        <v>33.76</v>
      </c>
      <c r="F661" s="57">
        <v>-0.06568576274857307</v>
      </c>
      <c r="G661" s="58">
        <v>-0.4054822116911997</v>
      </c>
      <c r="H661" s="51">
        <v>0.0</v>
      </c>
      <c r="I661" s="57">
        <v>0.0</v>
      </c>
      <c r="J661" s="57">
        <v>0.0</v>
      </c>
      <c r="K661" s="51">
        <v>162902.16440196702</v>
      </c>
      <c r="L661" s="57">
        <v>-0.058166273406568214</v>
      </c>
      <c r="M661" s="57">
        <v>1.0</v>
      </c>
      <c r="N661" s="59">
        <v>0.007519489342004859</v>
      </c>
      <c r="O661" s="57">
        <v>-0.06782824092825568</v>
      </c>
      <c r="P661" s="51">
        <v>56.78551704236747</v>
      </c>
      <c r="Q661" s="32">
        <v>4825.301078257317</v>
      </c>
      <c r="R661" s="13">
        <v>5446.224483507824</v>
      </c>
      <c r="S661" s="57">
        <v>-0.10816734976497422</v>
      </c>
      <c r="T661" s="53">
        <v>291999.99999999994</v>
      </c>
      <c r="U661" s="51">
        <v>162902.16440196702</v>
      </c>
      <c r="V661" s="51">
        <v>-146392.305579733</v>
      </c>
    </row>
    <row r="662">
      <c r="A662" s="55">
        <v>44816.95995341435</v>
      </c>
      <c r="B662" s="56">
        <v>3.2459498053684763</v>
      </c>
      <c r="C662" s="57">
        <v>0.04368088285419891</v>
      </c>
      <c r="D662" s="58">
        <v>-0.41514417921288715</v>
      </c>
      <c r="E662" s="62">
        <v>37.49</v>
      </c>
      <c r="F662" s="57">
        <v>0.04930834737158307</v>
      </c>
      <c r="G662" s="58">
        <v>-0.3397964489426266</v>
      </c>
      <c r="H662" s="51">
        <v>0.0</v>
      </c>
      <c r="I662" s="57">
        <v>0.0</v>
      </c>
      <c r="J662" s="57">
        <v>0.0</v>
      </c>
      <c r="K662" s="51">
        <v>180900.5374168518</v>
      </c>
      <c r="L662" s="57">
        <v>0.04368088285419891</v>
      </c>
      <c r="M662" s="57">
        <v>1.0</v>
      </c>
      <c r="N662" s="59">
        <v>-0.005627464517384162</v>
      </c>
      <c r="O662" s="57">
        <v>-0.07534773027026054</v>
      </c>
      <c r="P662" s="51">
        <v>56.78551704236747</v>
      </c>
      <c r="Q662" s="32">
        <v>4825.3010780702</v>
      </c>
      <c r="R662" s="13">
        <v>5446.224483507824</v>
      </c>
      <c r="S662" s="57">
        <v>-0.1081673497995581</v>
      </c>
      <c r="T662" s="53">
        <v>291999.99999999994</v>
      </c>
      <c r="U662" s="51">
        <v>180900.5374168518</v>
      </c>
      <c r="V662" s="51">
        <v>-128407.38256484823</v>
      </c>
    </row>
    <row r="663">
      <c r="A663" s="55">
        <v>44815.95995379629</v>
      </c>
      <c r="B663" s="56">
        <v>3.0035209055276724</v>
      </c>
      <c r="C663" s="57">
        <v>-0.002028040989659363</v>
      </c>
      <c r="D663" s="58">
        <v>-0.45882506206708606</v>
      </c>
      <c r="E663" s="62">
        <v>34.69</v>
      </c>
      <c r="F663" s="57">
        <v>-0.0022893161279664564</v>
      </c>
      <c r="G663" s="58">
        <v>-0.3891047963142097</v>
      </c>
      <c r="H663" s="51">
        <v>0.0</v>
      </c>
      <c r="I663" s="57">
        <v>0.0</v>
      </c>
      <c r="J663" s="57">
        <v>0.0</v>
      </c>
      <c r="K663" s="51">
        <v>167389.69439825523</v>
      </c>
      <c r="L663" s="57">
        <v>-0.002028040989659363</v>
      </c>
      <c r="M663" s="57">
        <v>1.0</v>
      </c>
      <c r="N663" s="59">
        <v>2.6127513830709326E-4</v>
      </c>
      <c r="O663" s="57">
        <v>-0.06972026575287638</v>
      </c>
      <c r="P663" s="51">
        <v>56.78551704236747</v>
      </c>
      <c r="Q663" s="32">
        <v>4825.3010780702</v>
      </c>
      <c r="R663" s="13">
        <v>5446.224483507824</v>
      </c>
      <c r="S663" s="57">
        <v>-0.1081673497995581</v>
      </c>
      <c r="T663" s="53">
        <v>291999.99999999994</v>
      </c>
      <c r="U663" s="51">
        <v>167389.69439825523</v>
      </c>
      <c r="V663" s="51">
        <v>-141918.2255834448</v>
      </c>
    </row>
    <row r="664">
      <c r="A664" s="55">
        <v>44814.95995355324</v>
      </c>
      <c r="B664" s="56">
        <v>3.0147765330202816</v>
      </c>
      <c r="C664" s="57">
        <v>0.0010920220713550588</v>
      </c>
      <c r="D664" s="58">
        <v>-0.4567970210774267</v>
      </c>
      <c r="E664" s="62">
        <v>34.82</v>
      </c>
      <c r="F664" s="57">
        <v>0.0012327086842895962</v>
      </c>
      <c r="G664" s="58">
        <v>-0.38681548018624323</v>
      </c>
      <c r="H664" s="51">
        <v>0.0</v>
      </c>
      <c r="I664" s="57">
        <v>0.0</v>
      </c>
      <c r="J664" s="57">
        <v>0.0</v>
      </c>
      <c r="K664" s="51">
        <v>168016.98353840437</v>
      </c>
      <c r="L664" s="57">
        <v>0.0010920220713550588</v>
      </c>
      <c r="M664" s="57">
        <v>1.0</v>
      </c>
      <c r="N664" s="59">
        <v>-1.4068661293453744E-4</v>
      </c>
      <c r="O664" s="57">
        <v>-0.06998154089118347</v>
      </c>
      <c r="P664" s="51">
        <v>56.78551704236747</v>
      </c>
      <c r="Q664" s="32">
        <v>4825.3010780702</v>
      </c>
      <c r="R664" s="13">
        <v>5446.224483507824</v>
      </c>
      <c r="S664" s="57">
        <v>-0.1081673497995581</v>
      </c>
      <c r="T664" s="53">
        <v>291999.99999999994</v>
      </c>
      <c r="U664" s="51">
        <v>168016.98353840437</v>
      </c>
      <c r="V664" s="51">
        <v>-141290.93644329565</v>
      </c>
    </row>
    <row r="665">
      <c r="A665" s="55">
        <v>44813.960386516206</v>
      </c>
      <c r="B665" s="56">
        <v>3.008715810524261</v>
      </c>
      <c r="C665" s="57">
        <v>0.02066092766056682</v>
      </c>
      <c r="D665" s="58">
        <v>-0.45788904314878176</v>
      </c>
      <c r="E665" s="62">
        <v>34.75</v>
      </c>
      <c r="F665" s="57">
        <v>0.019723338948633096</v>
      </c>
      <c r="G665" s="58">
        <v>-0.38804818887053283</v>
      </c>
      <c r="H665" s="51">
        <v>0.0</v>
      </c>
      <c r="I665" s="57">
        <v>0.0</v>
      </c>
      <c r="J665" s="57">
        <v>0.0</v>
      </c>
      <c r="K665" s="51">
        <v>167679.21246293944</v>
      </c>
      <c r="L665" s="57">
        <v>0.02066092766056682</v>
      </c>
      <c r="M665" s="57">
        <v>1.0</v>
      </c>
      <c r="N665" s="59">
        <v>9.375887119337234E-4</v>
      </c>
      <c r="O665" s="57">
        <v>-0.06984085427824893</v>
      </c>
      <c r="P665" s="51">
        <v>56.78551704236747</v>
      </c>
      <c r="Q665" s="32">
        <v>4825.3010780702</v>
      </c>
      <c r="R665" s="13">
        <v>5446.224483507824</v>
      </c>
      <c r="S665" s="57">
        <v>-0.1081673497995581</v>
      </c>
      <c r="T665" s="53">
        <v>291999.99999999994</v>
      </c>
      <c r="U665" s="51">
        <v>167679.21246293944</v>
      </c>
      <c r="V665" s="51">
        <v>-141628.70751876058</v>
      </c>
    </row>
    <row r="666">
      <c r="A666" s="55">
        <v>44812.96109928241</v>
      </c>
      <c r="B666" s="56">
        <v>2.8940476620081155</v>
      </c>
      <c r="C666" s="57">
        <v>0.015660556927819314</v>
      </c>
      <c r="D666" s="58">
        <v>-0.4785499708093486</v>
      </c>
      <c r="E666" s="62">
        <v>33.63</v>
      </c>
      <c r="F666" s="57">
        <v>0.017786225301892555</v>
      </c>
      <c r="G666" s="58">
        <v>-0.4077715278191659</v>
      </c>
      <c r="H666" s="51">
        <v>0.0</v>
      </c>
      <c r="I666" s="57">
        <v>0.0</v>
      </c>
      <c r="J666" s="57">
        <v>0.0</v>
      </c>
      <c r="K666" s="51">
        <v>161288.62390335713</v>
      </c>
      <c r="L666" s="57">
        <v>0.015660556927819314</v>
      </c>
      <c r="M666" s="57">
        <v>1.0</v>
      </c>
      <c r="N666" s="59">
        <v>-0.002125668374073242</v>
      </c>
      <c r="O666" s="57">
        <v>-0.07077844299018266</v>
      </c>
      <c r="P666" s="51">
        <v>56.78551704236747</v>
      </c>
      <c r="Q666" s="32">
        <v>4795.974543662121</v>
      </c>
      <c r="R666" s="13">
        <v>5446.224483507824</v>
      </c>
      <c r="S666" s="57">
        <v>-0.11358760451096186</v>
      </c>
      <c r="T666" s="53">
        <v>291999.99999999994</v>
      </c>
      <c r="U666" s="51">
        <v>161288.62390335713</v>
      </c>
      <c r="V666" s="51">
        <v>-148019.2960783429</v>
      </c>
    </row>
    <row r="667">
      <c r="A667" s="55">
        <v>44811.95995924769</v>
      </c>
      <c r="B667" s="56">
        <v>2.807131571058718</v>
      </c>
      <c r="C667" s="57">
        <v>0.02186275769131185</v>
      </c>
      <c r="D667" s="58">
        <v>-0.4942105277371679</v>
      </c>
      <c r="E667" s="62">
        <v>32.62</v>
      </c>
      <c r="F667" s="57">
        <v>0.024830274926404217</v>
      </c>
      <c r="G667" s="58">
        <v>-0.4255577531210585</v>
      </c>
      <c r="H667" s="51">
        <v>0.0</v>
      </c>
      <c r="I667" s="57">
        <v>0.0</v>
      </c>
      <c r="J667" s="57">
        <v>0.0</v>
      </c>
      <c r="K667" s="51">
        <v>156444.68961425836</v>
      </c>
      <c r="L667" s="57">
        <v>0.02186275769131185</v>
      </c>
      <c r="M667" s="57">
        <v>1.0</v>
      </c>
      <c r="N667" s="59">
        <v>-0.002967517235092365</v>
      </c>
      <c r="O667" s="57">
        <v>-0.06865277461610941</v>
      </c>
      <c r="P667" s="51">
        <v>56.78551704236747</v>
      </c>
      <c r="Q667" s="32">
        <v>4795.974543662121</v>
      </c>
      <c r="R667" s="13">
        <v>5446.224483507824</v>
      </c>
      <c r="S667" s="57">
        <v>-0.11358760451096186</v>
      </c>
      <c r="T667" s="53">
        <v>291999.99999999994</v>
      </c>
      <c r="U667" s="51">
        <v>156444.68961425836</v>
      </c>
      <c r="V667" s="51">
        <v>-152863.23036744166</v>
      </c>
    </row>
    <row r="668">
      <c r="A668" s="55">
        <v>44810.95996559028</v>
      </c>
      <c r="B668" s="56">
        <v>2.6857932658719372</v>
      </c>
      <c r="C668" s="57">
        <v>-0.013489786660596748</v>
      </c>
      <c r="D668" s="58">
        <v>-0.5160732854284797</v>
      </c>
      <c r="E668" s="62">
        <v>31.21</v>
      </c>
      <c r="F668" s="57">
        <v>-0.015320807933313252</v>
      </c>
      <c r="G668" s="58">
        <v>-0.4503880280474627</v>
      </c>
      <c r="H668" s="51">
        <v>0.0</v>
      </c>
      <c r="I668" s="57">
        <v>0.0</v>
      </c>
      <c r="J668" s="57">
        <v>0.0</v>
      </c>
      <c r="K668" s="51">
        <v>149682.36550769478</v>
      </c>
      <c r="L668" s="57">
        <v>-0.013489786660596748</v>
      </c>
      <c r="M668" s="57">
        <v>1.0</v>
      </c>
      <c r="N668" s="59">
        <v>0.0018310212727165043</v>
      </c>
      <c r="O668" s="57">
        <v>-0.06568525738101705</v>
      </c>
      <c r="P668" s="51">
        <v>56.78551704236747</v>
      </c>
      <c r="Q668" s="32">
        <v>4795.974543662121</v>
      </c>
      <c r="R668" s="13">
        <v>5446.224483507824</v>
      </c>
      <c r="S668" s="57">
        <v>-0.11358760451096186</v>
      </c>
      <c r="T668" s="53">
        <v>291999.99999999994</v>
      </c>
      <c r="U668" s="51">
        <v>149682.36550769478</v>
      </c>
      <c r="V668" s="51">
        <v>-159625.55447400524</v>
      </c>
    </row>
    <row r="669">
      <c r="A669" s="55">
        <v>44809.95997001157</v>
      </c>
      <c r="B669" s="56">
        <v>2.760661581838249</v>
      </c>
      <c r="C669" s="57">
        <v>6.202200763492094E-4</v>
      </c>
      <c r="D669" s="58">
        <v>-0.502583498767883</v>
      </c>
      <c r="E669" s="62">
        <v>32.08</v>
      </c>
      <c r="F669" s="57">
        <v>7.044049624511661E-4</v>
      </c>
      <c r="G669" s="58">
        <v>-0.43506722011414944</v>
      </c>
      <c r="H669" s="51">
        <v>0.0</v>
      </c>
      <c r="I669" s="57">
        <v>0.0</v>
      </c>
      <c r="J669" s="57">
        <v>0.0</v>
      </c>
      <c r="K669" s="51">
        <v>153854.8633606808</v>
      </c>
      <c r="L669" s="57">
        <v>6.202200763492094E-4</v>
      </c>
      <c r="M669" s="57">
        <v>1.0</v>
      </c>
      <c r="N669" s="59">
        <v>-8.418488610195674E-5</v>
      </c>
      <c r="O669" s="57">
        <v>-0.06751627865373355</v>
      </c>
      <c r="P669" s="51">
        <v>56.78551704236747</v>
      </c>
      <c r="Q669" s="32">
        <v>4795.974543662121</v>
      </c>
      <c r="R669" s="13">
        <v>5446.224483507824</v>
      </c>
      <c r="S669" s="57">
        <v>-0.11358760451096186</v>
      </c>
      <c r="T669" s="53">
        <v>291999.99999999994</v>
      </c>
      <c r="U669" s="51">
        <v>153854.8633606808</v>
      </c>
      <c r="V669" s="51">
        <v>-155453.0566210192</v>
      </c>
    </row>
    <row r="670">
      <c r="A670" s="55">
        <v>44808.95995771991</v>
      </c>
      <c r="B670" s="56">
        <v>2.7572193604145108</v>
      </c>
      <c r="C670" s="57">
        <v>0.015040336851469993</v>
      </c>
      <c r="D670" s="58">
        <v>-0.5032037188442322</v>
      </c>
      <c r="E670" s="62">
        <v>32.04</v>
      </c>
      <c r="F670" s="57">
        <v>0.017081820339441278</v>
      </c>
      <c r="G670" s="58">
        <v>-0.4357716250766006</v>
      </c>
      <c r="H670" s="51">
        <v>0.0</v>
      </c>
      <c r="I670" s="57">
        <v>0.0</v>
      </c>
      <c r="J670" s="57">
        <v>0.0</v>
      </c>
      <c r="K670" s="51">
        <v>153663.02437893435</v>
      </c>
      <c r="L670" s="57">
        <v>0.015040336851469993</v>
      </c>
      <c r="M670" s="57">
        <v>1.0</v>
      </c>
      <c r="N670" s="59">
        <v>-0.002041483487971285</v>
      </c>
      <c r="O670" s="57">
        <v>-0.0674320937676316</v>
      </c>
      <c r="P670" s="51">
        <v>56.78551704236747</v>
      </c>
      <c r="Q670" s="32">
        <v>4795.974543662121</v>
      </c>
      <c r="R670" s="13">
        <v>5446.224483507824</v>
      </c>
      <c r="S670" s="57">
        <v>-0.11358760451096186</v>
      </c>
      <c r="T670" s="53">
        <v>291999.99999999994</v>
      </c>
      <c r="U670" s="51">
        <v>153663.02437893435</v>
      </c>
      <c r="V670" s="51">
        <v>-155644.89560276567</v>
      </c>
    </row>
    <row r="671">
      <c r="A671" s="55">
        <v>44807.95995710648</v>
      </c>
      <c r="B671" s="56">
        <v>2.673745490888853</v>
      </c>
      <c r="C671" s="57">
        <v>-0.002635935324484473</v>
      </c>
      <c r="D671" s="58">
        <v>-0.5182440556957022</v>
      </c>
      <c r="E671" s="62">
        <v>31.07</v>
      </c>
      <c r="F671" s="57">
        <v>-0.0029937210904175116</v>
      </c>
      <c r="G671" s="58">
        <v>-0.4528534454160419</v>
      </c>
      <c r="H671" s="51">
        <v>0.0</v>
      </c>
      <c r="I671" s="57">
        <v>0.0</v>
      </c>
      <c r="J671" s="57">
        <v>0.0</v>
      </c>
      <c r="K671" s="51">
        <v>149010.9290715821</v>
      </c>
      <c r="L671" s="57">
        <v>-0.002635935324484473</v>
      </c>
      <c r="M671" s="57">
        <v>1.0</v>
      </c>
      <c r="N671" s="59">
        <v>3.5778576593303857E-4</v>
      </c>
      <c r="O671" s="57">
        <v>-0.06539061027966031</v>
      </c>
      <c r="P671" s="51">
        <v>56.78551704236747</v>
      </c>
      <c r="Q671" s="32">
        <v>4795.974543662121</v>
      </c>
      <c r="R671" s="13">
        <v>5446.224483507824</v>
      </c>
      <c r="S671" s="57">
        <v>-0.11358760451096186</v>
      </c>
      <c r="T671" s="53">
        <v>291999.99999999994</v>
      </c>
      <c r="U671" s="51">
        <v>149010.9290715821</v>
      </c>
      <c r="V671" s="51">
        <v>-160296.99091011792</v>
      </c>
    </row>
    <row r="672">
      <c r="A672" s="55">
        <v>44806.95996475694</v>
      </c>
      <c r="B672" s="56">
        <v>2.6883749319397414</v>
      </c>
      <c r="C672" s="57">
        <v>-0.0021689393801278545</v>
      </c>
      <c r="D672" s="58">
        <v>-0.5156081203712177</v>
      </c>
      <c r="E672" s="62">
        <v>31.24</v>
      </c>
      <c r="F672" s="57">
        <v>-0.0026415186091920395</v>
      </c>
      <c r="G672" s="58">
        <v>-0.4498597243256244</v>
      </c>
      <c r="H672" s="53">
        <v>0.0</v>
      </c>
      <c r="I672" s="7">
        <v>0.0</v>
      </c>
      <c r="J672" s="7">
        <v>0.0</v>
      </c>
      <c r="K672" s="53">
        <v>164542.76676857454</v>
      </c>
      <c r="L672" s="7">
        <v>-0.0021689393801278545</v>
      </c>
      <c r="M672" s="7">
        <v>1.0</v>
      </c>
      <c r="N672" s="59">
        <v>4.7257922906418504E-4</v>
      </c>
      <c r="O672" s="57">
        <v>-0.06574839604559335</v>
      </c>
      <c r="P672" s="51">
        <v>56.78551704236747</v>
      </c>
      <c r="Q672" s="32">
        <v>4795.974543662121</v>
      </c>
      <c r="R672" s="13">
        <v>5446.224483507824</v>
      </c>
      <c r="S672" s="57">
        <v>-0.11358760451096186</v>
      </c>
      <c r="T672" s="53">
        <v>291999.99999999994</v>
      </c>
      <c r="U672" s="51">
        <v>149826.24474400465</v>
      </c>
      <c r="V672" s="51">
        <v>-159481.67523769537</v>
      </c>
    </row>
    <row r="673">
      <c r="A673" s="55">
        <v>44805.95996070602</v>
      </c>
      <c r="B673" s="56">
        <v>2.700412545499451</v>
      </c>
      <c r="C673" s="57">
        <v>-0.012866210461359717</v>
      </c>
      <c r="D673" s="58">
        <v>-0.5134391809910899</v>
      </c>
      <c r="E673" s="62">
        <v>31.39</v>
      </c>
      <c r="F673" s="57">
        <v>-0.014616402970862086</v>
      </c>
      <c r="G673" s="58">
        <v>-0.44721820571643234</v>
      </c>
      <c r="H673" s="51">
        <v>10.021922</v>
      </c>
      <c r="I673" s="57">
        <v>-8.56788236696735E-7</v>
      </c>
      <c r="J673" s="57">
        <v>6.659212044369034E-5</v>
      </c>
      <c r="K673" s="51">
        <v>150487.09295023838</v>
      </c>
      <c r="L673" s="57">
        <v>-0.012865353673123019</v>
      </c>
      <c r="M673" s="57">
        <v>0.9999334078795562</v>
      </c>
      <c r="N673" s="59">
        <v>0.0017501925095023685</v>
      </c>
      <c r="O673" s="57">
        <v>-0.06622097527465753</v>
      </c>
      <c r="P673" s="51">
        <v>56.78551704236747</v>
      </c>
      <c r="Q673" s="32">
        <v>4794.428635624033</v>
      </c>
      <c r="R673" s="13">
        <v>5446.224483507824</v>
      </c>
      <c r="S673" s="57">
        <v>-0.11387332580384447</v>
      </c>
      <c r="T673" s="53">
        <v>291999.99999999994</v>
      </c>
      <c r="U673" s="51">
        <v>150497.1148722384</v>
      </c>
      <c r="V673" s="51">
        <v>-158810.80510946162</v>
      </c>
    </row>
    <row r="674">
      <c r="A674" s="55">
        <v>44804.95996842593</v>
      </c>
      <c r="B674" s="56">
        <v>2.7718200135599975</v>
      </c>
      <c r="C674" s="57">
        <v>0.009764321873783732</v>
      </c>
      <c r="D674" s="58">
        <v>-0.5005729705297302</v>
      </c>
      <c r="E674" s="62">
        <v>32.22</v>
      </c>
      <c r="F674" s="57">
        <v>0.011094378158606255</v>
      </c>
      <c r="G674" s="58">
        <v>-0.43260180274557025</v>
      </c>
      <c r="H674" s="51">
        <v>10.021922</v>
      </c>
      <c r="I674" s="57">
        <v>6.334757902459332E-7</v>
      </c>
      <c r="J674" s="57">
        <v>6.487657805983997E-5</v>
      </c>
      <c r="K674" s="51">
        <v>154466.71374608835</v>
      </c>
      <c r="L674" s="57">
        <v>0.009763688397993485</v>
      </c>
      <c r="M674" s="57">
        <v>0.99993512342194</v>
      </c>
      <c r="N674" s="59">
        <v>-0.0013300562848225228</v>
      </c>
      <c r="O674" s="57">
        <v>-0.0679711677841599</v>
      </c>
      <c r="P674" s="51">
        <v>56.78551704236747</v>
      </c>
      <c r="Q674" s="32">
        <v>4794.4362404745</v>
      </c>
      <c r="R674" s="13">
        <v>5446.224483507824</v>
      </c>
      <c r="S674" s="57">
        <v>-0.11387192024306461</v>
      </c>
      <c r="T674" s="53">
        <v>291999.99999999994</v>
      </c>
      <c r="U674" s="51">
        <v>154476.73566808837</v>
      </c>
      <c r="V674" s="51">
        <v>-154831.18431361165</v>
      </c>
    </row>
    <row r="675">
      <c r="A675" s="55">
        <v>44803.96121127315</v>
      </c>
      <c r="B675" s="56">
        <v>2.7176280271604982</v>
      </c>
      <c r="C675" s="57">
        <v>-0.005735789225684962</v>
      </c>
      <c r="D675" s="58">
        <v>-0.5103372924035139</v>
      </c>
      <c r="E675" s="62">
        <v>31.59</v>
      </c>
      <c r="F675" s="57">
        <v>-0.006515745902673564</v>
      </c>
      <c r="G675" s="58">
        <v>-0.4436961809041765</v>
      </c>
      <c r="H675" s="51">
        <v>10.021922</v>
      </c>
      <c r="I675" s="57">
        <v>-3.795387579459648E-7</v>
      </c>
      <c r="J675" s="57">
        <v>6.617027631461488E-5</v>
      </c>
      <c r="K675" s="51">
        <v>151446.5316572765</v>
      </c>
      <c r="L675" s="57">
        <v>-0.005735409686927016</v>
      </c>
      <c r="M675" s="57">
        <v>0.9999338297236853</v>
      </c>
      <c r="N675" s="59">
        <v>7.799566769886024E-4</v>
      </c>
      <c r="O675" s="57">
        <v>-0.06664111149933738</v>
      </c>
      <c r="P675" s="51">
        <v>56.78551704236747</v>
      </c>
      <c r="Q675" s="32">
        <v>4794.446140527905</v>
      </c>
      <c r="R675" s="13">
        <v>5446.224483507824</v>
      </c>
      <c r="S675" s="57">
        <v>-0.11387009047312426</v>
      </c>
      <c r="T675" s="53">
        <v>291999.99999999994</v>
      </c>
      <c r="U675" s="51">
        <v>151456.55357927651</v>
      </c>
      <c r="V675" s="51">
        <v>-157851.3664024235</v>
      </c>
    </row>
    <row r="676">
      <c r="A676" s="55">
        <v>44802.959965358794</v>
      </c>
      <c r="B676" s="56">
        <v>2.7494616573630495</v>
      </c>
      <c r="C676" s="57">
        <v>0.00573295919451644</v>
      </c>
      <c r="D676" s="58">
        <v>-0.5046015031778289</v>
      </c>
      <c r="E676" s="62">
        <v>31.96</v>
      </c>
      <c r="F676" s="57">
        <v>0.006515745902673564</v>
      </c>
      <c r="G676" s="58">
        <v>-0.43718043500150294</v>
      </c>
      <c r="H676" s="51">
        <v>10.021922</v>
      </c>
      <c r="I676" s="57">
        <v>3.749593123013794E-7</v>
      </c>
      <c r="J676" s="57">
        <v>6.540414811604223E-5</v>
      </c>
      <c r="K676" s="51">
        <v>153220.65669212656</v>
      </c>
      <c r="L676" s="57">
        <v>0.005732584235204138</v>
      </c>
      <c r="M676" s="57">
        <v>0.9999345958518838</v>
      </c>
      <c r="N676" s="59">
        <v>-7.827867081571238E-4</v>
      </c>
      <c r="O676" s="57">
        <v>-0.06742106817632598</v>
      </c>
      <c r="P676" s="51">
        <v>56.78551704236747</v>
      </c>
      <c r="Q676" s="32">
        <v>4794.451771405713</v>
      </c>
      <c r="R676" s="13">
        <v>5446.224483507824</v>
      </c>
      <c r="S676" s="57">
        <v>-0.11386904975035965</v>
      </c>
      <c r="T676" s="53">
        <v>291999.99999999994</v>
      </c>
      <c r="U676" s="51">
        <v>153230.67861412658</v>
      </c>
      <c r="V676" s="51">
        <v>-156077.24136757344</v>
      </c>
    </row>
    <row r="677">
      <c r="A677" s="55">
        <v>44801.95995534722</v>
      </c>
      <c r="B677" s="56">
        <v>2.7176437338334836</v>
      </c>
      <c r="C677" s="57">
        <v>0.0024784759867229056</v>
      </c>
      <c r="D677" s="58">
        <v>-0.5103344623723454</v>
      </c>
      <c r="E677" s="62">
        <v>31.59</v>
      </c>
      <c r="F677" s="57">
        <v>0.0028176198498046645</v>
      </c>
      <c r="G677" s="58">
        <v>-0.4436961809041765</v>
      </c>
      <c r="H677" s="51">
        <v>10.021922</v>
      </c>
      <c r="I677" s="57">
        <v>1.6400049303118558E-7</v>
      </c>
      <c r="J677" s="57">
        <v>6.616989388226051E-5</v>
      </c>
      <c r="K677" s="51">
        <v>151447.40700833075</v>
      </c>
      <c r="L677" s="57">
        <v>0.002478311986229874</v>
      </c>
      <c r="M677" s="57">
        <v>0.9999338301061177</v>
      </c>
      <c r="N677" s="59">
        <v>-3.391438630817589E-4</v>
      </c>
      <c r="O677" s="57">
        <v>-0.06663828146816886</v>
      </c>
      <c r="P677" s="51">
        <v>56.78551704236747</v>
      </c>
      <c r="Q677" s="32">
        <v>4794.473850279543</v>
      </c>
      <c r="R677" s="13">
        <v>5446.224483507824</v>
      </c>
      <c r="S677" s="57">
        <v>-0.11386496903907502</v>
      </c>
      <c r="T677" s="53">
        <v>291999.99999999994</v>
      </c>
      <c r="U677" s="51">
        <v>151457.42893033076</v>
      </c>
      <c r="V677" s="51">
        <v>-157850.49105136926</v>
      </c>
    </row>
    <row r="678">
      <c r="A678" s="55">
        <v>44800.95995575232</v>
      </c>
      <c r="B678" s="56">
        <v>2.7038881921071707</v>
      </c>
      <c r="C678" s="57">
        <v>-0.010251304273962591</v>
      </c>
      <c r="D678" s="58">
        <v>-0.5128129383590683</v>
      </c>
      <c r="E678" s="62">
        <v>31.43</v>
      </c>
      <c r="F678" s="57">
        <v>-0.020956047632922692</v>
      </c>
      <c r="G678" s="58">
        <v>-0.44651380075398117</v>
      </c>
      <c r="H678" s="51">
        <v>10.021922</v>
      </c>
      <c r="I678" s="57">
        <v>-6.817785854286543E-7</v>
      </c>
      <c r="J678" s="57">
        <v>6.650652123947894E-5</v>
      </c>
      <c r="K678" s="51">
        <v>150680.79475615284</v>
      </c>
      <c r="L678" s="57">
        <v>-0.010250622495377162</v>
      </c>
      <c r="M678" s="57">
        <v>0.9999334934787604</v>
      </c>
      <c r="N678" s="59">
        <v>0.0107047433589601</v>
      </c>
      <c r="O678" s="57">
        <v>-0.0662991376050871</v>
      </c>
      <c r="P678" s="51">
        <v>56.78551704236747</v>
      </c>
      <c r="Q678" s="32">
        <v>4794.489872037952</v>
      </c>
      <c r="R678" s="13">
        <v>5446.224483507824</v>
      </c>
      <c r="S678" s="57">
        <v>-0.1138620078296018</v>
      </c>
      <c r="T678" s="53">
        <v>291999.99999999994</v>
      </c>
      <c r="U678" s="51">
        <v>150690.81667815286</v>
      </c>
      <c r="V678" s="51">
        <v>-158617.10330354716</v>
      </c>
    </row>
    <row r="679">
      <c r="A679" s="55">
        <v>44799.959972013894</v>
      </c>
      <c r="B679" s="56">
        <v>2.7607829308276632</v>
      </c>
      <c r="C679" s="57">
        <v>-0.04726683482312766</v>
      </c>
      <c r="D679" s="58">
        <v>-0.5025616340851057</v>
      </c>
      <c r="E679" s="62">
        <v>32.62</v>
      </c>
      <c r="F679" s="57">
        <v>-0.05459138458996693</v>
      </c>
      <c r="G679" s="58">
        <v>-0.4255577531210585</v>
      </c>
      <c r="H679" s="51">
        <v>10.021922</v>
      </c>
      <c r="I679" s="57">
        <v>-3.0787698221875035E-6</v>
      </c>
      <c r="J679" s="57">
        <v>6.513594222478087E-5</v>
      </c>
      <c r="K679" s="51">
        <v>153851.6043582317</v>
      </c>
      <c r="L679" s="57">
        <v>-0.04726375605330546</v>
      </c>
      <c r="M679" s="57">
        <v>0.9999348640577751</v>
      </c>
      <c r="N679" s="59">
        <v>0.007324549766839272</v>
      </c>
      <c r="O679" s="57">
        <v>-0.0770038809640472</v>
      </c>
      <c r="P679" s="51">
        <v>56.78551704236747</v>
      </c>
      <c r="Q679" s="32">
        <v>4716.788052735492</v>
      </c>
      <c r="R679" s="13">
        <v>5446.224483507824</v>
      </c>
      <c r="S679" s="57">
        <v>-0.12822318826429988</v>
      </c>
      <c r="T679" s="53">
        <v>291999.99999999994</v>
      </c>
      <c r="U679" s="51">
        <v>153861.62628023172</v>
      </c>
      <c r="V679" s="51">
        <v>-155446.2937014683</v>
      </c>
    </row>
    <row r="680">
      <c r="A680" s="55">
        <v>44798.95996472222</v>
      </c>
      <c r="B680" s="56">
        <v>3.023113864096022</v>
      </c>
      <c r="C680" s="57">
        <v>-0.0032023708931869788</v>
      </c>
      <c r="D680" s="58">
        <v>-0.455294799261978</v>
      </c>
      <c r="E680" s="62">
        <v>35.72</v>
      </c>
      <c r="F680" s="57">
        <v>-0.0036981260528686777</v>
      </c>
      <c r="G680" s="58">
        <v>-0.37096636853109155</v>
      </c>
      <c r="H680" s="51">
        <v>10.021922</v>
      </c>
      <c r="I680" s="57">
        <v>-1.9048908063765692E-7</v>
      </c>
      <c r="J680" s="57">
        <v>5.948376593196031E-5</v>
      </c>
      <c r="K680" s="51">
        <v>168471.61072149195</v>
      </c>
      <c r="L680" s="57">
        <v>-0.003202180404106341</v>
      </c>
      <c r="M680" s="57">
        <v>0.999940516234068</v>
      </c>
      <c r="N680" s="59">
        <v>4.957551596816989E-4</v>
      </c>
      <c r="O680" s="57">
        <v>-0.08432843073088647</v>
      </c>
      <c r="P680" s="51">
        <v>56.78551704236747</v>
      </c>
      <c r="Q680" s="32">
        <v>4716.731037051847</v>
      </c>
      <c r="R680" s="13">
        <v>5446.224483507824</v>
      </c>
      <c r="S680" s="57">
        <v>-0.1282337261452373</v>
      </c>
      <c r="T680" s="53">
        <v>291999.99999999994</v>
      </c>
      <c r="U680" s="51">
        <v>168481.63264349196</v>
      </c>
      <c r="V680" s="51">
        <v>-140826.28733820806</v>
      </c>
    </row>
    <row r="681">
      <c r="A681" s="55">
        <v>44797.959961238426</v>
      </c>
      <c r="B681" s="56">
        <v>3.0408870225532096</v>
      </c>
      <c r="C681" s="57">
        <v>0.007470918424710926</v>
      </c>
      <c r="D681" s="58">
        <v>-0.45209242836879104</v>
      </c>
      <c r="E681" s="62">
        <v>35.93</v>
      </c>
      <c r="F681" s="57">
        <v>0.008628960790027063</v>
      </c>
      <c r="G681" s="58">
        <v>-0.3672682424782229</v>
      </c>
      <c r="H681" s="51">
        <v>10.021922</v>
      </c>
      <c r="I681" s="57">
        <v>4.4180097518149067E-7</v>
      </c>
      <c r="J681" s="57">
        <v>5.9136099481448345E-5</v>
      </c>
      <c r="K681" s="51">
        <v>169462.12940147353</v>
      </c>
      <c r="L681" s="57">
        <v>0.007470476623735745</v>
      </c>
      <c r="M681" s="57">
        <v>0.9999408639005185</v>
      </c>
      <c r="N681" s="59">
        <v>-0.0011580423653161365</v>
      </c>
      <c r="O681" s="57">
        <v>-0.08482418589056817</v>
      </c>
      <c r="P681" s="51">
        <v>56.78551704236747</v>
      </c>
      <c r="Q681" s="32">
        <v>4716.7311807256765</v>
      </c>
      <c r="R681" s="13">
        <v>5446.224483507824</v>
      </c>
      <c r="S681" s="57">
        <v>-0.1282336995908296</v>
      </c>
      <c r="T681" s="53">
        <v>291999.99999999994</v>
      </c>
      <c r="U681" s="51">
        <v>169472.15132347355</v>
      </c>
      <c r="V681" s="51">
        <v>-139835.76865822647</v>
      </c>
    </row>
    <row r="682">
      <c r="A682" s="55">
        <v>44796.95996900463</v>
      </c>
      <c r="B682" s="56">
        <v>2.999423425296064</v>
      </c>
      <c r="C682" s="57">
        <v>-0.046412838474062634</v>
      </c>
      <c r="D682" s="58">
        <v>-0.45956334679350197</v>
      </c>
      <c r="E682" s="62">
        <v>35.44</v>
      </c>
      <c r="F682" s="57">
        <v>-0.03569302480163017</v>
      </c>
      <c r="G682" s="58">
        <v>-0.37589720326824994</v>
      </c>
      <c r="H682" s="51">
        <v>10.021922</v>
      </c>
      <c r="I682" s="57">
        <v>-2.7826162143501537E-6</v>
      </c>
      <c r="J682" s="57">
        <v>5.995358840001117E-5</v>
      </c>
      <c r="K682" s="51">
        <v>167151.31516317325</v>
      </c>
      <c r="L682" s="57">
        <v>-0.046410055857848284</v>
      </c>
      <c r="M682" s="57">
        <v>0.9999400464116</v>
      </c>
      <c r="N682" s="59">
        <v>-0.010719813672432466</v>
      </c>
      <c r="O682" s="57">
        <v>-0.08366614352525203</v>
      </c>
      <c r="P682" s="51">
        <v>56.78551704236747</v>
      </c>
      <c r="Q682" s="32">
        <v>4716.742017075995</v>
      </c>
      <c r="R682" s="13">
        <v>5446.224483507824</v>
      </c>
      <c r="S682" s="57">
        <v>-0.12823169677051502</v>
      </c>
      <c r="T682" s="53">
        <v>291999.99999999994</v>
      </c>
      <c r="U682" s="51">
        <v>167161.33708517326</v>
      </c>
      <c r="V682" s="51">
        <v>-142146.58289652676</v>
      </c>
    </row>
    <row r="683">
      <c r="A683" s="55">
        <v>44795.960042743056</v>
      </c>
      <c r="B683" s="56">
        <v>3.2570146788271117</v>
      </c>
      <c r="C683" s="57">
        <v>-0.03848769539327457</v>
      </c>
      <c r="D683" s="58">
        <v>-0.41315050831943934</v>
      </c>
      <c r="E683" s="62">
        <v>34.61</v>
      </c>
      <c r="F683" s="57">
        <v>-0.04327467537939256</v>
      </c>
      <c r="G683" s="58">
        <v>-0.34020417846661977</v>
      </c>
      <c r="H683" s="51">
        <v>10.021922</v>
      </c>
      <c r="I683" s="57">
        <v>-1.8514026096440928E-6</v>
      </c>
      <c r="J683" s="57">
        <v>4.810375343927741E-5</v>
      </c>
      <c r="K683" s="51">
        <v>208329.68721630928</v>
      </c>
      <c r="L683" s="57">
        <v>-0.038485843990664924</v>
      </c>
      <c r="M683" s="57">
        <v>0.9999518962465607</v>
      </c>
      <c r="N683" s="59">
        <v>0.00478697998611799</v>
      </c>
      <c r="O683" s="57">
        <v>-0.07294632985281957</v>
      </c>
      <c r="P683" s="51">
        <v>52.45562167939406</v>
      </c>
      <c r="Q683" s="32">
        <v>6019.639096743984</v>
      </c>
      <c r="R683" s="13">
        <v>5446.224483507824</v>
      </c>
      <c r="S683" s="57">
        <v>-0.10534925757993428</v>
      </c>
      <c r="T683" s="53">
        <v>291999.99999999994</v>
      </c>
      <c r="U683" s="51">
        <v>208339.7091383093</v>
      </c>
      <c r="V683" s="51">
        <v>-146674.16084339068</v>
      </c>
    </row>
    <row r="684">
      <c r="A684" s="55">
        <v>44794.96109868056</v>
      </c>
      <c r="B684" s="56">
        <v>3.4706213882597856</v>
      </c>
      <c r="C684" s="57">
        <v>0.033397122955734826</v>
      </c>
      <c r="D684" s="58">
        <v>-0.37466281292616477</v>
      </c>
      <c r="E684" s="62">
        <v>36.88</v>
      </c>
      <c r="F684" s="57">
        <v>0.037555555285199715</v>
      </c>
      <c r="G684" s="58">
        <v>-0.2969295030872272</v>
      </c>
      <c r="H684" s="51">
        <v>10.021922</v>
      </c>
      <c r="I684" s="57">
        <v>1.5076498794141391E-6</v>
      </c>
      <c r="J684" s="57">
        <v>4.5143106530835204E-5</v>
      </c>
      <c r="K684" s="51">
        <v>221993.35290455254</v>
      </c>
      <c r="L684" s="57">
        <v>0.03339561530585541</v>
      </c>
      <c r="M684" s="57">
        <v>0.9999548568934691</v>
      </c>
      <c r="N684" s="59">
        <v>-0.0041584323294648895</v>
      </c>
      <c r="O684" s="57">
        <v>-0.07773330983893756</v>
      </c>
      <c r="P684" s="51">
        <v>52.45562167939406</v>
      </c>
      <c r="Q684" s="32">
        <v>6019.61428488483</v>
      </c>
      <c r="R684" s="13">
        <v>5446.224483507824</v>
      </c>
      <c r="S684" s="57">
        <v>-0.1053529451678205</v>
      </c>
      <c r="T684" s="53">
        <v>291999.99999999994</v>
      </c>
      <c r="U684" s="51">
        <v>222003.37482655255</v>
      </c>
      <c r="V684" s="51">
        <v>-133010.49515514742</v>
      </c>
    </row>
    <row r="685">
      <c r="A685" s="55">
        <v>44793.95995729166</v>
      </c>
      <c r="B685" s="56">
        <v>3.2852673558554573</v>
      </c>
      <c r="C685" s="57">
        <v>-0.03357330502416478</v>
      </c>
      <c r="D685" s="58">
        <v>-0.4080599358818996</v>
      </c>
      <c r="E685" s="62">
        <v>34.91</v>
      </c>
      <c r="F685" s="57">
        <v>-0.03774619262167278</v>
      </c>
      <c r="G685" s="58">
        <v>-0.3344850583724269</v>
      </c>
      <c r="H685" s="51">
        <v>10.021922</v>
      </c>
      <c r="I685" s="57">
        <v>-1.6011132758182122E-6</v>
      </c>
      <c r="J685" s="57">
        <v>4.769007027058528E-5</v>
      </c>
      <c r="K685" s="51">
        <v>210136.91103778244</v>
      </c>
      <c r="L685" s="57">
        <v>-0.03357170391088896</v>
      </c>
      <c r="M685" s="57">
        <v>0.9999523099297294</v>
      </c>
      <c r="N685" s="59">
        <v>0.0041728875975080015</v>
      </c>
      <c r="O685" s="57">
        <v>-0.07357487750947267</v>
      </c>
      <c r="P685" s="51">
        <v>52.45562167939406</v>
      </c>
      <c r="Q685" s="32">
        <v>6019.677254648595</v>
      </c>
      <c r="R685" s="13">
        <v>5446.224483507824</v>
      </c>
      <c r="S685" s="57">
        <v>-0.10534358647621174</v>
      </c>
      <c r="T685" s="53">
        <v>291999.99999999994</v>
      </c>
      <c r="U685" s="51">
        <v>210146.93295978245</v>
      </c>
      <c r="V685" s="51">
        <v>-144866.93702191752</v>
      </c>
    </row>
    <row r="686">
      <c r="A686" s="55">
        <v>44792.95996795139</v>
      </c>
      <c r="B686" s="56">
        <v>3.471599198739572</v>
      </c>
      <c r="C686" s="57">
        <v>-0.07239399790830359</v>
      </c>
      <c r="D686" s="58">
        <v>-0.3744866308577348</v>
      </c>
      <c r="E686" s="62">
        <v>36.89</v>
      </c>
      <c r="F686" s="57">
        <v>-0.08140214267401136</v>
      </c>
      <c r="G686" s="58">
        <v>-0.29673886575075414</v>
      </c>
      <c r="H686" s="51">
        <v>10.021922</v>
      </c>
      <c r="I686" s="57">
        <v>-3.2671694696912483E-6</v>
      </c>
      <c r="J686" s="57">
        <v>4.5130391525407164E-5</v>
      </c>
      <c r="K686" s="51">
        <v>222055.89998248723</v>
      </c>
      <c r="L686" s="57">
        <v>-0.0723907307388339</v>
      </c>
      <c r="M686" s="57">
        <v>0.9999548696084746</v>
      </c>
      <c r="N686" s="59">
        <v>0.00900814476570777</v>
      </c>
      <c r="O686" s="57">
        <v>-0.07774776510698067</v>
      </c>
      <c r="P686" s="51">
        <v>52.45562167939406</v>
      </c>
      <c r="Q686" s="32">
        <v>6019.678013133294</v>
      </c>
      <c r="R686" s="13">
        <v>5446.224483507824</v>
      </c>
      <c r="S686" s="57">
        <v>-0.1053434737487063</v>
      </c>
      <c r="T686" s="53">
        <v>291999.99999999994</v>
      </c>
      <c r="U686" s="51">
        <v>222065.92190448724</v>
      </c>
      <c r="V686" s="51">
        <v>-132947.94807721273</v>
      </c>
    </row>
    <row r="687">
      <c r="A687" s="55">
        <v>44791.95996997685</v>
      </c>
      <c r="B687" s="56">
        <v>3.8733858871306563</v>
      </c>
      <c r="C687" s="57">
        <v>0.012715422751525374</v>
      </c>
      <c r="D687" s="58">
        <v>-0.30209263294943123</v>
      </c>
      <c r="E687" s="62">
        <v>41.16</v>
      </c>
      <c r="F687" s="57">
        <v>0.014297800235482105</v>
      </c>
      <c r="G687" s="58">
        <v>-0.2153367230767428</v>
      </c>
      <c r="H687" s="51">
        <v>10.021922</v>
      </c>
      <c r="I687" s="57">
        <v>5.143262836181517E-7</v>
      </c>
      <c r="J687" s="57">
        <v>4.044901169773941E-5</v>
      </c>
      <c r="K687" s="51">
        <v>247756.7733433612</v>
      </c>
      <c r="L687" s="57">
        <v>0.012714908425241755</v>
      </c>
      <c r="M687" s="57">
        <v>0.9999595509883022</v>
      </c>
      <c r="N687" s="59">
        <v>-0.0015823774839567317</v>
      </c>
      <c r="O687" s="57">
        <v>-0.08675590987268844</v>
      </c>
      <c r="P687" s="51">
        <v>52.45562167939406</v>
      </c>
      <c r="Q687" s="32">
        <v>6019.601439877581</v>
      </c>
      <c r="R687" s="13">
        <v>5446.224483507824</v>
      </c>
      <c r="S687" s="57">
        <v>-0.10535485421836119</v>
      </c>
      <c r="T687" s="53">
        <v>291999.99999999994</v>
      </c>
      <c r="U687" s="51">
        <v>247766.7952653612</v>
      </c>
      <c r="V687" s="51">
        <v>-107247.07471633877</v>
      </c>
    </row>
    <row r="688">
      <c r="A688" s="55">
        <v>44790.96035125</v>
      </c>
      <c r="B688" s="56">
        <v>3.802815290859691</v>
      </c>
      <c r="C688" s="57">
        <v>-0.048658652524672164</v>
      </c>
      <c r="D688" s="58">
        <v>-0.3148080557009566</v>
      </c>
      <c r="E688" s="62">
        <v>40.41</v>
      </c>
      <c r="F688" s="57">
        <v>-0.05471291556777824</v>
      </c>
      <c r="G688" s="58">
        <v>-0.2296345233122249</v>
      </c>
      <c r="H688" s="51">
        <v>10.021922</v>
      </c>
      <c r="I688" s="57">
        <v>-2.0047190959881677E-6</v>
      </c>
      <c r="J688" s="57">
        <v>4.11996426529009E-5</v>
      </c>
      <c r="K688" s="51">
        <v>243242.6219038888</v>
      </c>
      <c r="L688" s="57">
        <v>-0.04865664780557617</v>
      </c>
      <c r="M688" s="57">
        <v>0.9999588003573471</v>
      </c>
      <c r="N688" s="59">
        <v>0.0060542630431060784</v>
      </c>
      <c r="O688" s="57">
        <v>-0.08517353238873171</v>
      </c>
      <c r="P688" s="51">
        <v>52.45562167939406</v>
      </c>
      <c r="Q688" s="32">
        <v>6019.615041472131</v>
      </c>
      <c r="R688" s="13">
        <v>5446.224483507824</v>
      </c>
      <c r="S688" s="57">
        <v>-0.1053528327223101</v>
      </c>
      <c r="T688" s="53">
        <v>291999.99999999994</v>
      </c>
      <c r="U688" s="51">
        <v>243252.6438258888</v>
      </c>
      <c r="V688" s="51">
        <v>-111761.22615581116</v>
      </c>
    </row>
    <row r="689">
      <c r="A689" s="55">
        <v>44789.959982395834</v>
      </c>
      <c r="B689" s="56">
        <v>4.0728708123716215</v>
      </c>
      <c r="C689" s="57">
        <v>-0.01152921154448927</v>
      </c>
      <c r="D689" s="58">
        <v>-0.26614940317628444</v>
      </c>
      <c r="E689" s="62">
        <v>43.28</v>
      </c>
      <c r="F689" s="57">
        <v>-0.012963338880170427</v>
      </c>
      <c r="G689" s="58">
        <v>-0.17492160774444665</v>
      </c>
      <c r="H689" s="51">
        <v>10.021922</v>
      </c>
      <c r="I689" s="57">
        <v>-4.435041149943462E-7</v>
      </c>
      <c r="J689" s="57">
        <v>3.846786168186255E-5</v>
      </c>
      <c r="K689" s="51">
        <v>260517.11844476746</v>
      </c>
      <c r="L689" s="57">
        <v>-0.011528768040374275</v>
      </c>
      <c r="M689" s="57">
        <v>0.9999615321383181</v>
      </c>
      <c r="N689" s="59">
        <v>0.0014341273356811568</v>
      </c>
      <c r="O689" s="57">
        <v>-0.09122779543183779</v>
      </c>
      <c r="P689" s="51">
        <v>52.45562167939406</v>
      </c>
      <c r="Q689" s="32">
        <v>6019.573483520505</v>
      </c>
      <c r="R689" s="13">
        <v>5446.224483507824</v>
      </c>
      <c r="S689" s="57">
        <v>-0.10535900914778655</v>
      </c>
      <c r="T689" s="53">
        <v>291999.99999999994</v>
      </c>
      <c r="U689" s="51">
        <v>260527.14036676747</v>
      </c>
      <c r="V689" s="51">
        <v>-94486.7296149325</v>
      </c>
    </row>
    <row r="690">
      <c r="A690" s="55">
        <v>44788.95995696759</v>
      </c>
      <c r="B690" s="56">
        <v>4.136857936443537</v>
      </c>
      <c r="C690" s="57">
        <v>-0.025940396479942285</v>
      </c>
      <c r="D690" s="58">
        <v>-0.25462019163179517</v>
      </c>
      <c r="E690" s="62">
        <v>43.96</v>
      </c>
      <c r="F690" s="57">
        <v>-0.029167512480383406</v>
      </c>
      <c r="G690" s="58">
        <v>-0.16195826886427622</v>
      </c>
      <c r="H690" s="51">
        <v>10.021922</v>
      </c>
      <c r="I690" s="57">
        <v>-9.824369389628468E-7</v>
      </c>
      <c r="J690" s="57">
        <v>3.787285748398217E-5</v>
      </c>
      <c r="K690" s="51">
        <v>264610.1484530144</v>
      </c>
      <c r="L690" s="57">
        <v>-0.025939414043003324</v>
      </c>
      <c r="M690" s="57">
        <v>0.9999621271425161</v>
      </c>
      <c r="N690" s="59">
        <v>0.0032271160004411215</v>
      </c>
      <c r="O690" s="57">
        <v>-0.09266192276751894</v>
      </c>
      <c r="P690" s="51">
        <v>52.45562167939406</v>
      </c>
      <c r="Q690" s="32">
        <v>6019.567114991228</v>
      </c>
      <c r="R690" s="13">
        <v>5446.224483507824</v>
      </c>
      <c r="S690" s="57">
        <v>-0.10535995565128191</v>
      </c>
      <c r="T690" s="53">
        <v>291999.99999999994</v>
      </c>
      <c r="U690" s="51">
        <v>264620.17037501436</v>
      </c>
      <c r="V690" s="51">
        <v>-90393.69960668561</v>
      </c>
    </row>
    <row r="691">
      <c r="A691" s="55">
        <v>44787.959958645835</v>
      </c>
      <c r="B691" s="56">
        <v>4.280827136907217</v>
      </c>
      <c r="C691" s="57">
        <v>-0.01797240721783555</v>
      </c>
      <c r="D691" s="58">
        <v>-0.22867979515185288</v>
      </c>
      <c r="E691" s="62">
        <v>45.49</v>
      </c>
      <c r="F691" s="57">
        <v>-0.020207557666148013</v>
      </c>
      <c r="G691" s="58">
        <v>-0.13279075638389282</v>
      </c>
      <c r="H691" s="51">
        <v>10.021922</v>
      </c>
      <c r="I691" s="57">
        <v>-6.577748131451496E-7</v>
      </c>
      <c r="J691" s="57">
        <v>3.659914919423724E-5</v>
      </c>
      <c r="K691" s="51">
        <v>273819.34899621835</v>
      </c>
      <c r="L691" s="57">
        <v>-0.017971749443022406</v>
      </c>
      <c r="M691" s="57">
        <v>0.9999634008508058</v>
      </c>
      <c r="N691" s="59">
        <v>0.002235150448312462</v>
      </c>
      <c r="O691" s="57">
        <v>-0.09588903876796007</v>
      </c>
      <c r="P691" s="51">
        <v>52.45562167939406</v>
      </c>
      <c r="Q691" s="32">
        <v>6019.5509104906205</v>
      </c>
      <c r="R691" s="13">
        <v>5446.224483507824</v>
      </c>
      <c r="S691" s="57">
        <v>-0.10536236399641122</v>
      </c>
      <c r="T691" s="53">
        <v>291999.99999999994</v>
      </c>
      <c r="U691" s="51">
        <v>273829.37091821834</v>
      </c>
      <c r="V691" s="51">
        <v>-81184.49906348163</v>
      </c>
    </row>
    <row r="692">
      <c r="A692" s="55">
        <v>44786.95995373843</v>
      </c>
      <c r="B692" s="56">
        <v>4.380573996966204</v>
      </c>
      <c r="C692" s="57">
        <v>0.03322910452896355</v>
      </c>
      <c r="D692" s="58">
        <v>-0.21070738793401733</v>
      </c>
      <c r="E692" s="62">
        <v>46.55</v>
      </c>
      <c r="F692" s="57">
        <v>0.03736491794872643</v>
      </c>
      <c r="G692" s="58">
        <v>-0.1125831987177448</v>
      </c>
      <c r="H692" s="51">
        <v>10.021922</v>
      </c>
      <c r="I692" s="57">
        <v>1.188464729983366E-6</v>
      </c>
      <c r="J692" s="57">
        <v>3.576577662354585E-5</v>
      </c>
      <c r="K692" s="51">
        <v>280199.8028355092</v>
      </c>
      <c r="L692" s="57">
        <v>0.033227916064233566</v>
      </c>
      <c r="M692" s="57">
        <v>0.9999642342233765</v>
      </c>
      <c r="N692" s="59">
        <v>-0.004135813419762879</v>
      </c>
      <c r="O692" s="57">
        <v>-0.09812418921627253</v>
      </c>
      <c r="P692" s="51">
        <v>52.45562167939406</v>
      </c>
      <c r="Q692" s="32">
        <v>6019.5451075727</v>
      </c>
      <c r="R692" s="13">
        <v>5446.224483507824</v>
      </c>
      <c r="S692" s="57">
        <v>-0.10536322643762118</v>
      </c>
      <c r="T692" s="53">
        <v>291999.99999999994</v>
      </c>
      <c r="U692" s="51">
        <v>280209.82475750917</v>
      </c>
      <c r="V692" s="51">
        <v>-74804.0452241908</v>
      </c>
    </row>
    <row r="693">
      <c r="A693" s="55">
        <v>44785.95995866898</v>
      </c>
      <c r="B693" s="56">
        <v>4.196152466830456</v>
      </c>
      <c r="C693" s="57">
        <v>0.024172935879650304</v>
      </c>
      <c r="D693" s="58">
        <v>-0.24393649246298088</v>
      </c>
      <c r="E693" s="62">
        <v>44.59</v>
      </c>
      <c r="F693" s="57">
        <v>0.02573604042386779</v>
      </c>
      <c r="G693" s="58">
        <v>-0.14994811666647123</v>
      </c>
      <c r="H693" s="51">
        <v>10.021922</v>
      </c>
      <c r="I693" s="57">
        <v>9.025615347583978E-7</v>
      </c>
      <c r="J693" s="57">
        <v>3.733768786927567E-5</v>
      </c>
      <c r="K693" s="51">
        <v>268403.0098406553</v>
      </c>
      <c r="L693" s="57">
        <v>0.024172033318115547</v>
      </c>
      <c r="M693" s="57">
        <v>0.9999626623121308</v>
      </c>
      <c r="N693" s="59">
        <v>-0.0015631045442174862</v>
      </c>
      <c r="O693" s="57">
        <v>-0.09398837579650965</v>
      </c>
      <c r="P693" s="51">
        <v>52.45562167939406</v>
      </c>
      <c r="Q693" s="32">
        <v>6019.579093129744</v>
      </c>
      <c r="R693" s="13">
        <v>5446.224483507824</v>
      </c>
      <c r="S693" s="57">
        <v>-0.10535817543649754</v>
      </c>
      <c r="T693" s="53">
        <v>291999.99999999994</v>
      </c>
      <c r="U693" s="51">
        <v>268413.0317626553</v>
      </c>
      <c r="V693" s="51">
        <v>-86600.83821904467</v>
      </c>
    </row>
    <row r="694">
      <c r="A694" s="55">
        <v>44784.95996247685</v>
      </c>
      <c r="B694" s="56">
        <v>4.061992672698397</v>
      </c>
      <c r="C694" s="57">
        <v>0.014894296312892297</v>
      </c>
      <c r="D694" s="58">
        <v>-0.2681094283426312</v>
      </c>
      <c r="E694" s="62">
        <v>43.24</v>
      </c>
      <c r="F694" s="57">
        <v>0.016776085609632396</v>
      </c>
      <c r="G694" s="58">
        <v>-0.17568415709033902</v>
      </c>
      <c r="H694" s="51">
        <v>10.008945</v>
      </c>
      <c r="I694" s="57">
        <v>5.737422326434234E-7</v>
      </c>
      <c r="J694" s="57">
        <v>3.852093583949985E-5</v>
      </c>
      <c r="K694" s="51">
        <v>259821.29530220115</v>
      </c>
      <c r="L694" s="57">
        <v>0.014893722570659653</v>
      </c>
      <c r="M694" s="57">
        <v>0.9999614790641604</v>
      </c>
      <c r="N694" s="59">
        <v>-0.0018817892967400995</v>
      </c>
      <c r="O694" s="57">
        <v>-0.09242527125229216</v>
      </c>
      <c r="P694" s="51">
        <v>52.45562167939406</v>
      </c>
      <c r="Q694" s="32">
        <v>6009.049589435735</v>
      </c>
      <c r="R694" s="13">
        <v>5446.224483507824</v>
      </c>
      <c r="S694" s="57">
        <v>-0.10692309123057829</v>
      </c>
      <c r="T694" s="53">
        <v>291999.99999999994</v>
      </c>
      <c r="U694" s="51">
        <v>259831.30424720116</v>
      </c>
      <c r="V694" s="51">
        <v>-95182.56573449881</v>
      </c>
    </row>
    <row r="695">
      <c r="A695" s="55">
        <v>44783.95995754629</v>
      </c>
      <c r="B695" s="56">
        <v>3.9793293281618447</v>
      </c>
      <c r="C695" s="57">
        <v>0.02995583752196429</v>
      </c>
      <c r="D695" s="58">
        <v>-0.2830037246555235</v>
      </c>
      <c r="E695" s="62">
        <v>42.36</v>
      </c>
      <c r="F695" s="57">
        <v>0.033742808555737636</v>
      </c>
      <c r="G695" s="58">
        <v>-0.19246024269997142</v>
      </c>
      <c r="H695" s="51">
        <v>10.008945</v>
      </c>
      <c r="I695" s="57">
        <v>1.177897632138321E-6</v>
      </c>
      <c r="J695" s="57">
        <v>3.932113836826162E-5</v>
      </c>
      <c r="K695" s="51">
        <v>254533.61352750714</v>
      </c>
      <c r="L695" s="57">
        <v>0.029954659624332153</v>
      </c>
      <c r="M695" s="57">
        <v>0.9999606788616318</v>
      </c>
      <c r="N695" s="59">
        <v>-0.0037869710337733453</v>
      </c>
      <c r="O695" s="57">
        <v>-0.09054348195555206</v>
      </c>
      <c r="P695" s="51">
        <v>52.45562167939406</v>
      </c>
      <c r="Q695" s="32">
        <v>6009.056243449178</v>
      </c>
      <c r="R695" s="13">
        <v>5446.224483507824</v>
      </c>
      <c r="S695" s="57">
        <v>-0.10692210229785803</v>
      </c>
      <c r="T695" s="53">
        <v>291999.99999999994</v>
      </c>
      <c r="U695" s="51">
        <v>254543.62247250715</v>
      </c>
      <c r="V695" s="51">
        <v>-100470.24750919282</v>
      </c>
    </row>
    <row r="696">
      <c r="A696" s="55">
        <v>44782.95998584491</v>
      </c>
      <c r="B696" s="56">
        <v>3.8130744299149426</v>
      </c>
      <c r="C696" s="57">
        <v>0.009373082584005488</v>
      </c>
      <c r="D696" s="58">
        <v>-0.31295956217748777</v>
      </c>
      <c r="E696" s="62">
        <v>40.59</v>
      </c>
      <c r="F696" s="57">
        <v>-0.0070829118551974934</v>
      </c>
      <c r="G696" s="58">
        <v>-0.22620305125570905</v>
      </c>
      <c r="H696" s="51">
        <v>10.008945</v>
      </c>
      <c r="I696" s="57">
        <v>3.8462997439600324E-7</v>
      </c>
      <c r="J696" s="57">
        <v>4.1035590047221765E-5</v>
      </c>
      <c r="K696" s="51">
        <v>243898.87572029157</v>
      </c>
      <c r="L696" s="57">
        <v>0.009372697954031091</v>
      </c>
      <c r="M696" s="57">
        <v>0.9999589644099527</v>
      </c>
      <c r="N696" s="59">
        <v>0.01645599443920298</v>
      </c>
      <c r="O696" s="57">
        <v>-0.08675651092177872</v>
      </c>
      <c r="P696" s="51">
        <v>52.45562167939406</v>
      </c>
      <c r="Q696" s="32">
        <v>6009.088067634678</v>
      </c>
      <c r="R696" s="13">
        <v>5446.224483507824</v>
      </c>
      <c r="S696" s="57">
        <v>-0.10691737252407474</v>
      </c>
      <c r="T696" s="53">
        <v>291999.99999999994</v>
      </c>
      <c r="U696" s="51">
        <v>243908.88466529158</v>
      </c>
      <c r="V696" s="51">
        <v>-111104.98531640839</v>
      </c>
    </row>
    <row r="697">
      <c r="A697" s="55">
        <v>44781.95996489583</v>
      </c>
      <c r="B697" s="56">
        <v>3.761053821573712</v>
      </c>
      <c r="C697" s="57">
        <v>0.21443566883309118</v>
      </c>
      <c r="D697" s="58">
        <v>-0.32233264476149326</v>
      </c>
      <c r="E697" s="62">
        <v>42.52</v>
      </c>
      <c r="F697" s="7">
        <v>0.17382316148987254</v>
      </c>
      <c r="G697" s="49">
        <v>-0.21912013940051156</v>
      </c>
      <c r="H697" s="51">
        <v>10.008945</v>
      </c>
      <c r="I697" s="57">
        <v>1.0177986259230449E-5</v>
      </c>
      <c r="J697" s="57">
        <v>4.746405443934152E-5</v>
      </c>
      <c r="K697" s="51">
        <v>210864.20140698983</v>
      </c>
      <c r="L697" s="57">
        <v>0.21442549084683193</v>
      </c>
      <c r="M697" s="57">
        <v>0.9999525359455607</v>
      </c>
      <c r="N697" s="52">
        <v>0.04061250734321864</v>
      </c>
      <c r="O697" s="7">
        <v>-0.1032125053609817</v>
      </c>
      <c r="P697" s="51">
        <v>54.451397897951956</v>
      </c>
      <c r="Q697" s="32">
        <v>4959.412284853947</v>
      </c>
      <c r="R697" s="13">
        <v>5714.025406332346</v>
      </c>
      <c r="S697" s="57">
        <v>-0.12673511522467343</v>
      </c>
      <c r="T697" s="53">
        <v>294999.99999999994</v>
      </c>
      <c r="U697" s="51">
        <v>210874.21035198984</v>
      </c>
      <c r="V697" s="51">
        <v>-100302.37019581022</v>
      </c>
    </row>
    <row r="698">
      <c r="A698" s="55">
        <v>44780.95995737269</v>
      </c>
      <c r="B698" s="56">
        <v>2.5709358595500564</v>
      </c>
      <c r="C698" s="57">
        <v>0.006500585585839769</v>
      </c>
      <c r="D698" s="58">
        <v>-0.5367683135945844</v>
      </c>
      <c r="E698" s="62">
        <v>41.32</v>
      </c>
      <c r="F698" s="7">
        <v>0.008521125011703212</v>
      </c>
      <c r="G698" s="49">
        <v>-0.3929433008903841</v>
      </c>
      <c r="H698" s="51">
        <v>10.008945</v>
      </c>
      <c r="I698" s="57">
        <v>6.642978035518251E-7</v>
      </c>
      <c r="J698" s="57">
        <v>1.0219045573353662E-4</v>
      </c>
      <c r="K698" s="51">
        <v>97934.02044751488</v>
      </c>
      <c r="L698" s="57">
        <v>0.006499921288036218</v>
      </c>
      <c r="M698" s="57">
        <v>0.9998978095442665</v>
      </c>
      <c r="N698" s="52">
        <v>-0.0020205394258634435</v>
      </c>
      <c r="O698" s="7">
        <v>-0.14382501270420034</v>
      </c>
      <c r="P698" s="51">
        <v>68.06612967224478</v>
      </c>
      <c r="Q698" s="32">
        <v>2370.378252480999</v>
      </c>
      <c r="R698" s="13">
        <v>3106.0043928025534</v>
      </c>
      <c r="S698" s="57">
        <v>-0.2309410547762785</v>
      </c>
      <c r="T698" s="53">
        <v>197000.0</v>
      </c>
      <c r="U698" s="51">
        <v>97944.02939251487</v>
      </c>
      <c r="V698" s="51">
        <v>-113492.34740748507</v>
      </c>
    </row>
    <row r="699">
      <c r="A699" s="55">
        <v>44779.95996533565</v>
      </c>
      <c r="B699" s="56">
        <v>2.5348576095486455</v>
      </c>
      <c r="C699" s="57">
        <v>0.0028016406529730586</v>
      </c>
      <c r="D699" s="58">
        <v>-0.5432688991804242</v>
      </c>
      <c r="E699" s="62">
        <v>40.74</v>
      </c>
      <c r="F699" s="7">
        <v>0.003672898711941097</v>
      </c>
      <c r="G699" s="49">
        <v>-0.4014644259020873</v>
      </c>
      <c r="H699" s="51">
        <v>10.008945</v>
      </c>
      <c r="I699" s="57">
        <v>2.9037581360505585E-7</v>
      </c>
      <c r="J699" s="57">
        <v>1.0364491723694594E-4</v>
      </c>
      <c r="K699" s="51">
        <v>96559.56018416659</v>
      </c>
      <c r="L699" s="57">
        <v>0.0028013502771594536</v>
      </c>
      <c r="M699" s="57">
        <v>0.9998963550827631</v>
      </c>
      <c r="N699" s="52">
        <v>-8.712580589680385E-4</v>
      </c>
      <c r="O699" s="7">
        <v>-0.1418044732783369</v>
      </c>
      <c r="P699" s="51">
        <v>68.06612967224478</v>
      </c>
      <c r="Q699" s="32">
        <v>2370.3870674807704</v>
      </c>
      <c r="R699" s="13">
        <v>3106.0043928025534</v>
      </c>
      <c r="S699" s="57">
        <v>-0.2309381947878276</v>
      </c>
      <c r="T699" s="53">
        <v>197000.0</v>
      </c>
      <c r="U699" s="51">
        <v>96569.56912916659</v>
      </c>
      <c r="V699" s="51">
        <v>-114866.80767083335</v>
      </c>
    </row>
    <row r="700">
      <c r="A700" s="55">
        <v>44778.9599628125</v>
      </c>
      <c r="B700" s="56">
        <v>2.5193085039246452</v>
      </c>
      <c r="C700" s="57">
        <v>0.023467129336244175</v>
      </c>
      <c r="D700" s="58">
        <v>-0.5460705398333973</v>
      </c>
      <c r="E700" s="62">
        <v>40.49</v>
      </c>
      <c r="F700" s="7">
        <v>0.027179450468363675</v>
      </c>
      <c r="G700" s="49">
        <v>-0.4051373246140284</v>
      </c>
      <c r="H700" s="51">
        <v>10.008945</v>
      </c>
      <c r="I700" s="57">
        <v>2.4472604525178996E-6</v>
      </c>
      <c r="J700" s="57">
        <v>1.0428461093186161E-4</v>
      </c>
      <c r="K700" s="51">
        <v>95967.19143540639</v>
      </c>
      <c r="L700" s="57">
        <v>0.02346468207579166</v>
      </c>
      <c r="M700" s="57">
        <v>0.9998957153890682</v>
      </c>
      <c r="N700" s="52">
        <v>-0.0037123211321195004</v>
      </c>
      <c r="O700" s="7">
        <v>-0.14093321521936886</v>
      </c>
      <c r="P700" s="51">
        <v>68.06612967224478</v>
      </c>
      <c r="Q700" s="32">
        <v>2370.392698948046</v>
      </c>
      <c r="R700" s="13">
        <v>3106.0043928025534</v>
      </c>
      <c r="S700" s="57">
        <v>-0.23093636768269005</v>
      </c>
      <c r="T700" s="53">
        <v>197000.0</v>
      </c>
      <c r="U700" s="51">
        <v>95977.20038040639</v>
      </c>
      <c r="V700" s="51">
        <v>-115459.17641959355</v>
      </c>
    </row>
    <row r="701">
      <c r="A701" s="55">
        <v>44777.959957847226</v>
      </c>
      <c r="B701" s="48">
        <v>2.3890659361084903</v>
      </c>
      <c r="C701" s="7">
        <v>-0.011693683801963672</v>
      </c>
      <c r="D701" s="49">
        <v>-0.5695376691696414</v>
      </c>
      <c r="E701" s="62">
        <v>38.64</v>
      </c>
      <c r="F701" s="7">
        <v>-0.015426174590152275</v>
      </c>
      <c r="G701" s="49">
        <v>-0.4323167750823921</v>
      </c>
      <c r="H701" s="51">
        <v>10.008945</v>
      </c>
      <c r="I701" s="57">
        <v>-1.6458968991568493E-5</v>
      </c>
      <c r="J701" s="57">
        <v>1.0996980166108791E-4</v>
      </c>
      <c r="K701" s="51">
        <v>91005.38663465394</v>
      </c>
      <c r="L701" s="7">
        <v>-0.011692397849875283</v>
      </c>
      <c r="M701" s="57">
        <v>0.999890030198339</v>
      </c>
      <c r="N701" s="52">
        <v>0.0037324907881886027</v>
      </c>
      <c r="O701" s="7">
        <v>-0.13722089408724936</v>
      </c>
      <c r="P701" s="53">
        <v>68.06612967224478</v>
      </c>
      <c r="Q701" s="13">
        <v>2355.4709000945636</v>
      </c>
      <c r="R701" s="13">
        <v>3106.0043928025534</v>
      </c>
      <c r="S701" s="7">
        <v>-0.23577768061453475</v>
      </c>
      <c r="T701" s="53">
        <v>197000.0</v>
      </c>
      <c r="U701" s="51">
        <v>91015.39557965394</v>
      </c>
      <c r="V701" s="53">
        <v>-120420.981220346</v>
      </c>
    </row>
    <row r="702">
      <c r="A702" s="55">
        <v>44776.95996590277</v>
      </c>
      <c r="B702" s="56">
        <v>2.4539658812093887</v>
      </c>
      <c r="C702" s="57">
        <v>-0.019823303159202887</v>
      </c>
      <c r="D702" s="58">
        <v>-0.5578439853676778</v>
      </c>
      <c r="E702" s="62">
        <v>39.69</v>
      </c>
      <c r="F702" s="7">
        <v>-0.026151038829020257</v>
      </c>
      <c r="G702" s="49">
        <v>-0.4168906004922398</v>
      </c>
      <c r="H702" s="51">
        <v>10.008945</v>
      </c>
      <c r="I702" s="57">
        <v>-2.122311270270885E-6</v>
      </c>
      <c r="J702" s="57">
        <v>1.0706143437480602E-4</v>
      </c>
      <c r="K702" s="51">
        <v>93477.856769186</v>
      </c>
      <c r="L702" s="57">
        <v>-0.019821180847932617</v>
      </c>
      <c r="M702" s="57">
        <v>0.9998929385656252</v>
      </c>
      <c r="N702" s="52">
        <v>0.006327735669817369</v>
      </c>
      <c r="O702" s="7">
        <v>-0.14095338487543796</v>
      </c>
      <c r="P702" s="51">
        <v>68.06612967224478</v>
      </c>
      <c r="Q702" s="32">
        <v>2355.4513911359536</v>
      </c>
      <c r="R702" s="13">
        <v>3106.0043928025534</v>
      </c>
      <c r="S702" s="57">
        <v>-0.23578401021155806</v>
      </c>
      <c r="T702" s="53">
        <v>197000.0</v>
      </c>
      <c r="U702" s="51">
        <v>93487.86571418599</v>
      </c>
      <c r="V702" s="51">
        <v>-117948.51108581395</v>
      </c>
    </row>
    <row r="703">
      <c r="A703" s="55">
        <v>44775.95996877315</v>
      </c>
      <c r="B703" s="56">
        <v>2.5639852137429644</v>
      </c>
      <c r="C703" s="57">
        <v>0.0032306930935411815</v>
      </c>
      <c r="D703" s="58">
        <v>-0.5380206822084749</v>
      </c>
      <c r="E703" s="62">
        <v>41.47</v>
      </c>
      <c r="F703" s="7">
        <v>0.004260562505851606</v>
      </c>
      <c r="G703" s="49">
        <v>-0.39073956166321955</v>
      </c>
      <c r="H703" s="51">
        <v>10.008945</v>
      </c>
      <c r="I703" s="57">
        <v>3.310409844085756E-7</v>
      </c>
      <c r="J703" s="57">
        <v>1.0246748138051072E-4</v>
      </c>
      <c r="K703" s="51">
        <v>97669.22416537582</v>
      </c>
      <c r="L703" s="57">
        <v>0.0032303620525567732</v>
      </c>
      <c r="M703" s="57">
        <v>0.9998975325186196</v>
      </c>
      <c r="N703" s="52">
        <v>-0.0010298694123104246</v>
      </c>
      <c r="O703" s="7">
        <v>-0.14728112054525533</v>
      </c>
      <c r="P703" s="51">
        <v>68.06612967224478</v>
      </c>
      <c r="Q703" s="32">
        <v>2355.41917314627</v>
      </c>
      <c r="R703" s="13">
        <v>3106.0043928025534</v>
      </c>
      <c r="S703" s="57">
        <v>-0.2357944631986023</v>
      </c>
      <c r="T703" s="53">
        <v>197000.0</v>
      </c>
      <c r="U703" s="51">
        <v>97679.23311037582</v>
      </c>
      <c r="V703" s="51">
        <v>-113757.14368962412</v>
      </c>
    </row>
    <row r="704">
      <c r="A704" s="55">
        <v>44774.95996125</v>
      </c>
      <c r="B704" s="56">
        <v>2.5460548670738112</v>
      </c>
      <c r="C704" s="57">
        <v>-0.02349757150903664</v>
      </c>
      <c r="D704" s="58">
        <v>-0.5412513753020161</v>
      </c>
      <c r="E704" s="62">
        <v>41.18</v>
      </c>
      <c r="F704" s="7">
        <v>-0.030999265128782483</v>
      </c>
      <c r="G704" s="49">
        <v>-0.39500012416907115</v>
      </c>
      <c r="H704" s="51">
        <v>10.008945</v>
      </c>
      <c r="I704" s="57">
        <v>-2.424693227271525E-6</v>
      </c>
      <c r="J704" s="57">
        <v>1.031890987687405E-4</v>
      </c>
      <c r="K704" s="51">
        <v>96986.13812312472</v>
      </c>
      <c r="L704" s="57">
        <v>-0.02349514681580937</v>
      </c>
      <c r="M704" s="57">
        <v>0.9998968109012313</v>
      </c>
      <c r="N704" s="52">
        <v>0.007501693619745842</v>
      </c>
      <c r="O704" s="7">
        <v>-0.1462512511329449</v>
      </c>
      <c r="P704" s="51">
        <v>68.06612967224478</v>
      </c>
      <c r="Q704" s="32">
        <v>2355.41882146976</v>
      </c>
      <c r="R704" s="13">
        <v>3106.0043928025534</v>
      </c>
      <c r="S704" s="57">
        <v>-0.235794577298521</v>
      </c>
      <c r="T704" s="53">
        <v>197000.0</v>
      </c>
      <c r="U704" s="51">
        <v>96996.14706812472</v>
      </c>
      <c r="V704" s="51">
        <v>-114440.22973187522</v>
      </c>
    </row>
    <row r="705">
      <c r="A705" s="55">
        <v>44773.95995862268</v>
      </c>
      <c r="B705" s="56">
        <v>2.6764663889489637</v>
      </c>
      <c r="C705" s="57">
        <v>-0.018155967050338617</v>
      </c>
      <c r="D705" s="58">
        <v>-0.5177538037929794</v>
      </c>
      <c r="E705" s="62">
        <v>43.29</v>
      </c>
      <c r="F705" s="7">
        <v>-0.0239472996018556</v>
      </c>
      <c r="G705" s="49">
        <v>-0.36400085904028867</v>
      </c>
      <c r="H705" s="51">
        <v>10.008945</v>
      </c>
      <c r="I705" s="57">
        <v>-1.782211205188767E-6</v>
      </c>
      <c r="J705" s="57">
        <v>9.816118305609769E-5</v>
      </c>
      <c r="K705" s="51">
        <v>101954.3795065943</v>
      </c>
      <c r="L705" s="57">
        <v>-0.01815418483913343</v>
      </c>
      <c r="M705" s="57">
        <v>0.9999018388169439</v>
      </c>
      <c r="N705" s="52">
        <v>0.005791332551516981</v>
      </c>
      <c r="O705" s="7">
        <v>-0.15375294475269075</v>
      </c>
      <c r="P705" s="51">
        <v>68.06612967224478</v>
      </c>
      <c r="Q705" s="32">
        <v>2355.379728611557</v>
      </c>
      <c r="R705" s="13">
        <v>3106.0043928025534</v>
      </c>
      <c r="S705" s="57">
        <v>-0.23580726080684467</v>
      </c>
      <c r="T705" s="53">
        <v>197000.0</v>
      </c>
      <c r="U705" s="51">
        <v>101964.38845159429</v>
      </c>
      <c r="V705" s="51">
        <v>-109471.98834840565</v>
      </c>
    </row>
    <row r="706">
      <c r="A706" s="55">
        <v>44772.95996572917</v>
      </c>
      <c r="B706" s="56">
        <v>2.7772320060783433</v>
      </c>
      <c r="C706" s="57">
        <v>0.036083411516363295</v>
      </c>
      <c r="D706" s="58">
        <v>-0.4995978367426408</v>
      </c>
      <c r="E706" s="62">
        <v>44.92</v>
      </c>
      <c r="F706" s="7">
        <v>0.04760076730675589</v>
      </c>
      <c r="G706" s="49">
        <v>-0.3400535594384331</v>
      </c>
      <c r="H706" s="51">
        <v>10.008945</v>
      </c>
      <c r="I706" s="57">
        <v>3.4134772090317847E-6</v>
      </c>
      <c r="J706" s="57">
        <v>9.459962530105622E-5</v>
      </c>
      <c r="K706" s="51">
        <v>105793.2113970181</v>
      </c>
      <c r="L706" s="57">
        <v>0.036079998039154265</v>
      </c>
      <c r="M706" s="57">
        <v>0.999905400374699</v>
      </c>
      <c r="N706" s="52">
        <v>-0.011517355790392592</v>
      </c>
      <c r="O706" s="7">
        <v>-0.15954427730420773</v>
      </c>
      <c r="P706" s="51">
        <v>68.06612967224478</v>
      </c>
      <c r="Q706" s="32">
        <v>2355.369998709218</v>
      </c>
      <c r="R706" s="13">
        <v>3106.0043928025534</v>
      </c>
      <c r="S706" s="57">
        <v>-0.23581041763146618</v>
      </c>
      <c r="T706" s="53">
        <v>197000.0</v>
      </c>
      <c r="U706" s="51">
        <v>105803.22034201809</v>
      </c>
      <c r="V706" s="51">
        <v>-105633.15645798185</v>
      </c>
    </row>
    <row r="707">
      <c r="A707" s="55">
        <v>44771.95995988426</v>
      </c>
      <c r="B707" s="56">
        <v>2.576969072162527</v>
      </c>
      <c r="C707" s="57">
        <v>-0.016421766171427765</v>
      </c>
      <c r="D707" s="58">
        <v>-0.5356812482590041</v>
      </c>
      <c r="E707" s="62">
        <v>41.68</v>
      </c>
      <c r="F707" s="7">
        <v>-0.024681879344243818</v>
      </c>
      <c r="G707" s="49">
        <v>-0.38765432674518896</v>
      </c>
      <c r="H707" s="51">
        <v>10.008945</v>
      </c>
      <c r="I707" s="57">
        <v>-1.674218881232237E-6</v>
      </c>
      <c r="J707" s="57">
        <v>1.0195120693809481E-4</v>
      </c>
      <c r="K707" s="51">
        <v>98163.86560341484</v>
      </c>
      <c r="L707" s="57">
        <v>-0.016420091952546536</v>
      </c>
      <c r="M707" s="57">
        <v>0.999898048793062</v>
      </c>
      <c r="N707" s="52">
        <v>0.008260113172816053</v>
      </c>
      <c r="O707" s="7">
        <v>-0.14802692151381514</v>
      </c>
      <c r="P707" s="51">
        <v>68.06612967224478</v>
      </c>
      <c r="Q707" s="32">
        <v>2355.419255000356</v>
      </c>
      <c r="R707" s="13">
        <v>3106.0043928025534</v>
      </c>
      <c r="S707" s="57">
        <v>-0.23579443664139915</v>
      </c>
      <c r="T707" s="53">
        <v>197000.0</v>
      </c>
      <c r="U707" s="51">
        <v>98173.87454841484</v>
      </c>
      <c r="V707" s="51">
        <v>-113262.5022515851</v>
      </c>
    </row>
    <row r="708">
      <c r="A708" s="55">
        <v>44770.95996576389</v>
      </c>
      <c r="B708" s="56">
        <v>2.6681098744139513</v>
      </c>
      <c r="C708" s="57">
        <v>0.04112885953743406</v>
      </c>
      <c r="D708" s="58">
        <v>-0.5192594820875763</v>
      </c>
      <c r="E708" s="62">
        <v>43.36</v>
      </c>
      <c r="F708" s="7">
        <v>0.0556811444730263</v>
      </c>
      <c r="G708" s="49">
        <v>-0.36297244740094514</v>
      </c>
      <c r="H708" s="51">
        <v>2124.046045</v>
      </c>
      <c r="I708" s="57">
        <v>8.594490961395221E-4</v>
      </c>
      <c r="J708" s="57">
        <v>0.02089649715079703</v>
      </c>
      <c r="K708" s="51">
        <v>99521.98724335834</v>
      </c>
      <c r="L708" s="57">
        <v>0.04026941044129454</v>
      </c>
      <c r="M708" s="57">
        <v>0.979103502849203</v>
      </c>
      <c r="N708" s="52">
        <v>-0.014552284935592241</v>
      </c>
      <c r="O708" s="7">
        <v>-0.1562870346866312</v>
      </c>
      <c r="P708" s="51">
        <v>68.06612967224478</v>
      </c>
      <c r="Q708" s="32">
        <v>2344.235085063615</v>
      </c>
      <c r="R708" s="13">
        <v>3106.0043928025534</v>
      </c>
      <c r="S708" s="57">
        <v>-0.23942309207888057</v>
      </c>
      <c r="T708" s="53">
        <v>197000.0</v>
      </c>
      <c r="U708" s="51">
        <v>101646.03328835833</v>
      </c>
      <c r="V708" s="51">
        <v>-109790.34351164161</v>
      </c>
    </row>
    <row r="709">
      <c r="A709" s="55">
        <v>44769.95997833333</v>
      </c>
      <c r="B709" s="56">
        <v>2.4398447039811924</v>
      </c>
      <c r="C709" s="57">
        <v>0.04670433372638083</v>
      </c>
      <c r="D709" s="58">
        <v>-0.5603883416250104</v>
      </c>
      <c r="E709" s="62">
        <v>39.57</v>
      </c>
      <c r="F709" s="7">
        <v>0.06317385784538587</v>
      </c>
      <c r="G709" s="49">
        <v>-0.41865359187397144</v>
      </c>
      <c r="H709" s="51">
        <v>2124.046045</v>
      </c>
      <c r="I709" s="57">
        <v>0.0010672648312968019</v>
      </c>
      <c r="J709" s="57">
        <v>0.022851516040233326</v>
      </c>
      <c r="K709" s="51">
        <v>90825.85020084717</v>
      </c>
      <c r="L709" s="57">
        <v>0.04563706889508403</v>
      </c>
      <c r="M709" s="57">
        <v>0.9771484839597667</v>
      </c>
      <c r="N709" s="52">
        <v>-0.01646952411900504</v>
      </c>
      <c r="O709" s="7">
        <v>-0.14173474975103895</v>
      </c>
      <c r="P709" s="51">
        <v>68.06612967224478</v>
      </c>
      <c r="Q709" s="32">
        <v>2348.999146976173</v>
      </c>
      <c r="R709" s="13">
        <v>3106.0043928025534</v>
      </c>
      <c r="S709" s="57">
        <v>-0.237877412849999</v>
      </c>
      <c r="T709" s="53">
        <v>197000.0</v>
      </c>
      <c r="U709" s="51">
        <v>92949.89624584717</v>
      </c>
      <c r="V709" s="51">
        <v>-118486.48055415277</v>
      </c>
    </row>
    <row r="710">
      <c r="A710" s="55">
        <v>44768.95995528935</v>
      </c>
      <c r="B710" s="56">
        <v>2.1806356517997783</v>
      </c>
      <c r="C710" s="57">
        <v>-0.037117421100896664</v>
      </c>
      <c r="D710" s="58">
        <v>-0.6070926753513912</v>
      </c>
      <c r="E710" s="62">
        <v>35.27</v>
      </c>
      <c r="F710" s="7">
        <v>-0.050245254379353343</v>
      </c>
      <c r="G710" s="49">
        <v>-0.4818274497193573</v>
      </c>
      <c r="H710" s="51">
        <v>2121.4089360000003</v>
      </c>
      <c r="I710" s="57">
        <v>-9.478341559532582E-4</v>
      </c>
      <c r="J710" s="57">
        <v>0.025536099433652756</v>
      </c>
      <c r="K710" s="51">
        <v>80953.49220588311</v>
      </c>
      <c r="L710" s="57">
        <v>-0.0361695869449434</v>
      </c>
      <c r="M710" s="57">
        <v>0.9744639005663471</v>
      </c>
      <c r="N710" s="52">
        <v>0.01312783327845668</v>
      </c>
      <c r="O710" s="7">
        <v>-0.1252652256320339</v>
      </c>
      <c r="P710" s="51">
        <v>68.06612967224478</v>
      </c>
      <c r="Q710" s="32">
        <v>2355.3983879184325</v>
      </c>
      <c r="R710" s="13">
        <v>3106.0043928025534</v>
      </c>
      <c r="S710" s="57">
        <v>-0.23580120687564218</v>
      </c>
      <c r="T710" s="53">
        <v>197000.0</v>
      </c>
      <c r="U710" s="51">
        <v>83074.90114188312</v>
      </c>
      <c r="V710" s="51">
        <v>-128361.47565811682</v>
      </c>
    </row>
    <row r="711">
      <c r="A711" s="55">
        <v>44767.95996378472</v>
      </c>
      <c r="B711" s="56">
        <v>2.3866373389097553</v>
      </c>
      <c r="C711" s="57">
        <v>-0.029304950486875425</v>
      </c>
      <c r="D711" s="58">
        <v>-0.5699752542504946</v>
      </c>
      <c r="E711" s="62">
        <v>38.69</v>
      </c>
      <c r="F711" s="7">
        <v>-0.039667306088963405</v>
      </c>
      <c r="G711" s="49">
        <v>-0.43158219534000397</v>
      </c>
      <c r="H711" s="51">
        <v>2121.4089360000003</v>
      </c>
      <c r="I711" s="57">
        <v>-6.837419559770915E-4</v>
      </c>
      <c r="J711" s="57">
        <v>0.02333196079902314</v>
      </c>
      <c r="K711" s="51">
        <v>88801.4652396166</v>
      </c>
      <c r="L711" s="57">
        <v>-0.02862120853089833</v>
      </c>
      <c r="M711" s="57">
        <v>0.9766680392009768</v>
      </c>
      <c r="N711" s="52">
        <v>0.01036235560208798</v>
      </c>
      <c r="O711" s="7">
        <v>-0.13839305891049059</v>
      </c>
      <c r="P711" s="51">
        <v>68.06612967224478</v>
      </c>
      <c r="Q711" s="32">
        <v>2350.0355175915383</v>
      </c>
      <c r="R711" s="13">
        <v>3106.0043928025534</v>
      </c>
      <c r="S711" s="57">
        <v>-0.2375411668979112</v>
      </c>
      <c r="T711" s="53">
        <v>197000.0</v>
      </c>
      <c r="U711" s="51">
        <v>90922.87417561661</v>
      </c>
      <c r="V711" s="51">
        <v>-120513.50262438333</v>
      </c>
    </row>
    <row r="712">
      <c r="A712" s="55">
        <v>44766.95995399306</v>
      </c>
      <c r="B712" s="56">
        <v>2.549279814111914</v>
      </c>
      <c r="C712" s="57">
        <v>0.021720340591540266</v>
      </c>
      <c r="D712" s="58">
        <v>-0.5406703037636191</v>
      </c>
      <c r="E712" s="62">
        <v>41.39</v>
      </c>
      <c r="F712" s="7">
        <v>0.029383189695528444</v>
      </c>
      <c r="G712" s="49">
        <v>-0.39191488925104057</v>
      </c>
      <c r="H712" s="51">
        <v>2121.4089360000003</v>
      </c>
      <c r="I712" s="57">
        <v>4.744460036797533E-4</v>
      </c>
      <c r="J712" s="57">
        <v>0.02184339613277255</v>
      </c>
      <c r="K712" s="51">
        <v>94997.59779286495</v>
      </c>
      <c r="L712" s="57">
        <v>0.02124589458786051</v>
      </c>
      <c r="M712" s="57">
        <v>0.9781566038672274</v>
      </c>
      <c r="N712" s="52">
        <v>-0.0076628491039881785</v>
      </c>
      <c r="O712" s="7">
        <v>-0.14875541451257857</v>
      </c>
      <c r="P712" s="51">
        <v>68.06612967224478</v>
      </c>
      <c r="Q712" s="32">
        <v>2346.436499851775</v>
      </c>
      <c r="R712" s="13">
        <v>3106.0043928025534</v>
      </c>
      <c r="S712" s="57">
        <v>-0.23870885259697078</v>
      </c>
      <c r="T712" s="53">
        <v>197000.0</v>
      </c>
      <c r="U712" s="51">
        <v>97119.00672886496</v>
      </c>
      <c r="V712" s="51">
        <v>-114317.37007113498</v>
      </c>
    </row>
    <row r="713">
      <c r="A713" s="55">
        <v>44765.95996918982</v>
      </c>
      <c r="B713" s="56">
        <v>2.4287319238288654</v>
      </c>
      <c r="C713" s="57">
        <v>-0.01606243522867634</v>
      </c>
      <c r="D713" s="58">
        <v>-0.5623906443551594</v>
      </c>
      <c r="E713" s="62">
        <v>39.39</v>
      </c>
      <c r="F713" s="7">
        <v>-0.02174356037469094</v>
      </c>
      <c r="G713" s="49">
        <v>-0.421298078946569</v>
      </c>
      <c r="H713" s="51">
        <v>2118.352652</v>
      </c>
      <c r="I713" s="57">
        <v>-3.6774209335399554E-4</v>
      </c>
      <c r="J713" s="57">
        <v>0.022894541712919336</v>
      </c>
      <c r="K713" s="51">
        <v>90408.1839593277</v>
      </c>
      <c r="L713" s="57">
        <v>-0.015694693135322346</v>
      </c>
      <c r="M713" s="57">
        <v>0.9771054582870806</v>
      </c>
      <c r="N713" s="52">
        <v>0.005681125146014598</v>
      </c>
      <c r="O713" s="7">
        <v>-0.1410925654085904</v>
      </c>
      <c r="P713" s="51">
        <v>68.06612967224478</v>
      </c>
      <c r="Q713" s="32">
        <v>2348.985443293417</v>
      </c>
      <c r="R713" s="13">
        <v>3106.0043928025534</v>
      </c>
      <c r="S713" s="57">
        <v>-0.23788185895044517</v>
      </c>
      <c r="T713" s="53">
        <v>197000.0</v>
      </c>
      <c r="U713" s="51">
        <v>92526.5366113277</v>
      </c>
      <c r="V713" s="51">
        <v>-118909.84018867224</v>
      </c>
    </row>
    <row r="714">
      <c r="A714" s="55">
        <v>44764.9599681713</v>
      </c>
      <c r="B714" s="48">
        <v>2.517878439348019</v>
      </c>
      <c r="C714" s="7">
        <v>-0.023693618190069987</v>
      </c>
      <c r="D714" s="49">
        <v>-0.546328209126483</v>
      </c>
      <c r="E714" s="62">
        <v>40.87</v>
      </c>
      <c r="F714" s="7">
        <v>-0.03496599573767878</v>
      </c>
      <c r="G714" s="49">
        <v>-0.39955451857187807</v>
      </c>
      <c r="H714" s="51">
        <v>2118.352652</v>
      </c>
      <c r="I714" s="7">
        <v>-5.232487055790229E-4</v>
      </c>
      <c r="J714" s="57">
        <v>0.02208395110369073</v>
      </c>
      <c r="K714" s="51">
        <v>93804.3670666637</v>
      </c>
      <c r="L714" s="7">
        <v>-0.023170369484490964</v>
      </c>
      <c r="M714" s="57">
        <v>0.9779160488963092</v>
      </c>
      <c r="N714" s="52">
        <v>0.011272377547608792</v>
      </c>
      <c r="O714" s="7">
        <v>-0.14677369055460499</v>
      </c>
      <c r="P714" s="53">
        <v>68.06612967224478</v>
      </c>
      <c r="Q714" s="32">
        <v>2347.0203014109056</v>
      </c>
      <c r="R714" s="13">
        <v>3106.0043928025534</v>
      </c>
      <c r="S714" s="57">
        <v>-0.2385194407126797</v>
      </c>
      <c r="T714" s="53">
        <v>197000.0</v>
      </c>
      <c r="U714" s="51">
        <v>95922.7197186637</v>
      </c>
      <c r="V714" s="51">
        <v>-115513.65708133623</v>
      </c>
    </row>
    <row r="715">
      <c r="A715" s="55">
        <v>44763.95995984954</v>
      </c>
      <c r="B715" s="48">
        <v>2.6493780203029074</v>
      </c>
      <c r="C715" s="7">
        <v>-7.565860280488446E-4</v>
      </c>
      <c r="D715" s="49">
        <v>-0.5226345909364131</v>
      </c>
      <c r="E715" s="62">
        <v>43.25</v>
      </c>
      <c r="F715" s="7">
        <v>-0.0010284116393435294</v>
      </c>
      <c r="G715" s="49">
        <v>-0.3645885228341993</v>
      </c>
      <c r="H715" s="51">
        <v>2115.002352</v>
      </c>
      <c r="I715" s="7">
        <v>-1.5853987724518812E-5</v>
      </c>
      <c r="J715" s="57">
        <v>0.020954639838386354</v>
      </c>
      <c r="K715" s="51">
        <v>98817.41015005468</v>
      </c>
      <c r="L715" s="7">
        <v>-7.407320403243258E-4</v>
      </c>
      <c r="M715" s="57">
        <v>0.9790453601616137</v>
      </c>
      <c r="N715" s="52">
        <v>2.7182561129468485E-4</v>
      </c>
      <c r="O715" s="7">
        <v>-0.15804606810221378</v>
      </c>
      <c r="P715" s="53">
        <v>68.06612967224478</v>
      </c>
      <c r="Q715" s="32">
        <v>2333.697398891438</v>
      </c>
      <c r="R715" s="13">
        <v>3106.0043928025534</v>
      </c>
      <c r="S715" s="57">
        <v>-0.24284199866233017</v>
      </c>
      <c r="T715" s="53">
        <v>197000.0</v>
      </c>
      <c r="U715" s="51">
        <v>100932.41250205468</v>
      </c>
      <c r="V715" s="51">
        <v>-110503.96429794526</v>
      </c>
    </row>
    <row r="716">
      <c r="A716" s="55">
        <v>44762.959975949074</v>
      </c>
      <c r="B716" s="48">
        <v>2.6535770727585786</v>
      </c>
      <c r="C716" s="7">
        <v>-0.02744394879114176</v>
      </c>
      <c r="D716" s="49">
        <v>-0.5218780049083642</v>
      </c>
      <c r="E716" s="62">
        <v>43.32</v>
      </c>
      <c r="F716" s="7">
        <v>-0.03731665091332104</v>
      </c>
      <c r="G716" s="49">
        <v>-0.36356011119485576</v>
      </c>
      <c r="H716" s="51">
        <v>2115.002352</v>
      </c>
      <c r="I716" s="7">
        <v>-5.741680521794127E-4</v>
      </c>
      <c r="J716" s="57">
        <v>0.020921480962854015</v>
      </c>
      <c r="K716" s="51">
        <v>98977.37995856283</v>
      </c>
      <c r="L716" s="7">
        <v>-0.02686978073896235</v>
      </c>
      <c r="M716" s="57">
        <v>0.979078519037146</v>
      </c>
      <c r="N716" s="52">
        <v>0.009872702122179278</v>
      </c>
      <c r="O716" s="7">
        <v>-0.15831789371350846</v>
      </c>
      <c r="P716" s="53">
        <v>68.06612967224478</v>
      </c>
      <c r="Q716" s="32">
        <v>2333.619166910499</v>
      </c>
      <c r="R716" s="13">
        <v>3106.0043928025534</v>
      </c>
      <c r="S716" s="57">
        <v>-0.24286738068930433</v>
      </c>
      <c r="T716" s="53">
        <v>197000.0</v>
      </c>
      <c r="U716" s="51">
        <v>101092.38231056283</v>
      </c>
      <c r="V716" s="51">
        <v>-110343.99448943711</v>
      </c>
    </row>
    <row r="717">
      <c r="A717" s="55">
        <v>44761.95996623843</v>
      </c>
      <c r="B717" s="48">
        <v>2.8058909885494154</v>
      </c>
      <c r="C717" s="7">
        <v>0.059108198958271796</v>
      </c>
      <c r="D717" s="49">
        <v>-0.49443405611722246</v>
      </c>
      <c r="E717" s="62">
        <v>45.86</v>
      </c>
      <c r="F717" s="7">
        <v>0.08021610786879241</v>
      </c>
      <c r="G717" s="49">
        <v>-0.3262434602815347</v>
      </c>
      <c r="H717" s="51">
        <v>2115.002352</v>
      </c>
      <c r="I717" s="7">
        <v>0.0011695022506894395</v>
      </c>
      <c r="J717" s="57">
        <v>0.019785787273184637</v>
      </c>
      <c r="K717" s="51">
        <v>104780.02905604658</v>
      </c>
      <c r="L717" s="7">
        <v>0.05793869670758236</v>
      </c>
      <c r="M717" s="57">
        <v>0.9802142127268154</v>
      </c>
      <c r="N717" s="52">
        <v>-0.021107908910520612</v>
      </c>
      <c r="O717" s="7">
        <v>-0.16819059583568774</v>
      </c>
      <c r="P717" s="53">
        <v>68.06612967224478</v>
      </c>
      <c r="Q717" s="32">
        <v>2330.899071261373</v>
      </c>
      <c r="R717" s="13">
        <v>3106.0043928025534</v>
      </c>
      <c r="S717" s="57">
        <v>-0.24374990392737192</v>
      </c>
      <c r="T717" s="53">
        <v>197000.0</v>
      </c>
      <c r="U717" s="51">
        <v>106895.03140804658</v>
      </c>
      <c r="V717" s="51">
        <v>-104541.34539195336</v>
      </c>
    </row>
    <row r="718">
      <c r="A718" s="55">
        <v>44760.95995493056</v>
      </c>
      <c r="B718" s="48">
        <v>2.4778404843310065</v>
      </c>
      <c r="C718" s="7">
        <v>0.01112905151430399</v>
      </c>
      <c r="D718" s="49">
        <v>-0.5535422550754943</v>
      </c>
      <c r="E718" s="62">
        <v>40.4</v>
      </c>
      <c r="F718" s="7">
        <v>0.015132342693197187</v>
      </c>
      <c r="G718" s="49">
        <v>-0.40645956815032713</v>
      </c>
      <c r="H718" s="51">
        <v>2089.408852</v>
      </c>
      <c r="I718" s="7">
        <v>2.463323860862532E-4</v>
      </c>
      <c r="J718" s="57">
        <v>0.02213417610383474</v>
      </c>
      <c r="K718" s="51">
        <v>92307.99912913603</v>
      </c>
      <c r="L718" s="7">
        <v>0.010882719128217736</v>
      </c>
      <c r="M718" s="57">
        <v>0.9778658238961653</v>
      </c>
      <c r="N718" s="52">
        <v>-0.004003291178893198</v>
      </c>
      <c r="O718" s="7">
        <v>-0.14708268692516713</v>
      </c>
      <c r="P718" s="53">
        <v>68.06612967224478</v>
      </c>
      <c r="Q718" s="32">
        <v>2336.5695044835657</v>
      </c>
      <c r="R718" s="13">
        <v>3106.0043928025534</v>
      </c>
      <c r="S718" s="57">
        <v>-0.24191015645742425</v>
      </c>
      <c r="T718" s="53">
        <v>197000.0</v>
      </c>
      <c r="U718" s="51">
        <v>94397.40798113604</v>
      </c>
      <c r="V718" s="51">
        <v>-117038.9688188639</v>
      </c>
    </row>
    <row r="719">
      <c r="A719" s="55">
        <v>44759.95996230324</v>
      </c>
      <c r="B719" s="48">
        <v>2.4160742484266198</v>
      </c>
      <c r="C719" s="7">
        <v>-0.0014040747676785648</v>
      </c>
      <c r="D719" s="49">
        <v>-0.5646713065897982</v>
      </c>
      <c r="E719" s="62">
        <v>39.37</v>
      </c>
      <c r="F719" s="7">
        <v>-0.0019099073302093483</v>
      </c>
      <c r="G719" s="49">
        <v>-0.4215919108435243</v>
      </c>
      <c r="H719" s="51">
        <v>2089.408852</v>
      </c>
      <c r="I719" s="7">
        <v>-3.187253918343439E-5</v>
      </c>
      <c r="J719" s="57">
        <v>0.02270002988240508</v>
      </c>
      <c r="K719" s="51">
        <v>89954.91279973107</v>
      </c>
      <c r="L719" s="7">
        <v>-0.0013722022284951305</v>
      </c>
      <c r="M719" s="57">
        <v>0.977299970117595</v>
      </c>
      <c r="N719" s="52">
        <v>5.058325625307836E-4</v>
      </c>
      <c r="O719" s="7">
        <v>-0.14307939574627393</v>
      </c>
      <c r="P719" s="53">
        <v>68.06612967224478</v>
      </c>
      <c r="Q719" s="32">
        <v>2337.9304458148613</v>
      </c>
      <c r="R719" s="13">
        <v>3106.0043928025534</v>
      </c>
      <c r="S719" s="57">
        <v>-0.24146860494400563</v>
      </c>
      <c r="T719" s="53">
        <v>197000.0</v>
      </c>
      <c r="U719" s="51">
        <v>92044.32165173108</v>
      </c>
      <c r="V719" s="51">
        <v>-119392.05514826886</v>
      </c>
    </row>
    <row r="720">
      <c r="A720" s="55">
        <v>44758.95995841435</v>
      </c>
      <c r="B720" s="48">
        <v>2.423866863387236</v>
      </c>
      <c r="C720" s="7">
        <v>0.016849927604043913</v>
      </c>
      <c r="D720" s="49">
        <v>-0.5632672318221197</v>
      </c>
      <c r="E720" s="62">
        <v>39.5</v>
      </c>
      <c r="F720" s="7">
        <v>0.02291888796251207</v>
      </c>
      <c r="G720" s="49">
        <v>-0.41968200351331497</v>
      </c>
      <c r="H720" s="51">
        <v>2089.408852</v>
      </c>
      <c r="I720" s="7">
        <v>3.8126416083163363E-4</v>
      </c>
      <c r="J720" s="57">
        <v>0.022627050382111543</v>
      </c>
      <c r="K720" s="51">
        <v>90251.78528136533</v>
      </c>
      <c r="L720" s="7">
        <v>0.01646866344321228</v>
      </c>
      <c r="M720" s="57">
        <v>0.9773729496178886</v>
      </c>
      <c r="N720" s="52">
        <v>-0.006068960358468156</v>
      </c>
      <c r="O720" s="7">
        <v>-0.1435852283088047</v>
      </c>
      <c r="P720" s="53">
        <v>68.06612967224478</v>
      </c>
      <c r="Q720" s="32">
        <v>2337.7517502117807</v>
      </c>
      <c r="R720" s="13">
        <v>3106.0043928025534</v>
      </c>
      <c r="S720" s="57">
        <v>-0.24152658195753812</v>
      </c>
      <c r="T720" s="53">
        <v>197000.0</v>
      </c>
      <c r="U720" s="51">
        <v>92341.19413336534</v>
      </c>
      <c r="V720" s="51">
        <v>-119095.1826666346</v>
      </c>
    </row>
    <row r="721">
      <c r="A721" s="55">
        <v>44757.959958761574</v>
      </c>
      <c r="B721" s="48">
        <v>2.3303497651847915</v>
      </c>
      <c r="C721" s="7">
        <v>0.10078632941576604</v>
      </c>
      <c r="D721" s="49">
        <v>-0.5801171594261636</v>
      </c>
      <c r="E721" s="62">
        <v>37.94</v>
      </c>
      <c r="F721" s="7">
        <v>0.02100898063230283</v>
      </c>
      <c r="G721" s="49">
        <v>-0.44260089147582704</v>
      </c>
      <c r="H721" s="51">
        <v>2089.400052</v>
      </c>
      <c r="I721" s="7">
        <v>0.0023720038807200825</v>
      </c>
      <c r="J721" s="57">
        <v>0.023534976365048862</v>
      </c>
      <c r="K721" s="51">
        <v>86689.10643942397</v>
      </c>
      <c r="L721" s="7">
        <v>0.09841432553504596</v>
      </c>
      <c r="M721" s="57">
        <v>0.9764650236349511</v>
      </c>
      <c r="N721" s="52">
        <v>0.07977734878346321</v>
      </c>
      <c r="O721" s="7">
        <v>-0.13751626795033656</v>
      </c>
      <c r="P721" s="53">
        <v>68.06612967224478</v>
      </c>
      <c r="Q721" s="32">
        <v>2339.9711779500253</v>
      </c>
      <c r="R721" s="13">
        <v>3106.0043928025534</v>
      </c>
      <c r="S721" s="7">
        <v>-0.2408064982520839</v>
      </c>
      <c r="T721" s="53">
        <v>197000.0</v>
      </c>
      <c r="U721" s="51">
        <v>88778.50649142396</v>
      </c>
      <c r="V721" s="51">
        <v>-122657.87030857598</v>
      </c>
    </row>
    <row r="722">
      <c r="A722" s="55">
        <v>44756.959966574075</v>
      </c>
      <c r="B722" s="48">
        <v>1.7709856369272907</v>
      </c>
      <c r="C722" s="7">
        <v>0.01669253512805402</v>
      </c>
      <c r="D722" s="49">
        <v>-0.6809034888419296</v>
      </c>
      <c r="E722" s="62">
        <v>36.51</v>
      </c>
      <c r="F722" s="7">
        <v>0.09725768087809561</v>
      </c>
      <c r="G722" s="49">
        <v>-0.4636098721081299</v>
      </c>
      <c r="H722" s="51">
        <v>14329.026899999999</v>
      </c>
      <c r="I722" s="7">
        <v>0.00404678113388995</v>
      </c>
      <c r="J722" s="57">
        <v>0.24243058965254455</v>
      </c>
      <c r="K722" s="51">
        <v>44776.66153864379</v>
      </c>
      <c r="L722" s="7">
        <v>0.012645753994164071</v>
      </c>
      <c r="M722" s="57">
        <v>0.7575694103474555</v>
      </c>
      <c r="N722" s="52">
        <v>-0.08056514575004159</v>
      </c>
      <c r="O722" s="7">
        <v>-0.21729361673379977</v>
      </c>
      <c r="P722" s="53">
        <v>68.06612967224478</v>
      </c>
      <c r="Q722" s="32">
        <v>1618.8903982099093</v>
      </c>
      <c r="R722" s="13">
        <v>3106.0043928025534</v>
      </c>
      <c r="S722" s="7">
        <v>-0.31327901628171473</v>
      </c>
      <c r="T722" s="53">
        <v>197000.0</v>
      </c>
      <c r="U722" s="51">
        <v>59105.68843864379</v>
      </c>
      <c r="V722" s="51">
        <v>-126122.56186135614</v>
      </c>
    </row>
    <row r="723">
      <c r="A723" s="55">
        <v>44755.95995363426</v>
      </c>
      <c r="B723" s="48">
        <v>1.678342066966591</v>
      </c>
      <c r="C723" s="7">
        <v>0.006410491833033216</v>
      </c>
      <c r="D723" s="49">
        <v>-0.6975960239699837</v>
      </c>
      <c r="E723" s="62">
        <v>34.0</v>
      </c>
      <c r="F723" s="7">
        <v>0.012140720593910137</v>
      </c>
      <c r="G723" s="49">
        <v>-0.5608675529862255</v>
      </c>
      <c r="H723" s="51">
        <v>13741.758999999998</v>
      </c>
      <c r="I723" s="7">
        <v>0.0015726749077644789</v>
      </c>
      <c r="J723" s="57">
        <v>0.24532827569649132</v>
      </c>
      <c r="K723" s="51">
        <v>42272.000363803054</v>
      </c>
      <c r="L723" s="7">
        <v>0.0048378169252687375</v>
      </c>
      <c r="M723" s="57">
        <v>0.7546717243035087</v>
      </c>
      <c r="N723" s="52">
        <v>-0.005730228760876921</v>
      </c>
      <c r="O723" s="7">
        <v>-0.13672847098375818</v>
      </c>
      <c r="P723" s="53">
        <v>77.42538778723745</v>
      </c>
      <c r="Q723" s="32">
        <v>1647.46351070009</v>
      </c>
      <c r="R723" s="13">
        <v>2392.2028409155696</v>
      </c>
      <c r="S723" s="7">
        <v>-0.30115851946559496</v>
      </c>
      <c r="T723" s="53">
        <v>170700.0</v>
      </c>
      <c r="U723" s="51">
        <v>56013.75936380306</v>
      </c>
      <c r="V723" s="51">
        <v>-129214.49093619687</v>
      </c>
    </row>
    <row r="724">
      <c r="A724" s="55">
        <v>44754.95996886574</v>
      </c>
      <c r="B724" s="48">
        <v>1.6427638372932567</v>
      </c>
      <c r="C724" s="7">
        <v>-0.012808814853954686</v>
      </c>
      <c r="D724" s="49">
        <v>-0.7040065158030169</v>
      </c>
      <c r="E724" s="62">
        <v>33.06</v>
      </c>
      <c r="F724" s="7">
        <v>-0.024927224198134867</v>
      </c>
      <c r="G724" s="49">
        <v>-0.5730082735801356</v>
      </c>
      <c r="H724" s="51">
        <v>13827.483400000001</v>
      </c>
      <c r="I724" s="7">
        <v>-0.003230447732512707</v>
      </c>
      <c r="J724" s="57">
        <v>0.25220504545862144</v>
      </c>
      <c r="K724" s="51">
        <v>40998.87177800787</v>
      </c>
      <c r="L724" s="7">
        <v>-0.009578367121441979</v>
      </c>
      <c r="M724" s="57">
        <v>0.7477949545413786</v>
      </c>
      <c r="N724" s="52">
        <v>0.012118409344180181</v>
      </c>
      <c r="O724" s="7">
        <v>-0.13099824222288126</v>
      </c>
      <c r="P724" s="53">
        <v>77.42538778723745</v>
      </c>
      <c r="Q724" s="32">
        <v>1658.3894488205647</v>
      </c>
      <c r="R724" s="13">
        <v>2392.2028409155696</v>
      </c>
      <c r="S724" s="7">
        <v>-0.2965238196845387</v>
      </c>
      <c r="T724" s="53">
        <v>170700.0</v>
      </c>
      <c r="U724" s="51">
        <v>54826.35517800787</v>
      </c>
      <c r="V724" s="51">
        <v>-130401.89512199206</v>
      </c>
    </row>
    <row r="725">
      <c r="A725" s="55">
        <v>44753.95998275463</v>
      </c>
      <c r="B725" s="48">
        <v>1.7138527597327045</v>
      </c>
      <c r="C725" s="7">
        <v>-0.013924679432168796</v>
      </c>
      <c r="D725" s="49">
        <v>-0.6911977009490622</v>
      </c>
      <c r="E725" s="62">
        <v>34.99</v>
      </c>
      <c r="F725" s="7">
        <v>-0.027768669443517968</v>
      </c>
      <c r="G725" s="49">
        <v>-0.5480810493820008</v>
      </c>
      <c r="H725" s="51">
        <v>14327.7532</v>
      </c>
      <c r="I725" s="7">
        <v>-0.003487992549007493</v>
      </c>
      <c r="J725" s="57">
        <v>0.25048997113352084</v>
      </c>
      <c r="K725" s="51">
        <v>42871.15634182254</v>
      </c>
      <c r="L725" s="7">
        <v>-0.010436686883161302</v>
      </c>
      <c r="M725" s="57">
        <v>0.7495100288664791</v>
      </c>
      <c r="N725" s="52">
        <v>0.013843990011349172</v>
      </c>
      <c r="O725" s="7">
        <v>-0.14311665156706144</v>
      </c>
      <c r="P725" s="53">
        <v>77.42538778723745</v>
      </c>
      <c r="Q725" s="32">
        <v>1634.7216216582603</v>
      </c>
      <c r="R725" s="13">
        <v>2392.2028409155696</v>
      </c>
      <c r="S725" s="7">
        <v>-0.3065635318042375</v>
      </c>
      <c r="T725" s="53">
        <v>170700.0</v>
      </c>
      <c r="U725" s="51">
        <v>57198.90954182253</v>
      </c>
      <c r="V725" s="51">
        <v>-128029.3407581774</v>
      </c>
    </row>
    <row r="726">
      <c r="A726" s="63">
        <v>44752.97193020833</v>
      </c>
      <c r="B726" s="48">
        <v>1.7911347305812413</v>
      </c>
      <c r="C726" s="7">
        <v>-0.008026246356864775</v>
      </c>
      <c r="D726" s="49">
        <v>-0.6772730215168934</v>
      </c>
      <c r="E726" s="64">
        <v>37.14</v>
      </c>
      <c r="F726" s="7">
        <v>-0.016015418655796587</v>
      </c>
      <c r="G726" s="49">
        <v>-0.5203123799384828</v>
      </c>
      <c r="H726" s="64">
        <v>15044.3888</v>
      </c>
      <c r="I726" s="7">
        <v>-0.002019968226322264</v>
      </c>
      <c r="J726" s="17">
        <v>0.2516703495644142</v>
      </c>
      <c r="K726" s="64">
        <v>44733.76474903156</v>
      </c>
      <c r="L726" s="7">
        <v>-0.00600627813054251</v>
      </c>
      <c r="M726" s="60">
        <v>0.7483296504355857</v>
      </c>
      <c r="N726" s="52">
        <v>0.007989172298931813</v>
      </c>
      <c r="O726" s="7">
        <v>-0.1569606415784106</v>
      </c>
      <c r="P726" s="53">
        <v>77.42538778723745</v>
      </c>
      <c r="Q726" s="65">
        <v>1609.5356367536767</v>
      </c>
      <c r="R726" s="13">
        <v>2392.2028409155696</v>
      </c>
      <c r="S726" s="7">
        <v>-0.31724723488179873</v>
      </c>
      <c r="T726" s="53">
        <v>170700.0</v>
      </c>
      <c r="U726" s="64">
        <v>59778.15354903155</v>
      </c>
      <c r="V726" s="64">
        <v>-125450.09675096837</v>
      </c>
    </row>
    <row r="727">
      <c r="A727" s="55">
        <v>44751.95995346065</v>
      </c>
      <c r="B727" s="48">
        <v>1.8356803978618415</v>
      </c>
      <c r="C727" s="7">
        <v>-8.184256281389413E-4</v>
      </c>
      <c r="D727" s="49">
        <v>-0.6692467751600286</v>
      </c>
      <c r="E727" s="62">
        <v>38.38</v>
      </c>
      <c r="F727" s="7">
        <v>-0.0016790358268172767</v>
      </c>
      <c r="G727" s="49">
        <v>-0.5042969612826862</v>
      </c>
      <c r="H727" s="51">
        <v>15432.7818</v>
      </c>
      <c r="I727" s="7">
        <v>-2.0616366431489897E-4</v>
      </c>
      <c r="J727" s="57">
        <v>0.2519027474539193</v>
      </c>
      <c r="K727" s="51">
        <v>45832.05931819038</v>
      </c>
      <c r="L727" s="7">
        <v>-6.122619638240423E-4</v>
      </c>
      <c r="M727" s="57">
        <v>0.7480972525460807</v>
      </c>
      <c r="N727" s="52">
        <v>8.606101986783354E-4</v>
      </c>
      <c r="O727" s="7">
        <v>-0.16494981387734242</v>
      </c>
      <c r="P727" s="53">
        <v>77.42538778723745</v>
      </c>
      <c r="Q727" s="32">
        <v>1596.2699613910988</v>
      </c>
      <c r="R727" s="13">
        <v>2392.2028409155696</v>
      </c>
      <c r="S727" s="7">
        <v>-0.3228744333905737</v>
      </c>
      <c r="T727" s="53">
        <v>170700.0</v>
      </c>
      <c r="U727" s="51">
        <v>61264.84111819038</v>
      </c>
      <c r="V727" s="51">
        <v>-123963.40918180955</v>
      </c>
    </row>
    <row r="728">
      <c r="A728" s="55">
        <v>44750.95995240741</v>
      </c>
      <c r="B728" s="48">
        <v>1.8402226600980123</v>
      </c>
      <c r="C728" s="7">
        <v>0.0013185225593823624</v>
      </c>
      <c r="D728" s="49">
        <v>-0.6684283495318897</v>
      </c>
      <c r="E728" s="62">
        <v>38.51</v>
      </c>
      <c r="F728" s="7">
        <v>3.87469806188534E-4</v>
      </c>
      <c r="G728" s="49">
        <v>-0.5026179254558689</v>
      </c>
      <c r="H728" s="51">
        <v>15264.0285</v>
      </c>
      <c r="I728" s="7">
        <v>3.2769673750348454E-4</v>
      </c>
      <c r="J728" s="57">
        <v>0.24853328080862572</v>
      </c>
      <c r="K728" s="51">
        <v>46152.40816529122</v>
      </c>
      <c r="L728" s="7">
        <v>9.90825821878878E-4</v>
      </c>
      <c r="M728" s="57">
        <v>0.7514667191913743</v>
      </c>
      <c r="N728" s="52">
        <v>9.310527531938284E-4</v>
      </c>
      <c r="O728" s="7">
        <v>-0.16581042407602076</v>
      </c>
      <c r="P728" s="53">
        <v>77.42538778723745</v>
      </c>
      <c r="Q728" s="32">
        <v>1594.8178827652878</v>
      </c>
      <c r="R728" s="13">
        <v>2392.2028409155696</v>
      </c>
      <c r="S728" s="7">
        <v>-0.3234903940902331</v>
      </c>
      <c r="T728" s="53">
        <v>170700.0</v>
      </c>
      <c r="U728" s="51">
        <v>61416.43666529123</v>
      </c>
      <c r="V728" s="51">
        <v>-123811.8136347087</v>
      </c>
    </row>
    <row r="729">
      <c r="A729" s="55">
        <v>44749.9599581713</v>
      </c>
      <c r="B729" s="48">
        <v>1.83290485989344</v>
      </c>
      <c r="C729" s="7">
        <v>0.014553662330139217</v>
      </c>
      <c r="D729" s="49">
        <v>-0.669746872091272</v>
      </c>
      <c r="E729" s="62">
        <v>38.48</v>
      </c>
      <c r="F729" s="7">
        <v>0.028801922260021096</v>
      </c>
      <c r="G729" s="49">
        <v>-0.5030053952620575</v>
      </c>
      <c r="H729" s="51">
        <v>14916.3931</v>
      </c>
      <c r="I729" s="7">
        <v>0.0035488034807425028</v>
      </c>
      <c r="J729" s="57">
        <v>0.2438426425074654</v>
      </c>
      <c r="K729" s="51">
        <v>46255.815938635744</v>
      </c>
      <c r="L729" s="7">
        <v>0.011004858849396712</v>
      </c>
      <c r="M729" s="57">
        <v>0.7561573574925345</v>
      </c>
      <c r="N729" s="52">
        <v>-0.014248259929881879</v>
      </c>
      <c r="O729" s="7">
        <v>-0.16674147682921459</v>
      </c>
      <c r="P729" s="53">
        <v>77.42538778723745</v>
      </c>
      <c r="Q729" s="32">
        <v>1589.7143721059188</v>
      </c>
      <c r="R729" s="13">
        <v>2392.2028409155696</v>
      </c>
      <c r="S729" s="7">
        <v>-0.3256552644633565</v>
      </c>
      <c r="T729" s="53">
        <v>170700.0</v>
      </c>
      <c r="U729" s="51">
        <v>61172.20903863575</v>
      </c>
      <c r="V729" s="51">
        <v>-124056.04126136418</v>
      </c>
    </row>
    <row r="730">
      <c r="A730" s="55">
        <v>44748.95995939815</v>
      </c>
      <c r="B730" s="48">
        <v>1.7521320339611677</v>
      </c>
      <c r="C730" s="7">
        <v>0.0023352263940410456</v>
      </c>
      <c r="D730" s="49">
        <v>-0.6843005344214113</v>
      </c>
      <c r="E730" s="62">
        <v>36.25</v>
      </c>
      <c r="F730" s="7">
        <v>0.004649637674263518</v>
      </c>
      <c r="G730" s="49">
        <v>-0.5318073175220785</v>
      </c>
      <c r="H730" s="51">
        <v>14485.681999999999</v>
      </c>
      <c r="I730" s="7">
        <v>5.78478026136618E-4</v>
      </c>
      <c r="J730" s="57">
        <v>0.2477181773950309</v>
      </c>
      <c r="K730" s="51">
        <v>43990.77762976706</v>
      </c>
      <c r="L730" s="7">
        <v>0.0017567483679044277</v>
      </c>
      <c r="M730" s="57">
        <v>0.7522818226049691</v>
      </c>
      <c r="N730" s="52">
        <v>-0.0023144112802224726</v>
      </c>
      <c r="O730" s="7">
        <v>-0.1524932168993327</v>
      </c>
      <c r="P730" s="53">
        <v>77.42538778723745</v>
      </c>
      <c r="Q730" s="32">
        <v>1613.1437139246084</v>
      </c>
      <c r="R730" s="13">
        <v>2392.2028409155696</v>
      </c>
      <c r="S730" s="7">
        <v>-0.31571671601103796</v>
      </c>
      <c r="T730" s="53">
        <v>170700.0</v>
      </c>
      <c r="U730" s="51">
        <v>58476.45962976706</v>
      </c>
      <c r="V730" s="51">
        <v>-126751.79067023288</v>
      </c>
    </row>
    <row r="731">
      <c r="A731" s="55">
        <v>44747.95996623843</v>
      </c>
      <c r="B731" s="48">
        <v>1.7391715274742396</v>
      </c>
      <c r="C731" s="7">
        <v>6.650703014010606E-5</v>
      </c>
      <c r="D731" s="49">
        <v>-0.6866357608154523</v>
      </c>
      <c r="E731" s="62">
        <v>35.89</v>
      </c>
      <c r="F731" s="7">
        <v>1.2915660206291868E-4</v>
      </c>
      <c r="G731" s="49">
        <v>-0.5364569551963421</v>
      </c>
      <c r="H731" s="51">
        <v>13220.045799999998</v>
      </c>
      <c r="I731" s="7">
        <v>1.5147600989539777E-5</v>
      </c>
      <c r="J731" s="57">
        <v>0.22775939562523398</v>
      </c>
      <c r="K731" s="51">
        <v>44823.86393074447</v>
      </c>
      <c r="L731" s="7">
        <v>5.135942915056628E-5</v>
      </c>
      <c r="M731" s="57">
        <v>0.7722406043747659</v>
      </c>
      <c r="N731" s="52">
        <v>-6.264957192281262E-5</v>
      </c>
      <c r="O731" s="7">
        <v>-0.15017880561911023</v>
      </c>
      <c r="P731" s="53">
        <v>77.42538778723745</v>
      </c>
      <c r="Q731" s="13">
        <v>1617.2724918011827</v>
      </c>
      <c r="R731" s="13">
        <v>2392.2028409155696</v>
      </c>
      <c r="S731" s="7">
        <v>-0.3139653198645845</v>
      </c>
      <c r="T731" s="53">
        <v>170700.0</v>
      </c>
      <c r="U731" s="51">
        <v>58043.909730744446</v>
      </c>
      <c r="V731" s="51">
        <v>-127184.34056925548</v>
      </c>
    </row>
    <row r="732">
      <c r="A732" s="55">
        <v>44746.95995979167</v>
      </c>
      <c r="B732" s="48">
        <v>1.7388024134569622</v>
      </c>
      <c r="C732" s="7">
        <v>0.017478970841875552</v>
      </c>
      <c r="D732" s="49">
        <v>-0.6867022678455924</v>
      </c>
      <c r="E732" s="62">
        <v>35.88</v>
      </c>
      <c r="F732" s="7">
        <v>0.033193246730158776</v>
      </c>
      <c r="G732" s="49">
        <v>-0.536586111798405</v>
      </c>
      <c r="H732" s="51">
        <v>13220.045799999998</v>
      </c>
      <c r="I732" s="7">
        <v>0.003981844924124917</v>
      </c>
      <c r="J732" s="57">
        <v>0.22780774452608746</v>
      </c>
      <c r="K732" s="51">
        <v>44811.544949918956</v>
      </c>
      <c r="L732" s="7">
        <v>0.013497125917750633</v>
      </c>
      <c r="M732" s="57">
        <v>0.7721922554739125</v>
      </c>
      <c r="N732" s="52">
        <v>-0.015714275888283225</v>
      </c>
      <c r="O732" s="7">
        <v>-0.15011615604718742</v>
      </c>
      <c r="P732" s="53">
        <v>77.42538778723745</v>
      </c>
      <c r="Q732" s="13">
        <v>1617.3798982697585</v>
      </c>
      <c r="R732" s="13">
        <v>2392.2028409155696</v>
      </c>
      <c r="S732" s="7">
        <v>-0.3139197588582065</v>
      </c>
      <c r="T732" s="53">
        <v>170700.0</v>
      </c>
      <c r="U732" s="51">
        <v>58031.59074991894</v>
      </c>
      <c r="V732" s="51">
        <v>-127196.65955008098</v>
      </c>
    </row>
    <row r="733">
      <c r="A733" s="55">
        <v>44745.95996853009</v>
      </c>
      <c r="B733" s="48">
        <v>1.6417941252845527</v>
      </c>
      <c r="C733" s="7">
        <v>-6.542236447739658E-4</v>
      </c>
      <c r="D733" s="49">
        <v>-0.704181238687468</v>
      </c>
      <c r="E733" s="62">
        <v>33.31</v>
      </c>
      <c r="F733" s="7">
        <v>-0.0014207226226916614</v>
      </c>
      <c r="G733" s="49">
        <v>-0.5697793585285638</v>
      </c>
      <c r="H733" s="51">
        <v>13180.88</v>
      </c>
      <c r="I733" s="7">
        <v>-1.5737571052626108E-4</v>
      </c>
      <c r="J733" s="57">
        <v>0.24055338229273932</v>
      </c>
      <c r="K733" s="51">
        <v>41613.11156383361</v>
      </c>
      <c r="L733" s="7">
        <v>-4.968479342477047E-4</v>
      </c>
      <c r="M733" s="57">
        <v>0.7594466177072607</v>
      </c>
      <c r="N733" s="52">
        <v>7.664989779176956E-4</v>
      </c>
      <c r="O733" s="7">
        <v>-0.1344018801589042</v>
      </c>
      <c r="P733" s="53">
        <v>77.42538778723745</v>
      </c>
      <c r="Q733" s="13">
        <v>1644.97122677375</v>
      </c>
      <c r="R733" s="13">
        <v>2392.2028409155696</v>
      </c>
      <c r="S733" s="7">
        <v>-0.3022157273355619</v>
      </c>
      <c r="T733" s="53">
        <v>170700.0</v>
      </c>
      <c r="U733" s="51">
        <v>54793.99156383362</v>
      </c>
      <c r="V733" s="51">
        <v>-130434.25873616632</v>
      </c>
    </row>
    <row r="734">
      <c r="A734" s="55">
        <v>44744.95995841435</v>
      </c>
      <c r="B734" s="48">
        <v>1.6454250665130483</v>
      </c>
      <c r="C734" s="7">
        <v>0.0031013653948012143</v>
      </c>
      <c r="D734" s="49">
        <v>-0.703527015042694</v>
      </c>
      <c r="E734" s="62">
        <v>33.42</v>
      </c>
      <c r="F734" s="7">
        <v>0.005941203694892261</v>
      </c>
      <c r="G734" s="49">
        <v>-0.5683586359058721</v>
      </c>
      <c r="H734" s="53">
        <v>13166.16</v>
      </c>
      <c r="I734" s="7">
        <v>7.43488391973912E-4</v>
      </c>
      <c r="J734" s="57">
        <v>0.23972937636442765</v>
      </c>
      <c r="K734" s="51">
        <v>41750.39226486</v>
      </c>
      <c r="L734" s="7">
        <v>0.0023578770028273026</v>
      </c>
      <c r="M734" s="57">
        <v>0.7602706236355724</v>
      </c>
      <c r="N734" s="52">
        <v>-0.0028398383000910465</v>
      </c>
      <c r="O734" s="7">
        <v>-0.1351683791368219</v>
      </c>
      <c r="P734" s="53">
        <v>77.42538778723745</v>
      </c>
      <c r="Q734" s="13">
        <v>1643.1828924254933</v>
      </c>
      <c r="R734" s="13">
        <v>2392.2028409155696</v>
      </c>
      <c r="S734" s="7">
        <v>-0.3029743251530609</v>
      </c>
      <c r="T734" s="53">
        <v>170700.0</v>
      </c>
      <c r="U734" s="51">
        <v>54915.17226485999</v>
      </c>
      <c r="V734" s="51">
        <v>-130313.07803513994</v>
      </c>
    </row>
    <row r="735">
      <c r="A735" s="55">
        <v>44743.959948414355</v>
      </c>
      <c r="B735" s="48">
        <v>1.6282124885719016</v>
      </c>
      <c r="C735" s="7">
        <v>0.005211545911471549</v>
      </c>
      <c r="D735" s="49">
        <v>-0.7066283804374952</v>
      </c>
      <c r="E735" s="62">
        <v>32.96</v>
      </c>
      <c r="F735" s="7">
        <v>0.009686745154715681</v>
      </c>
      <c r="G735" s="49">
        <v>-0.5742998396007644</v>
      </c>
      <c r="H735" s="51">
        <v>13164.78</v>
      </c>
      <c r="I735" s="7">
        <v>0.0012625682133709801</v>
      </c>
      <c r="J735" s="57">
        <v>0.2422636651040223</v>
      </c>
      <c r="K735" s="51">
        <v>41175.93177924</v>
      </c>
      <c r="L735" s="7">
        <v>0.003948977698100569</v>
      </c>
      <c r="M735" s="57">
        <v>0.7577363348959777</v>
      </c>
      <c r="N735" s="52">
        <v>-0.004475199243244132</v>
      </c>
      <c r="O735" s="7">
        <v>-0.13232854083673085</v>
      </c>
      <c r="P735" s="53">
        <v>77.42538778723745</v>
      </c>
      <c r="Q735" s="13">
        <v>1648.686643787621</v>
      </c>
      <c r="R735" s="13">
        <v>2392.2028409155696</v>
      </c>
      <c r="S735" s="7">
        <v>-0.300639675720511</v>
      </c>
      <c r="T735" s="53">
        <v>170700.0</v>
      </c>
      <c r="U735" s="51">
        <v>54340.711779239995</v>
      </c>
      <c r="V735" s="51">
        <v>-130887.53852075993</v>
      </c>
    </row>
    <row r="736">
      <c r="A736" s="55">
        <v>44742.95997094907</v>
      </c>
      <c r="B736" s="48">
        <v>1.5992884087632344</v>
      </c>
      <c r="C736" s="7">
        <v>-0.013547222835803119</v>
      </c>
      <c r="D736" s="49">
        <v>-0.7118399263489668</v>
      </c>
      <c r="E736" s="62">
        <v>32.21</v>
      </c>
      <c r="F736" s="7">
        <v>-0.026477103422889336</v>
      </c>
      <c r="G736" s="49">
        <v>-0.58398658475548</v>
      </c>
      <c r="H736" s="51">
        <v>13158.56</v>
      </c>
      <c r="I736" s="7">
        <v>-0.0033397780708823853</v>
      </c>
      <c r="J736" s="57">
        <v>0.24652861411978047</v>
      </c>
      <c r="K736" s="51">
        <v>40216.8262487</v>
      </c>
      <c r="L736" s="7">
        <v>-0.010207444764920734</v>
      </c>
      <c r="M736" s="57">
        <v>0.7534713858802196</v>
      </c>
      <c r="N736" s="52">
        <v>0.012929880587086218</v>
      </c>
      <c r="O736" s="7">
        <v>-0.1278533415934867</v>
      </c>
      <c r="P736" s="53">
        <v>77.42538778723745</v>
      </c>
      <c r="Q736" s="13">
        <v>1657.1060617416952</v>
      </c>
      <c r="R736" s="13">
        <v>2392.2028409155696</v>
      </c>
      <c r="S736" s="7">
        <v>-0.29706822271408734</v>
      </c>
      <c r="T736" s="53">
        <v>170700.0</v>
      </c>
      <c r="U736" s="51">
        <v>53375.3862487</v>
      </c>
      <c r="V736" s="51">
        <v>-131852.86405129993</v>
      </c>
    </row>
    <row r="737">
      <c r="A737" s="55">
        <v>44741.95995881944</v>
      </c>
      <c r="B737" s="48">
        <v>1.6744754955019419</v>
      </c>
      <c r="C737" s="7">
        <v>-0.020705980489197473</v>
      </c>
      <c r="D737" s="49">
        <v>-0.6982927035131636</v>
      </c>
      <c r="E737" s="62">
        <v>34.26</v>
      </c>
      <c r="F737" s="7">
        <v>-0.02092336953418572</v>
      </c>
      <c r="G737" s="49">
        <v>-0.5575094813325907</v>
      </c>
      <c r="H737" s="51">
        <v>13843.86</v>
      </c>
      <c r="I737" s="7">
        <v>-0.0051293219791476285</v>
      </c>
      <c r="J737" s="57">
        <v>0.24772176240693597</v>
      </c>
      <c r="K737" s="51">
        <v>42040.854631</v>
      </c>
      <c r="L737" s="7">
        <v>-0.015576658510049845</v>
      </c>
      <c r="M737" s="57">
        <v>0.752278237593064</v>
      </c>
      <c r="N737" s="52">
        <v>2.1738904498824763E-4</v>
      </c>
      <c r="O737" s="7">
        <v>-0.14078322218057293</v>
      </c>
      <c r="P737" s="53">
        <v>77.42538778723745</v>
      </c>
      <c r="Q737" s="13">
        <v>1631.19423908348</v>
      </c>
      <c r="R737" s="13">
        <v>2392.2028409155696</v>
      </c>
      <c r="S737" s="7">
        <v>-0.30805982064156856</v>
      </c>
      <c r="T737" s="53">
        <v>170700.0</v>
      </c>
      <c r="U737" s="51">
        <v>55884.71463100002</v>
      </c>
      <c r="V737" s="51">
        <v>-129343.53566899992</v>
      </c>
    </row>
    <row r="738">
      <c r="A738" s="55">
        <v>44740.95995430555</v>
      </c>
      <c r="B738" s="48">
        <v>1.7893936872169878</v>
      </c>
      <c r="C738" s="7">
        <v>-0.010135069719545808</v>
      </c>
      <c r="D738" s="49">
        <v>-0.6775867230239662</v>
      </c>
      <c r="E738" s="62">
        <v>35.88</v>
      </c>
      <c r="F738" s="7">
        <v>-0.03358071653634753</v>
      </c>
      <c r="G738" s="49">
        <v>-0.536586111798405</v>
      </c>
      <c r="H738" s="51">
        <v>34049.6968</v>
      </c>
      <c r="I738" s="7">
        <v>-0.005778562934285435</v>
      </c>
      <c r="J738" s="57">
        <v>0.5701552228241006</v>
      </c>
      <c r="K738" s="51">
        <v>25670.350367759995</v>
      </c>
      <c r="L738" s="7">
        <v>-0.004356506785260373</v>
      </c>
      <c r="M738" s="57">
        <v>0.42984477717589936</v>
      </c>
      <c r="N738" s="52">
        <v>0.023445646816801724</v>
      </c>
      <c r="O738" s="7">
        <v>-0.14100061122556118</v>
      </c>
      <c r="P738" s="53">
        <v>77.42538778723745</v>
      </c>
      <c r="Q738" s="13">
        <v>1664.4383268606464</v>
      </c>
      <c r="R738" s="13">
        <v>2392.2028409155696</v>
      </c>
      <c r="S738" s="7">
        <v>-0.2939579316647753</v>
      </c>
      <c r="T738" s="53">
        <v>170700.0</v>
      </c>
      <c r="U738" s="51">
        <v>59720.04716776</v>
      </c>
      <c r="V738" s="51">
        <v>-125508.20313223993</v>
      </c>
    </row>
    <row r="739">
      <c r="A739" s="55">
        <v>44739.959963692134</v>
      </c>
      <c r="B739" s="48">
        <v>1.845643324160467</v>
      </c>
      <c r="C739" s="7">
        <v>-0.009013166175764642</v>
      </c>
      <c r="D739" s="49">
        <v>-0.6674516533044204</v>
      </c>
      <c r="E739" s="62">
        <v>38.48</v>
      </c>
      <c r="F739" s="7">
        <v>-0.030222644882712646</v>
      </c>
      <c r="G739" s="49">
        <v>-0.5030053952620575</v>
      </c>
      <c r="H739" s="51">
        <v>34049.6968</v>
      </c>
      <c r="I739" s="7">
        <v>-0.004982285495585982</v>
      </c>
      <c r="J739" s="57">
        <v>0.5527786128012119</v>
      </c>
      <c r="K739" s="51">
        <v>27547.651598579992</v>
      </c>
      <c r="L739" s="7">
        <v>-0.00403088068017866</v>
      </c>
      <c r="M739" s="57">
        <v>0.4472213871987881</v>
      </c>
      <c r="N739" s="52">
        <v>0.021209478706948004</v>
      </c>
      <c r="O739" s="7">
        <v>-0.1644462580423629</v>
      </c>
      <c r="P739" s="53">
        <v>77.42538778723745</v>
      </c>
      <c r="Q739" s="13">
        <v>1600.7626922707898</v>
      </c>
      <c r="R739" s="13">
        <v>2392.2028409155696</v>
      </c>
      <c r="S739" s="7">
        <v>-0.32096865115065526</v>
      </c>
      <c r="T739" s="53">
        <v>170700.0</v>
      </c>
      <c r="U739" s="51">
        <v>61597.34839857998</v>
      </c>
      <c r="V739" s="51">
        <v>-123630.90190141994</v>
      </c>
    </row>
    <row r="740">
      <c r="A740" s="55">
        <v>44738.95996298611</v>
      </c>
      <c r="B740" s="48">
        <v>1.8956663964359608</v>
      </c>
      <c r="C740" s="7">
        <v>-0.004532472973211243</v>
      </c>
      <c r="D740" s="49">
        <v>-0.6584384871286557</v>
      </c>
      <c r="E740" s="62">
        <v>40.82</v>
      </c>
      <c r="F740" s="7">
        <v>-0.01575710545167075</v>
      </c>
      <c r="G740" s="49">
        <v>-0.4727827503793448</v>
      </c>
      <c r="H740" s="51">
        <v>34049.6968</v>
      </c>
      <c r="I740" s="7">
        <v>-0.0024393398987439495</v>
      </c>
      <c r="J740" s="57">
        <v>0.5381918244546496</v>
      </c>
      <c r="K740" s="51">
        <v>29217.14459897999</v>
      </c>
      <c r="L740" s="7">
        <v>-0.002093133074467294</v>
      </c>
      <c r="M740" s="57">
        <v>0.46180817554535036</v>
      </c>
      <c r="N740" s="52">
        <v>0.011224632478459506</v>
      </c>
      <c r="O740" s="7">
        <v>-0.1856557367493109</v>
      </c>
      <c r="P740" s="53">
        <v>77.42538778723745</v>
      </c>
      <c r="Q740" s="13">
        <v>1549.8981234439002</v>
      </c>
      <c r="R740" s="13">
        <v>2392.2028409155696</v>
      </c>
      <c r="S740" s="7">
        <v>-0.3425450140593684</v>
      </c>
      <c r="T740" s="53">
        <v>170700.0</v>
      </c>
      <c r="U740" s="51">
        <v>63266.84139898</v>
      </c>
      <c r="V740" s="51">
        <v>-121961.40890101992</v>
      </c>
    </row>
    <row r="741">
      <c r="A741" s="55">
        <v>44737.95995467593</v>
      </c>
      <c r="B741" s="48">
        <v>1.920821621437283</v>
      </c>
      <c r="C741" s="7">
        <v>-4.3349389237556935E-5</v>
      </c>
      <c r="D741" s="49">
        <v>-0.6539060141554445</v>
      </c>
      <c r="E741" s="62">
        <v>42.04</v>
      </c>
      <c r="F741" s="7">
        <v>0.002324818837131759</v>
      </c>
      <c r="G741" s="49">
        <v>-0.45702564492767406</v>
      </c>
      <c r="H741" s="51">
        <v>34049.6968</v>
      </c>
      <c r="I741" s="7">
        <v>-2.3024751683999267E-5</v>
      </c>
      <c r="J741" s="57">
        <v>0.5311436236811184</v>
      </c>
      <c r="K741" s="51">
        <v>30056.68663733999</v>
      </c>
      <c r="L741" s="7">
        <v>-2.0324637553557664E-5</v>
      </c>
      <c r="M741" s="57">
        <v>0.4688563763188815</v>
      </c>
      <c r="N741" s="52">
        <v>-0.002368168226369316</v>
      </c>
      <c r="O741" s="7">
        <v>-0.1968803692277704</v>
      </c>
      <c r="P741" s="53">
        <v>77.42538778723745</v>
      </c>
      <c r="Q741" s="13">
        <v>1524.8901864257841</v>
      </c>
      <c r="R741" s="13">
        <v>2392.2028409155696</v>
      </c>
      <c r="S741" s="7">
        <v>-0.35315319057881356</v>
      </c>
      <c r="T741" s="53">
        <v>170700.0</v>
      </c>
      <c r="U741" s="51">
        <v>64106.383437339966</v>
      </c>
      <c r="V741" s="51">
        <v>-121121.86686265995</v>
      </c>
    </row>
    <row r="742">
      <c r="A742" s="55">
        <v>44736.95995319444</v>
      </c>
      <c r="B742" s="48">
        <v>1.9210622105475517</v>
      </c>
      <c r="C742" s="7">
        <v>0.20117776728183345</v>
      </c>
      <c r="D742" s="49">
        <v>-0.6538626647662069</v>
      </c>
      <c r="E742" s="62">
        <v>41.86</v>
      </c>
      <c r="F742" s="7">
        <v>0.056570591703539175</v>
      </c>
      <c r="G742" s="49">
        <v>-0.4593504637648058</v>
      </c>
      <c r="H742" s="51">
        <v>42045.4302</v>
      </c>
      <c r="I742" s="7">
        <v>0.1319298638224835</v>
      </c>
      <c r="J742" s="57">
        <v>0.6557874938420042</v>
      </c>
      <c r="K742" s="51">
        <v>22068.982768860013</v>
      </c>
      <c r="L742" s="7">
        <v>0.06924790345934993</v>
      </c>
      <c r="M742" s="57">
        <v>0.34421250615799576</v>
      </c>
      <c r="N742" s="52">
        <v>0.14460717557829428</v>
      </c>
      <c r="O742" s="7">
        <v>-0.1945122010014011</v>
      </c>
      <c r="P742" s="53">
        <v>77.42538778723745</v>
      </c>
      <c r="Q742" s="13">
        <v>1531.6391058017202</v>
      </c>
      <c r="R742" s="13">
        <v>2392.2028409155696</v>
      </c>
      <c r="S742" s="7">
        <v>-0.35029035035318556</v>
      </c>
      <c r="T742" s="53">
        <v>170700.0</v>
      </c>
      <c r="U742" s="51">
        <v>64114.41296886001</v>
      </c>
      <c r="V742" s="51">
        <v>-121113.83733113992</v>
      </c>
    </row>
    <row r="743">
      <c r="A743" s="55">
        <v>44735.9599581713</v>
      </c>
      <c r="B743" s="48">
        <v>0.804525602133376</v>
      </c>
      <c r="C743" s="7">
        <v>0.005475977852746339</v>
      </c>
      <c r="D743" s="49">
        <v>-0.8550404320480404</v>
      </c>
      <c r="E743" s="62">
        <v>37.48</v>
      </c>
      <c r="F743" s="7">
        <v>0.16095523689546987</v>
      </c>
      <c r="G743" s="49">
        <v>-0.515921055468345</v>
      </c>
      <c r="H743" s="51">
        <v>10335.8332</v>
      </c>
      <c r="I743" s="7">
        <v>0.0027292449968725862</v>
      </c>
      <c r="J743" s="57">
        <v>0.49840322044104</v>
      </c>
      <c r="K743" s="51">
        <v>10402.060890760007</v>
      </c>
      <c r="L743" s="7">
        <v>0.002746732855873753</v>
      </c>
      <c r="M743" s="57">
        <v>0.5015967795589601</v>
      </c>
      <c r="N743" s="52">
        <v>-0.15547925904272353</v>
      </c>
      <c r="O743" s="7">
        <v>-0.3391193765796954</v>
      </c>
      <c r="P743" s="53">
        <v>77.42538778723745</v>
      </c>
      <c r="Q743" s="13">
        <v>1531.6391058017202</v>
      </c>
      <c r="R743" s="13">
        <v>2392.2028409155696</v>
      </c>
      <c r="S743" s="7">
        <v>-0.35029035035318556</v>
      </c>
      <c r="T743" s="53">
        <v>170700.0</v>
      </c>
      <c r="U743" s="51">
        <v>20737.89409076002</v>
      </c>
      <c r="V743" s="51">
        <v>-122321.95620923994</v>
      </c>
    </row>
    <row r="744">
      <c r="A744" s="55">
        <v>44734.959957280094</v>
      </c>
      <c r="B744" s="48">
        <v>0.7741339250506337</v>
      </c>
      <c r="C744" s="7">
        <v>-0.005637310517302985</v>
      </c>
      <c r="D744" s="49">
        <v>-0.8605164099007867</v>
      </c>
      <c r="E744" s="62">
        <v>34.74</v>
      </c>
      <c r="F744" s="7">
        <v>-0.01330071680828282</v>
      </c>
      <c r="G744" s="49">
        <v>-0.6768762923638149</v>
      </c>
      <c r="H744" s="51">
        <v>0.0</v>
      </c>
      <c r="I744" s="7">
        <v>0.0</v>
      </c>
      <c r="J744" s="57">
        <v>0.0</v>
      </c>
      <c r="K744" s="51">
        <v>19954.5015189</v>
      </c>
      <c r="L744" s="7">
        <v>-0.005637310517302985</v>
      </c>
      <c r="M744" s="57">
        <v>1.0</v>
      </c>
      <c r="N744" s="52">
        <v>0.007663406290979835</v>
      </c>
      <c r="O744" s="7">
        <v>-0.18364011753697185</v>
      </c>
      <c r="P744" s="53">
        <v>107.51300254054657</v>
      </c>
      <c r="Q744" s="13">
        <v>574.395553221071</v>
      </c>
      <c r="R744" s="13">
        <v>1330.610754271062</v>
      </c>
      <c r="S744" s="7">
        <v>-0.5590453116097246</v>
      </c>
      <c r="T744" s="53">
        <v>130700.0</v>
      </c>
      <c r="U744" s="51">
        <v>19954.50151890001</v>
      </c>
      <c r="V744" s="51">
        <v>-123105.34878109995</v>
      </c>
    </row>
    <row r="745">
      <c r="A745" s="55">
        <v>44733.9599566088</v>
      </c>
      <c r="B745" s="48">
        <v>0.8054209984216654</v>
      </c>
      <c r="C745" s="7">
        <v>0.0066154036315245746</v>
      </c>
      <c r="D745" s="49">
        <v>-0.8548790993834837</v>
      </c>
      <c r="E745" s="62">
        <v>36.17</v>
      </c>
      <c r="F745" s="7">
        <v>0.01534698093263398</v>
      </c>
      <c r="G745" s="49">
        <v>-0.663575575555532</v>
      </c>
      <c r="H745" s="51">
        <v>0.0</v>
      </c>
      <c r="I745" s="7">
        <v>0.0</v>
      </c>
      <c r="J745" s="57">
        <v>0.0</v>
      </c>
      <c r="K745" s="51">
        <v>20760.974317599997</v>
      </c>
      <c r="L745" s="7">
        <v>0.0066154036315245746</v>
      </c>
      <c r="M745" s="57">
        <v>1.0</v>
      </c>
      <c r="N745" s="52">
        <v>-0.008731577301109406</v>
      </c>
      <c r="O745" s="7">
        <v>-0.19130352382795168</v>
      </c>
      <c r="P745" s="53">
        <v>107.51300254054657</v>
      </c>
      <c r="Q745" s="13">
        <v>573.983254564556</v>
      </c>
      <c r="R745" s="13">
        <v>1330.610754271062</v>
      </c>
      <c r="S745" s="7">
        <v>-0.5593618269876515</v>
      </c>
      <c r="T745" s="53">
        <v>130700.0</v>
      </c>
      <c r="U745" s="51">
        <v>20760.97431759999</v>
      </c>
      <c r="V745" s="51">
        <v>-122298.87598239997</v>
      </c>
    </row>
    <row r="746">
      <c r="A746" s="55">
        <v>44732.9599575</v>
      </c>
      <c r="B746" s="48">
        <v>0.7687055082667039</v>
      </c>
      <c r="C746" s="7">
        <v>2.208096257179104E-4</v>
      </c>
      <c r="D746" s="49">
        <v>-0.8614945030150083</v>
      </c>
      <c r="E746" s="62">
        <v>34.52</v>
      </c>
      <c r="F746" s="7">
        <v>6.510840395663742E-4</v>
      </c>
      <c r="G746" s="49">
        <v>-0.678922556488166</v>
      </c>
      <c r="H746" s="51">
        <v>0.0</v>
      </c>
      <c r="I746" s="7">
        <v>0.0</v>
      </c>
      <c r="J746" s="57">
        <v>0.0</v>
      </c>
      <c r="K746" s="51">
        <v>19814.5756644</v>
      </c>
      <c r="L746" s="7">
        <v>2.208096257179104E-4</v>
      </c>
      <c r="M746" s="57">
        <v>1.0</v>
      </c>
      <c r="N746" s="52">
        <v>-4.3027441384846377E-4</v>
      </c>
      <c r="O746" s="7">
        <v>-0.18257194652684228</v>
      </c>
      <c r="P746" s="53">
        <v>107.51300254054657</v>
      </c>
      <c r="Q746" s="13">
        <v>574.0027712746237</v>
      </c>
      <c r="R746" s="13">
        <v>1330.610754271062</v>
      </c>
      <c r="S746" s="7">
        <v>-0.5593468443075836</v>
      </c>
      <c r="T746" s="53">
        <v>130700.0</v>
      </c>
      <c r="U746" s="51">
        <v>19814.57566440001</v>
      </c>
      <c r="V746" s="51">
        <v>-123245.27463559996</v>
      </c>
    </row>
    <row r="747">
      <c r="A747" s="55">
        <v>44731.95995480324</v>
      </c>
      <c r="B747" s="48">
        <v>0.7674800148439695</v>
      </c>
      <c r="C747" s="7">
        <v>0.020692433260570797</v>
      </c>
      <c r="D747" s="49">
        <v>-0.8617153126407262</v>
      </c>
      <c r="E747" s="62">
        <v>34.45</v>
      </c>
      <c r="F747" s="7">
        <v>0.04752913488833921</v>
      </c>
      <c r="G747" s="49">
        <v>-0.6795736405277324</v>
      </c>
      <c r="H747" s="51">
        <v>0.0</v>
      </c>
      <c r="I747" s="7">
        <v>0.0</v>
      </c>
      <c r="J747" s="57">
        <v>0.0</v>
      </c>
      <c r="K747" s="51">
        <v>19782.986672400002</v>
      </c>
      <c r="L747" s="7">
        <v>0.020692433260570797</v>
      </c>
      <c r="M747" s="57">
        <v>1.0</v>
      </c>
      <c r="N747" s="52">
        <v>-0.02683670162776841</v>
      </c>
      <c r="O747" s="7">
        <v>-0.1821416721129938</v>
      </c>
      <c r="P747" s="53">
        <v>107.51300254054657</v>
      </c>
      <c r="Q747" s="13">
        <v>574.2521530449928</v>
      </c>
      <c r="R747" s="13">
        <v>1330.610754271062</v>
      </c>
      <c r="S747" s="7">
        <v>-0.5591553977334821</v>
      </c>
      <c r="T747" s="53">
        <v>130700.0</v>
      </c>
      <c r="U747" s="51">
        <v>19782.986672400006</v>
      </c>
      <c r="V747" s="51">
        <v>-123276.86362759996</v>
      </c>
    </row>
    <row r="748">
      <c r="A748" s="55">
        <v>44730.95995375</v>
      </c>
      <c r="B748" s="48">
        <v>0.6526370102478016</v>
      </c>
      <c r="C748" s="7">
        <v>-0.008505388779782574</v>
      </c>
      <c r="D748" s="49">
        <v>-0.882407745901297</v>
      </c>
      <c r="E748" s="62">
        <v>29.34</v>
      </c>
      <c r="F748" s="7">
        <v>-0.01906746115872704</v>
      </c>
      <c r="G748" s="49">
        <v>-0.7271027754160716</v>
      </c>
      <c r="H748" s="51">
        <v>0.0</v>
      </c>
      <c r="I748" s="7">
        <v>0.0</v>
      </c>
      <c r="J748" s="57">
        <v>0.0</v>
      </c>
      <c r="K748" s="51">
        <v>16861.7833598</v>
      </c>
      <c r="L748" s="7">
        <v>-0.008505388779782574</v>
      </c>
      <c r="M748" s="57">
        <v>1.0</v>
      </c>
      <c r="N748" s="52">
        <v>0.010562072378944465</v>
      </c>
      <c r="O748" s="7">
        <v>-0.1553049704852254</v>
      </c>
      <c r="P748" s="53">
        <v>107.51300254054657</v>
      </c>
      <c r="Q748" s="13">
        <v>573.3718564349015</v>
      </c>
      <c r="R748" s="13">
        <v>1330.610754271062</v>
      </c>
      <c r="S748" s="7">
        <v>-0.5598311879885025</v>
      </c>
      <c r="T748" s="53">
        <v>130700.0</v>
      </c>
      <c r="U748" s="53">
        <v>16822.73026780001</v>
      </c>
      <c r="V748" s="53">
        <v>-126237.12003219995</v>
      </c>
    </row>
    <row r="749">
      <c r="A749" s="55">
        <v>44729.95996252315</v>
      </c>
      <c r="B749" s="48">
        <v>0.6998419179755949</v>
      </c>
      <c r="C749" s="7">
        <v>-1.258436031930099E-4</v>
      </c>
      <c r="D749" s="49">
        <v>-0.8739023571215144</v>
      </c>
      <c r="E749" s="62">
        <v>31.39</v>
      </c>
      <c r="F749" s="7">
        <v>5.580720339140033E-4</v>
      </c>
      <c r="G749" s="49">
        <v>-0.7080353142573446</v>
      </c>
      <c r="H749" s="51">
        <v>0.0</v>
      </c>
      <c r="I749" s="7">
        <v>0.0</v>
      </c>
      <c r="J749" s="57">
        <v>0.0</v>
      </c>
      <c r="K749" s="51">
        <v>18039.509913379006</v>
      </c>
      <c r="L749" s="7">
        <v>-1.258436031930099E-4</v>
      </c>
      <c r="M749" s="57">
        <v>1.0</v>
      </c>
      <c r="N749" s="52">
        <v>-6.839156371070132E-4</v>
      </c>
      <c r="O749" s="7">
        <v>-0.16586704286416987</v>
      </c>
      <c r="P749" s="53">
        <v>107.51300254054657</v>
      </c>
      <c r="Q749" s="13">
        <v>574.6897073392482</v>
      </c>
      <c r="R749" s="13">
        <v>1330.610754271062</v>
      </c>
      <c r="S749" s="7">
        <v>-0.5588194939884144</v>
      </c>
      <c r="T749" s="53">
        <v>130700.0</v>
      </c>
      <c r="U749" s="51">
        <v>18039.509913379003</v>
      </c>
      <c r="V749" s="51">
        <v>-125020.34038662096</v>
      </c>
    </row>
    <row r="750">
      <c r="A750" s="55">
        <v>44728.95996840278</v>
      </c>
      <c r="B750" s="48">
        <v>0.7005403499733162</v>
      </c>
      <c r="C750" s="7">
        <v>-0.006985292955566602</v>
      </c>
      <c r="D750" s="49">
        <v>-0.8737765135183214</v>
      </c>
      <c r="E750" s="62">
        <v>31.33</v>
      </c>
      <c r="F750" s="7">
        <v>-0.017951317090899255</v>
      </c>
      <c r="G750" s="49">
        <v>-0.7085933862912586</v>
      </c>
      <c r="H750" s="51">
        <v>0.0</v>
      </c>
      <c r="I750" s="7">
        <v>0.0</v>
      </c>
      <c r="J750" s="57">
        <v>0.0</v>
      </c>
      <c r="K750" s="51">
        <v>18057.513080413002</v>
      </c>
      <c r="L750" s="7">
        <v>-0.006985292955566602</v>
      </c>
      <c r="M750" s="57">
        <v>1.0</v>
      </c>
      <c r="N750" s="52">
        <v>0.010966024135332653</v>
      </c>
      <c r="O750" s="7">
        <v>-0.16518312722706285</v>
      </c>
      <c r="P750" s="53">
        <v>107.51300254054657</v>
      </c>
      <c r="Q750" s="13">
        <v>576.3649243668372</v>
      </c>
      <c r="R750" s="13">
        <v>1330.610754271062</v>
      </c>
      <c r="S750" s="7">
        <v>-0.5575334554767231</v>
      </c>
      <c r="T750" s="53">
        <v>130700.0</v>
      </c>
      <c r="U750" s="51">
        <v>18057.513080413006</v>
      </c>
      <c r="V750" s="51">
        <v>-125002.33721958696</v>
      </c>
    </row>
    <row r="751">
      <c r="A751" s="55">
        <v>44727.959959513886</v>
      </c>
      <c r="B751" s="48">
        <v>0.7393087258767107</v>
      </c>
      <c r="C751" s="7">
        <v>0.01909876008143707</v>
      </c>
      <c r="D751" s="49">
        <v>-0.8667912205627548</v>
      </c>
      <c r="E751" s="62">
        <v>33.26</v>
      </c>
      <c r="F751" s="7">
        <v>0.044831786724421785</v>
      </c>
      <c r="G751" s="49">
        <v>-0.6906420692003593</v>
      </c>
      <c r="H751" s="51">
        <v>0.0</v>
      </c>
      <c r="I751" s="7">
        <v>0.0</v>
      </c>
      <c r="J751" s="57">
        <v>0.0</v>
      </c>
      <c r="K751" s="51">
        <v>19056.828044937996</v>
      </c>
      <c r="L751" s="7">
        <v>0.01909876008143707</v>
      </c>
      <c r="M751" s="57">
        <v>1.0</v>
      </c>
      <c r="N751" s="52">
        <v>-0.025733026642984713</v>
      </c>
      <c r="O751" s="7">
        <v>-0.1761491513623955</v>
      </c>
      <c r="P751" s="53">
        <v>107.51300254054657</v>
      </c>
      <c r="Q751" s="13">
        <v>572.9653651514736</v>
      </c>
      <c r="R751" s="13">
        <v>1330.610754271062</v>
      </c>
      <c r="S751" s="7">
        <v>-0.5601432451348577</v>
      </c>
      <c r="T751" s="53">
        <v>130700.0</v>
      </c>
      <c r="U751" s="51">
        <v>19056.82804493801</v>
      </c>
      <c r="V751" s="51">
        <v>-124003.02225506195</v>
      </c>
    </row>
    <row r="752">
      <c r="A752" s="55">
        <v>44726.9599540162</v>
      </c>
      <c r="B752" s="48">
        <v>0.633310607424735</v>
      </c>
      <c r="C752" s="7">
        <v>8.066194604428034E-4</v>
      </c>
      <c r="D752" s="49">
        <v>-0.8858899806441919</v>
      </c>
      <c r="E752" s="62">
        <v>28.44</v>
      </c>
      <c r="F752" s="7">
        <v>0.0018602401130465296</v>
      </c>
      <c r="G752" s="49">
        <v>-0.7354738559247811</v>
      </c>
      <c r="H752" s="51">
        <v>0.0</v>
      </c>
      <c r="I752" s="7">
        <v>0.0</v>
      </c>
      <c r="J752" s="57">
        <v>0.0</v>
      </c>
      <c r="K752" s="51">
        <v>16324.562286772001</v>
      </c>
      <c r="L752" s="7">
        <v>8.066194604428034E-4</v>
      </c>
      <c r="M752" s="57">
        <v>1.0</v>
      </c>
      <c r="N752" s="52">
        <v>-0.0010536206526037262</v>
      </c>
      <c r="O752" s="7">
        <v>-0.1504161247194108</v>
      </c>
      <c r="P752" s="53">
        <v>107.51300254054657</v>
      </c>
      <c r="Q752" s="13">
        <v>574.0000804068919</v>
      </c>
      <c r="R752" s="13">
        <v>1330.610754271062</v>
      </c>
      <c r="S752" s="7">
        <v>-0.5593489100456199</v>
      </c>
      <c r="T752" s="53">
        <v>130700.0</v>
      </c>
      <c r="U752" s="51">
        <v>16324.562286772007</v>
      </c>
      <c r="V752" s="51">
        <v>-126735.28801322795</v>
      </c>
    </row>
    <row r="753">
      <c r="A753" s="55">
        <v>44725.95995533565</v>
      </c>
      <c r="B753" s="48">
        <v>0.6288338694192774</v>
      </c>
      <c r="C753" s="7">
        <v>-0.00253842750594091</v>
      </c>
      <c r="D753" s="49">
        <v>-0.8866966001046347</v>
      </c>
      <c r="E753" s="62">
        <v>28.24</v>
      </c>
      <c r="F753" s="7">
        <v>-0.03692576624397392</v>
      </c>
      <c r="G753" s="49">
        <v>-0.7373340960378276</v>
      </c>
      <c r="H753" s="51">
        <v>0.0</v>
      </c>
      <c r="I753" s="7">
        <v>0.0</v>
      </c>
      <c r="J753" s="57">
        <v>0.0</v>
      </c>
      <c r="K753" s="51">
        <v>16209.167427511999</v>
      </c>
      <c r="L753" s="7">
        <v>-0.00253842750594091</v>
      </c>
      <c r="M753" s="57">
        <v>1.0</v>
      </c>
      <c r="N753" s="52">
        <v>0.03438733873803301</v>
      </c>
      <c r="O753" s="7">
        <v>-0.14936250406680707</v>
      </c>
      <c r="P753" s="53">
        <v>107.51300254054657</v>
      </c>
      <c r="Q753" s="13">
        <v>573.9790165549573</v>
      </c>
      <c r="R753" s="13">
        <v>1330.610754271062</v>
      </c>
      <c r="S753" s="7">
        <v>-0.5593650804428558</v>
      </c>
      <c r="T753" s="53">
        <v>130700.0</v>
      </c>
      <c r="U753" s="51">
        <v>16209.167427511993</v>
      </c>
      <c r="V753" s="51">
        <v>-126850.68287248797</v>
      </c>
    </row>
    <row r="754">
      <c r="A754" s="55">
        <v>44724.95995556713</v>
      </c>
      <c r="B754" s="48">
        <v>0.6429221420772495</v>
      </c>
      <c r="C754" s="7">
        <v>-0.0012246170856777816</v>
      </c>
      <c r="D754" s="49">
        <v>-0.8841581725986938</v>
      </c>
      <c r="E754" s="62">
        <v>32.21</v>
      </c>
      <c r="F754" s="7">
        <v>-0.02111372528307831</v>
      </c>
      <c r="G754" s="49">
        <v>-0.7004083297938537</v>
      </c>
      <c r="H754" s="51">
        <v>14193.75</v>
      </c>
      <c r="I754" s="7">
        <v>-0.001048852215180249</v>
      </c>
      <c r="J754" s="57">
        <v>0.8564736091361546</v>
      </c>
      <c r="K754" s="51">
        <v>2378.5644865093004</v>
      </c>
      <c r="L754" s="7">
        <v>-1.7576487049753245E-4</v>
      </c>
      <c r="M754" s="57">
        <v>0.14352639086384533</v>
      </c>
      <c r="N754" s="52">
        <v>0.01988910819740053</v>
      </c>
      <c r="O754" s="7">
        <v>-0.18374984280484008</v>
      </c>
      <c r="P754" s="53">
        <v>107.51300254054657</v>
      </c>
      <c r="Q754" s="13">
        <v>514.5083665479448</v>
      </c>
      <c r="R754" s="13">
        <v>1330.610754271062</v>
      </c>
      <c r="S754" s="7">
        <v>-0.6050197896326334</v>
      </c>
      <c r="T754" s="53">
        <v>130700.0</v>
      </c>
      <c r="U754" s="51">
        <v>16572.3144865093</v>
      </c>
      <c r="V754" s="51">
        <v>-126487.53581349066</v>
      </c>
    </row>
    <row r="755">
      <c r="A755" s="55">
        <v>44723.95995596064</v>
      </c>
      <c r="B755" s="48">
        <v>0.6497187669027613</v>
      </c>
      <c r="C755" s="7">
        <v>-0.0017242928129151958</v>
      </c>
      <c r="D755" s="49">
        <v>-0.882933555513016</v>
      </c>
      <c r="E755" s="62">
        <v>34.48</v>
      </c>
      <c r="F755" s="7">
        <v>-0.031159021893529704</v>
      </c>
      <c r="G755" s="49">
        <v>-0.6792946045107754</v>
      </c>
      <c r="H755" s="51">
        <v>14202.29</v>
      </c>
      <c r="I755" s="7">
        <v>-0.0014622418176860347</v>
      </c>
      <c r="J755" s="57">
        <v>0.848024074990998</v>
      </c>
      <c r="K755" s="51">
        <v>2545.2180234611997</v>
      </c>
      <c r="L755" s="7">
        <v>-2.62050995229161E-4</v>
      </c>
      <c r="M755" s="57">
        <v>0.15197592500900206</v>
      </c>
      <c r="N755" s="52">
        <v>0.029434729080614508</v>
      </c>
      <c r="O755" s="7">
        <v>-0.2036389510022406</v>
      </c>
      <c r="P755" s="53">
        <v>107.51300254054657</v>
      </c>
      <c r="Q755" s="13">
        <v>485.7165900075751</v>
      </c>
      <c r="R755" s="13">
        <v>1330.610754271062</v>
      </c>
      <c r="S755" s="7">
        <v>-0.6271227964915231</v>
      </c>
      <c r="T755" s="53">
        <v>130700.0</v>
      </c>
      <c r="U755" s="51">
        <v>16747.50802346119</v>
      </c>
      <c r="V755" s="51">
        <v>-126312.34227653878</v>
      </c>
    </row>
    <row r="756">
      <c r="A756" s="55">
        <v>44722.9599744213</v>
      </c>
      <c r="B756" s="48">
        <v>0.6592885920144406</v>
      </c>
      <c r="C756" s="7">
        <v>-0.0011815650113587983</v>
      </c>
      <c r="D756" s="49">
        <v>-0.8812092627001008</v>
      </c>
      <c r="E756" s="62">
        <v>37.83</v>
      </c>
      <c r="F756" s="7">
        <v>-0.020462641243512047</v>
      </c>
      <c r="G756" s="49">
        <v>-0.6481355826172457</v>
      </c>
      <c r="H756" s="51">
        <v>14202.29</v>
      </c>
      <c r="I756" s="7">
        <v>-9.874512282415876E-4</v>
      </c>
      <c r="J756" s="57">
        <v>0.8357146824329369</v>
      </c>
      <c r="K756" s="51">
        <v>2791.8950951502</v>
      </c>
      <c r="L756" s="7">
        <v>-1.941137831172106E-4</v>
      </c>
      <c r="M756" s="57">
        <v>0.16428531756706302</v>
      </c>
      <c r="N756" s="52">
        <v>0.01928107623215325</v>
      </c>
      <c r="O756" s="7">
        <v>-0.23307368008285512</v>
      </c>
      <c r="P756" s="53">
        <v>107.51300254054657</v>
      </c>
      <c r="Q756" s="13">
        <v>449.22508842585785</v>
      </c>
      <c r="R756" s="13">
        <v>1330.610754271062</v>
      </c>
      <c r="S756" s="7">
        <v>-0.6551367645987349</v>
      </c>
      <c r="T756" s="53">
        <v>130700.0</v>
      </c>
      <c r="U756" s="51">
        <v>16994.185095150202</v>
      </c>
      <c r="V756" s="51">
        <v>-126065.66520484976</v>
      </c>
    </row>
    <row r="757">
      <c r="A757" s="55">
        <v>44721.95996416667</v>
      </c>
      <c r="B757" s="48">
        <v>0.6658462778274818</v>
      </c>
      <c r="C757" s="7">
        <v>4.616069702891856E-4</v>
      </c>
      <c r="D757" s="49">
        <v>-0.880027697688742</v>
      </c>
      <c r="E757" s="62">
        <v>40.03</v>
      </c>
      <c r="F757" s="7">
        <v>0.008371080508709494</v>
      </c>
      <c r="G757" s="49">
        <v>-0.6276729413737336</v>
      </c>
      <c r="H757" s="51">
        <v>14210.109999999993</v>
      </c>
      <c r="I757" s="7">
        <v>3.8218271245651366E-4</v>
      </c>
      <c r="J757" s="57">
        <v>0.8279396479153801</v>
      </c>
      <c r="K757" s="51">
        <v>2953.1096087949004</v>
      </c>
      <c r="L757" s="7">
        <v>7.942425783267191E-5</v>
      </c>
      <c r="M757" s="57">
        <v>0.1720603520846198</v>
      </c>
      <c r="N757" s="52">
        <v>-0.007909473538420309</v>
      </c>
      <c r="O757" s="7">
        <v>-0.25235475631500837</v>
      </c>
      <c r="P757" s="53">
        <v>107.51300254054657</v>
      </c>
      <c r="Q757" s="13">
        <v>428.75892102910086</v>
      </c>
      <c r="R757" s="13">
        <v>1330.610754271062</v>
      </c>
      <c r="S757" s="7">
        <v>-0.6708483285486508</v>
      </c>
      <c r="T757" s="53">
        <v>130700.0</v>
      </c>
      <c r="U757" s="51">
        <v>17163.21960879491</v>
      </c>
      <c r="V757" s="51">
        <v>-125896.63069120505</v>
      </c>
    </row>
    <row r="758">
      <c r="A758" s="55">
        <v>44720.95995726852</v>
      </c>
      <c r="B758" s="48">
        <v>0.6632843591423769</v>
      </c>
      <c r="C758" s="7">
        <v>-7.163792125322033E-4</v>
      </c>
      <c r="D758" s="49">
        <v>-0.8804893046590312</v>
      </c>
      <c r="E758" s="62">
        <v>39.13</v>
      </c>
      <c r="F758" s="7">
        <v>-0.012184572740454924</v>
      </c>
      <c r="G758" s="49">
        <v>-0.6360440218824431</v>
      </c>
      <c r="H758" s="51">
        <v>14210.109999999993</v>
      </c>
      <c r="I758" s="7">
        <v>-5.954096588436159E-4</v>
      </c>
      <c r="J758" s="57">
        <v>0.8311375433954968</v>
      </c>
      <c r="K758" s="51">
        <v>2887.0721847279</v>
      </c>
      <c r="L758" s="7">
        <v>-1.209695536885874E-4</v>
      </c>
      <c r="M758" s="57">
        <v>0.16886245660450327</v>
      </c>
      <c r="N758" s="52">
        <v>0.011468193527922721</v>
      </c>
      <c r="O758" s="7">
        <v>-0.24444528277658806</v>
      </c>
      <c r="P758" s="53">
        <v>107.51300254054657</v>
      </c>
      <c r="Q758" s="13">
        <v>436.93284397464606</v>
      </c>
      <c r="R758" s="13">
        <v>1330.610754271062</v>
      </c>
      <c r="S758" s="7">
        <v>-0.66457333281589</v>
      </c>
      <c r="T758" s="53">
        <v>130700.0</v>
      </c>
      <c r="U758" s="51">
        <v>17097.182184727902</v>
      </c>
      <c r="V758" s="51">
        <v>-125962.66811527206</v>
      </c>
    </row>
    <row r="759">
      <c r="A759" s="55">
        <v>44719.959955185186</v>
      </c>
      <c r="B759" s="48">
        <v>0.6672602637719306</v>
      </c>
      <c r="C759" s="7">
        <v>-0.0013061675995883482</v>
      </c>
      <c r="D759" s="49">
        <v>-0.879772925446499</v>
      </c>
      <c r="E759" s="62">
        <v>40.44</v>
      </c>
      <c r="F759" s="7">
        <v>-0.02315998940742947</v>
      </c>
      <c r="G759" s="49">
        <v>-0.6238594491419882</v>
      </c>
      <c r="H759" s="51">
        <v>14216.329999999994</v>
      </c>
      <c r="I759" s="7">
        <v>-0.0010796086529191013</v>
      </c>
      <c r="J759" s="57">
        <v>0.8265468024619129</v>
      </c>
      <c r="K759" s="51">
        <v>2983.3372876308</v>
      </c>
      <c r="L759" s="7">
        <v>-2.265589466692469E-4</v>
      </c>
      <c r="M759" s="57">
        <v>0.17345319753808716</v>
      </c>
      <c r="N759" s="52">
        <v>0.021853821807841123</v>
      </c>
      <c r="O759" s="7">
        <v>-0.2559134763045108</v>
      </c>
      <c r="P759" s="53">
        <v>107.51300254054657</v>
      </c>
      <c r="Q759" s="13">
        <v>425.3132365882985</v>
      </c>
      <c r="R759" s="13">
        <v>1330.610754271062</v>
      </c>
      <c r="S759" s="7">
        <v>-0.673493527837477</v>
      </c>
      <c r="T759" s="53">
        <v>130700.0</v>
      </c>
      <c r="U759" s="51">
        <v>17199.66728763079</v>
      </c>
      <c r="V759" s="51">
        <v>-125860.18301236918</v>
      </c>
    </row>
    <row r="760">
      <c r="A760" s="55">
        <v>44718.95995855324</v>
      </c>
      <c r="B760" s="48">
        <v>0.6745094939496459</v>
      </c>
      <c r="C760" s="7">
        <v>0.0019650646513573733</v>
      </c>
      <c r="D760" s="49">
        <v>-0.8784667578469106</v>
      </c>
      <c r="E760" s="62">
        <v>42.93</v>
      </c>
      <c r="F760" s="7">
        <v>0.03069396186526796</v>
      </c>
      <c r="G760" s="49">
        <v>-0.6006994597345587</v>
      </c>
      <c r="H760" s="51">
        <v>14220.619999999995</v>
      </c>
      <c r="I760" s="7">
        <v>0.0016072466337323313</v>
      </c>
      <c r="J760" s="57">
        <v>0.8179103077459164</v>
      </c>
      <c r="K760" s="51">
        <v>3165.9074288946003</v>
      </c>
      <c r="L760" s="7">
        <v>3.578180176250422E-4</v>
      </c>
      <c r="M760" s="57">
        <v>0.1820896922540836</v>
      </c>
      <c r="N760" s="52">
        <v>-0.028728897213910587</v>
      </c>
      <c r="O760" s="7">
        <v>-0.2777672981123519</v>
      </c>
      <c r="P760" s="53">
        <v>107.51300254054657</v>
      </c>
      <c r="Q760" s="13">
        <v>404.9971448612767</v>
      </c>
      <c r="R760" s="13">
        <v>1330.610754271062</v>
      </c>
      <c r="S760" s="7">
        <v>-0.6890898809891687</v>
      </c>
      <c r="T760" s="53">
        <v>130700.0</v>
      </c>
      <c r="U760" s="51">
        <v>17386.52742889461</v>
      </c>
      <c r="V760" s="51">
        <v>-125673.32287110535</v>
      </c>
    </row>
    <row r="761">
      <c r="A761" s="55">
        <v>44717.95995600695</v>
      </c>
      <c r="B761" s="48">
        <v>0.6636033851346125</v>
      </c>
      <c r="C761" s="7">
        <v>5.008187639743422E-4</v>
      </c>
      <c r="D761" s="49">
        <v>-0.880431822498268</v>
      </c>
      <c r="E761" s="62">
        <v>39.63</v>
      </c>
      <c r="F761" s="7">
        <v>0.009766260593494502</v>
      </c>
      <c r="G761" s="49">
        <v>-0.6313934215998267</v>
      </c>
      <c r="H761" s="53">
        <v>14185.43</v>
      </c>
      <c r="I761" s="7">
        <v>4.15730755439189E-4</v>
      </c>
      <c r="J761" s="7">
        <v>0.8301021953332556</v>
      </c>
      <c r="K761" s="53">
        <v>2903.34543</v>
      </c>
      <c r="L761" s="7">
        <v>8.508800853515312E-5</v>
      </c>
      <c r="M761" s="7">
        <v>0.1698978046667443</v>
      </c>
      <c r="N761" s="52">
        <v>-0.00926544182952016</v>
      </c>
      <c r="O761" s="7">
        <v>-0.24903840089844131</v>
      </c>
      <c r="P761" s="53">
        <v>107.51300254054657</v>
      </c>
      <c r="Q761" s="13">
        <v>431.6276955347363</v>
      </c>
      <c r="R761" s="13">
        <v>1330.610754271062</v>
      </c>
      <c r="S761" s="7">
        <v>-0.6686460142008106</v>
      </c>
      <c r="T761" s="53">
        <v>130700.0</v>
      </c>
      <c r="U761" s="51">
        <v>17105.4055740416</v>
      </c>
      <c r="V761" s="51">
        <v>-125954.44472595837</v>
      </c>
    </row>
    <row r="762">
      <c r="A762" s="55">
        <v>44716.95995752315</v>
      </c>
      <c r="B762" s="48">
        <v>0.6608238409945549</v>
      </c>
      <c r="C762" s="7">
        <v>-1.564475284511202E-4</v>
      </c>
      <c r="D762" s="49">
        <v>-0.8809326412622424</v>
      </c>
      <c r="E762" s="62">
        <v>38.58</v>
      </c>
      <c r="F762" s="7">
        <v>-0.001488192090437268</v>
      </c>
      <c r="G762" s="49">
        <v>-0.6411596821933212</v>
      </c>
      <c r="H762" s="53">
        <v>14188.669999999998</v>
      </c>
      <c r="I762" s="7">
        <v>-1.313321477678928E-4</v>
      </c>
      <c r="J762" s="7">
        <v>0.8394645097185134</v>
      </c>
      <c r="K762" s="53">
        <v>2713.37867</v>
      </c>
      <c r="L762" s="7">
        <v>-2.5115380683227426E-5</v>
      </c>
      <c r="M762" s="7">
        <v>0.16053549028148673</v>
      </c>
      <c r="N762" s="52">
        <v>0.0013317445619861479</v>
      </c>
      <c r="O762" s="7">
        <v>-0.23977295906892115</v>
      </c>
      <c r="P762" s="53">
        <v>107.51300254054657</v>
      </c>
      <c r="Q762" s="13">
        <v>441.51784646552625</v>
      </c>
      <c r="R762" s="13">
        <v>1330.610754271062</v>
      </c>
      <c r="S762" s="7">
        <v>-0.6610534964708887</v>
      </c>
      <c r="T762" s="53">
        <v>130700.0</v>
      </c>
      <c r="U762" s="51">
        <v>17033.758516640002</v>
      </c>
      <c r="V762" s="51">
        <v>-126026.09178335997</v>
      </c>
    </row>
    <row r="763">
      <c r="A763" s="55">
        <v>44715.95994862268</v>
      </c>
      <c r="B763" s="48">
        <v>0.6616921247774586</v>
      </c>
      <c r="C763" s="7">
        <v>-0.0010159155560083288</v>
      </c>
      <c r="D763" s="49">
        <v>-0.8807761937337912</v>
      </c>
      <c r="E763" s="62">
        <v>38.74</v>
      </c>
      <c r="F763" s="7">
        <v>-0.018509389124813147</v>
      </c>
      <c r="G763" s="49">
        <v>-0.6396714901028839</v>
      </c>
      <c r="H763" s="53">
        <v>14197.890000000007</v>
      </c>
      <c r="I763" s="7">
        <v>-8.475768316089901E-4</v>
      </c>
      <c r="J763" s="7">
        <v>0.8342985069932735</v>
      </c>
      <c r="K763" s="53">
        <v>2819.86789</v>
      </c>
      <c r="L763" s="7">
        <v>-1.683387243993387E-4</v>
      </c>
      <c r="M763" s="7">
        <v>0.16570149300672643</v>
      </c>
      <c r="N763" s="52">
        <v>0.017493473568804818</v>
      </c>
      <c r="O763" s="7">
        <v>-0.2411047036309073</v>
      </c>
      <c r="P763" s="53">
        <v>107.51300254054657</v>
      </c>
      <c r="Q763" s="13">
        <v>440.2720670273625</v>
      </c>
      <c r="R763" s="13">
        <v>1330.610754271062</v>
      </c>
      <c r="S763" s="7">
        <v>-0.6620098623077724</v>
      </c>
      <c r="T763" s="53">
        <v>130700.0</v>
      </c>
      <c r="U763" s="51">
        <v>17056.139876640023</v>
      </c>
      <c r="V763" s="51">
        <v>-126003.71042335994</v>
      </c>
    </row>
    <row r="764">
      <c r="A764" s="55">
        <v>44714.959958125</v>
      </c>
      <c r="B764" s="48">
        <v>0.6673304561133049</v>
      </c>
      <c r="C764" s="7">
        <v>1.0736353356877171E-4</v>
      </c>
      <c r="D764" s="49">
        <v>-0.8797602781777829</v>
      </c>
      <c r="E764" s="62">
        <v>40.73</v>
      </c>
      <c r="F764" s="7">
        <v>0.0018602401130465296</v>
      </c>
      <c r="G764" s="49">
        <v>-0.6211621009780708</v>
      </c>
      <c r="H764" s="53">
        <v>14197.890000000007</v>
      </c>
      <c r="I764" s="7">
        <v>8.861103886284419E-5</v>
      </c>
      <c r="J764" s="7">
        <v>0.8253364612490552</v>
      </c>
      <c r="K764" s="53">
        <v>3004.65789</v>
      </c>
      <c r="L764" s="7">
        <v>1.875249470592752E-5</v>
      </c>
      <c r="M764" s="7">
        <v>0.1746635387509448</v>
      </c>
      <c r="N764" s="52">
        <v>-0.0017528765794777579</v>
      </c>
      <c r="O764" s="7">
        <v>-0.2585981771997121</v>
      </c>
      <c r="P764" s="53">
        <v>107.51300254054657</v>
      </c>
      <c r="Q764" s="13">
        <v>422.32940348637413</v>
      </c>
      <c r="R764" s="13">
        <v>1330.610754271062</v>
      </c>
      <c r="S764" s="7">
        <v>-0.675784170911382</v>
      </c>
      <c r="T764" s="53">
        <v>130700.0</v>
      </c>
      <c r="U764" s="51">
        <v>17201.476604000018</v>
      </c>
      <c r="V764" s="51">
        <v>-125858.37369599994</v>
      </c>
    </row>
    <row r="765">
      <c r="A765" s="55">
        <v>44713.959948993055</v>
      </c>
      <c r="B765" s="48">
        <v>0.6667345885019982</v>
      </c>
      <c r="C765" s="7">
        <v>-0.00258960589168189</v>
      </c>
      <c r="D765" s="49">
        <v>-0.8798676417113517</v>
      </c>
      <c r="E765" s="62">
        <v>40.53</v>
      </c>
      <c r="F765" s="7">
        <v>-0.04715708686572995</v>
      </c>
      <c r="G765" s="49">
        <v>-0.6230223410911173</v>
      </c>
      <c r="H765" s="53">
        <v>14200.930000000008</v>
      </c>
      <c r="I765" s="7">
        <v>-0.0020914338097066157</v>
      </c>
      <c r="J765" s="7">
        <v>0.8076262941880616</v>
      </c>
      <c r="K765" s="53">
        <v>3382.61093</v>
      </c>
      <c r="L765" s="7">
        <v>-4.981720819752744E-4</v>
      </c>
      <c r="M765" s="7">
        <v>0.19237370581193844</v>
      </c>
      <c r="N765" s="52">
        <v>0.04456748097404806</v>
      </c>
      <c r="O765" s="7">
        <v>-0.25684530062023436</v>
      </c>
      <c r="P765" s="53">
        <v>107.51300254054657</v>
      </c>
      <c r="Q765" s="13">
        <v>424.0344730560076</v>
      </c>
      <c r="R765" s="13">
        <v>1330.610754271062</v>
      </c>
      <c r="S765" s="7">
        <v>-0.6744752150593646</v>
      </c>
      <c r="T765" s="53">
        <v>130700.0</v>
      </c>
      <c r="U765" s="51">
        <v>17186.117192959988</v>
      </c>
      <c r="V765" s="51">
        <v>-125873.73310703997</v>
      </c>
    </row>
    <row r="766">
      <c r="A766" s="55">
        <v>44712.95994674768</v>
      </c>
      <c r="B766" s="48">
        <v>0.6811069012008326</v>
      </c>
      <c r="C766" s="7">
        <v>-8.891529650931762E-4</v>
      </c>
      <c r="D766" s="49">
        <v>-0.8772780358196698</v>
      </c>
      <c r="E766" s="62">
        <v>45.6</v>
      </c>
      <c r="F766" s="7">
        <v>-0.014695896893067717</v>
      </c>
      <c r="G766" s="49">
        <v>-0.5758652542253874</v>
      </c>
      <c r="H766" s="53">
        <v>14205.48000000001</v>
      </c>
      <c r="I766" s="7">
        <v>-7.167320970695906E-4</v>
      </c>
      <c r="J766" s="7">
        <v>0.8060841331103055</v>
      </c>
      <c r="K766" s="53">
        <v>3417.34548</v>
      </c>
      <c r="L766" s="7">
        <v>-1.724208680235856E-4</v>
      </c>
      <c r="M766" s="7">
        <v>0.1939158668896946</v>
      </c>
      <c r="N766" s="52">
        <v>0.01380674392797454</v>
      </c>
      <c r="O766" s="7">
        <v>-0.3014127815942824</v>
      </c>
      <c r="P766" s="53">
        <v>107.51300254054657</v>
      </c>
      <c r="Q766" s="13">
        <v>385.01284702105255</v>
      </c>
      <c r="R766" s="13">
        <v>1330.610754271062</v>
      </c>
      <c r="S766" s="7">
        <v>-0.704431521044385</v>
      </c>
      <c r="T766" s="53">
        <v>130700.0</v>
      </c>
      <c r="U766" s="51">
        <v>17556.585824159996</v>
      </c>
      <c r="V766" s="51">
        <v>-125503.26447583997</v>
      </c>
    </row>
    <row r="767">
      <c r="A767" s="55">
        <v>44711.95994641204</v>
      </c>
      <c r="B767" s="48">
        <v>0.6860417001570998</v>
      </c>
      <c r="C767" s="7">
        <v>0.0014610608997681629</v>
      </c>
      <c r="D767" s="49">
        <v>-0.8763888828545766</v>
      </c>
      <c r="E767" s="62">
        <v>47.18</v>
      </c>
      <c r="F767" s="7">
        <v>0.023904085452648105</v>
      </c>
      <c r="G767" s="49">
        <v>-0.5611693573323197</v>
      </c>
      <c r="H767" s="53">
        <v>14192.960000000006</v>
      </c>
      <c r="I767" s="7">
        <v>0.001181157966095721</v>
      </c>
      <c r="J767" s="7">
        <v>0.8084248687259674</v>
      </c>
      <c r="K767" s="53">
        <v>3363.3529599999997</v>
      </c>
      <c r="L767" s="7">
        <v>2.799029336724419E-4</v>
      </c>
      <c r="M767" s="7">
        <v>0.19157513127403253</v>
      </c>
      <c r="N767" s="52">
        <v>-0.022443024552879942</v>
      </c>
      <c r="O767" s="7">
        <v>-0.31521952552225696</v>
      </c>
      <c r="P767" s="53">
        <v>107.51300254054657</v>
      </c>
      <c r="Q767" s="13">
        <v>374.81534366765635</v>
      </c>
      <c r="R767" s="13">
        <v>1330.610754271062</v>
      </c>
      <c r="S767" s="7">
        <v>-0.7122599885322328</v>
      </c>
      <c r="T767" s="53">
        <v>130700.0</v>
      </c>
      <c r="U767" s="51">
        <v>17683.787914240027</v>
      </c>
      <c r="V767" s="51">
        <v>-125376.06238575993</v>
      </c>
    </row>
    <row r="768">
      <c r="A768" s="55">
        <v>44710.95994743056</v>
      </c>
      <c r="B768" s="48">
        <v>0.6779328121633864</v>
      </c>
      <c r="C768" s="7">
        <v>2.0784715947663734E-4</v>
      </c>
      <c r="D768" s="49">
        <v>-0.8778499437543448</v>
      </c>
      <c r="E768" s="62">
        <v>44.61</v>
      </c>
      <c r="F768" s="7">
        <v>0.005208672316530327</v>
      </c>
      <c r="G768" s="49">
        <v>-0.5850734427849678</v>
      </c>
      <c r="H768" s="53">
        <v>14199.809999999998</v>
      </c>
      <c r="I768" s="7">
        <v>1.6969102641444124E-4</v>
      </c>
      <c r="J768" s="7">
        <v>0.8164221577130335</v>
      </c>
      <c r="K768" s="53">
        <v>3192.91981</v>
      </c>
      <c r="L768" s="7">
        <v>3.81561330621961E-5</v>
      </c>
      <c r="M768" s="7">
        <v>0.18357784228696647</v>
      </c>
      <c r="N768" s="52">
        <v>-0.00500082515705369</v>
      </c>
      <c r="O768" s="7">
        <v>-0.292776500969377</v>
      </c>
      <c r="P768" s="53">
        <v>107.51300254054657</v>
      </c>
      <c r="Q768" s="13">
        <v>391.72312846088346</v>
      </c>
      <c r="R768" s="13">
        <v>1330.610754271062</v>
      </c>
      <c r="S768" s="7">
        <v>-0.6992801405284343</v>
      </c>
      <c r="T768" s="53">
        <v>130700.0</v>
      </c>
      <c r="U768" s="51">
        <v>17474.76876064001</v>
      </c>
      <c r="V768" s="51">
        <v>-125585.08153935995</v>
      </c>
    </row>
    <row r="769">
      <c r="A769" s="55">
        <v>44709.9599480787</v>
      </c>
      <c r="B769" s="48">
        <v>0.6767792604282912</v>
      </c>
      <c r="C769" s="7">
        <v>0.0010581088102816771</v>
      </c>
      <c r="D769" s="49">
        <v>-0.8780577909138214</v>
      </c>
      <c r="E769" s="62">
        <v>44.05</v>
      </c>
      <c r="F769" s="7">
        <v>0.01916047316437941</v>
      </c>
      <c r="G769" s="49">
        <v>-0.5902821151014981</v>
      </c>
      <c r="H769" s="53">
        <v>14199.809999999998</v>
      </c>
      <c r="I769" s="7">
        <v>8.708744441187505E-4</v>
      </c>
      <c r="J769" s="7">
        <v>0.8230480983207357</v>
      </c>
      <c r="K769" s="53">
        <v>3052.89981</v>
      </c>
      <c r="L769" s="7">
        <v>1.872343661629268E-4</v>
      </c>
      <c r="M769" s="7">
        <v>0.17695190167926442</v>
      </c>
      <c r="N769" s="52">
        <v>-0.018102364354097733</v>
      </c>
      <c r="O769" s="7">
        <v>-0.28777567581232333</v>
      </c>
      <c r="P769" s="53">
        <v>107.51300254054657</v>
      </c>
      <c r="Q769" s="13">
        <v>396.0280176417708</v>
      </c>
      <c r="R769" s="13">
        <v>1330.610754271062</v>
      </c>
      <c r="S769" s="7">
        <v>-0.6959753428908693</v>
      </c>
      <c r="T769" s="53">
        <v>130700.0</v>
      </c>
      <c r="U769" s="51">
        <v>17445.034177120004</v>
      </c>
      <c r="V769" s="51">
        <v>-125614.81612287996</v>
      </c>
    </row>
    <row r="770">
      <c r="A770" s="55">
        <v>44708.959947905096</v>
      </c>
      <c r="B770" s="48">
        <v>0.6709067565312278</v>
      </c>
      <c r="C770" s="7">
        <v>-0.001289340529947447</v>
      </c>
      <c r="D770" s="49">
        <v>-0.8791158997241031</v>
      </c>
      <c r="E770" s="62">
        <v>41.99</v>
      </c>
      <c r="F770" s="7">
        <v>-0.02260191737351558</v>
      </c>
      <c r="G770" s="49">
        <v>-0.6094425882658775</v>
      </c>
      <c r="H770" s="53">
        <v>14203.740000000005</v>
      </c>
      <c r="I770" s="7">
        <v>-0.0010495417349733315</v>
      </c>
      <c r="J770" s="7">
        <v>0.8140143822331487</v>
      </c>
      <c r="K770" s="53">
        <v>3245.26374</v>
      </c>
      <c r="L770" s="7">
        <v>-2.397987949741154E-4</v>
      </c>
      <c r="M770" s="7">
        <v>0.18598561776685132</v>
      </c>
      <c r="N770" s="52">
        <v>0.021312576843568132</v>
      </c>
      <c r="O770" s="7">
        <v>-0.2696733114582256</v>
      </c>
      <c r="P770" s="53">
        <v>107.51300254054657</v>
      </c>
      <c r="Q770" s="13">
        <v>411.8519001933792</v>
      </c>
      <c r="R770" s="13">
        <v>1330.610754271062</v>
      </c>
      <c r="S770" s="7">
        <v>-0.6838275900739472</v>
      </c>
      <c r="T770" s="53">
        <v>130700.0</v>
      </c>
      <c r="U770" s="51">
        <v>17293.661289119995</v>
      </c>
      <c r="V770" s="51">
        <v>-125766.18901087997</v>
      </c>
    </row>
    <row r="771">
      <c r="A771" s="55">
        <v>44707.960152175925</v>
      </c>
      <c r="B771" s="48">
        <v>0.6780625964724363</v>
      </c>
      <c r="C771" s="7">
        <v>-0.002249409877370878</v>
      </c>
      <c r="D771" s="49">
        <v>-0.8778265591941556</v>
      </c>
      <c r="E771" s="62">
        <v>44.42</v>
      </c>
      <c r="F771" s="7">
        <v>-0.04036721045310998</v>
      </c>
      <c r="G771" s="49">
        <v>-0.5868406708923619</v>
      </c>
      <c r="H771" s="53">
        <v>14208.670000000006</v>
      </c>
      <c r="I771" s="7">
        <v>-0.0018016326319919842</v>
      </c>
      <c r="J771" s="7">
        <v>0.8009356810052518</v>
      </c>
      <c r="K771" s="53">
        <v>3531.41867</v>
      </c>
      <c r="L771" s="7">
        <v>-4.47777245378894E-4</v>
      </c>
      <c r="M771" s="7">
        <v>0.19906431899474825</v>
      </c>
      <c r="N771" s="52">
        <v>0.0381178005757391</v>
      </c>
      <c r="O771" s="7">
        <v>-0.2909858883017937</v>
      </c>
      <c r="P771" s="53">
        <v>107.51300254054657</v>
      </c>
      <c r="Q771" s="13">
        <v>393.4739791157137</v>
      </c>
      <c r="R771" s="13">
        <v>1330.610754271062</v>
      </c>
      <c r="S771" s="7">
        <v>-0.6979360392369304</v>
      </c>
      <c r="T771" s="53">
        <v>130700.0</v>
      </c>
      <c r="U771" s="51">
        <v>17478.114152320002</v>
      </c>
      <c r="V771" s="51">
        <v>-125581.73614767996</v>
      </c>
    </row>
    <row r="772">
      <c r="A772" s="55">
        <v>44706.95994994213</v>
      </c>
      <c r="B772" s="48">
        <v>0.6905468212918446</v>
      </c>
      <c r="C772" s="7">
        <v>-4.5589994972883296E-4</v>
      </c>
      <c r="D772" s="49">
        <v>-0.8755771493167848</v>
      </c>
      <c r="E772" s="62">
        <v>48.76</v>
      </c>
      <c r="F772" s="7">
        <v>-0.008278068503057123</v>
      </c>
      <c r="G772" s="49">
        <v>-0.5464734604392519</v>
      </c>
      <c r="H772" s="53">
        <v>14208.670000000006</v>
      </c>
      <c r="I772" s="7">
        <v>-3.6211086261864396E-4</v>
      </c>
      <c r="J772" s="7">
        <v>0.7942770400260534</v>
      </c>
      <c r="K772" s="53">
        <v>3680.13867</v>
      </c>
      <c r="L772" s="7">
        <v>-9.378908711018895E-5</v>
      </c>
      <c r="M772" s="7">
        <v>0.20572295997394657</v>
      </c>
      <c r="N772" s="52">
        <v>0.00782216855332829</v>
      </c>
      <c r="O772" s="7">
        <v>-0.32910368887753283</v>
      </c>
      <c r="P772" s="53">
        <v>107.51300254054657</v>
      </c>
      <c r="Q772" s="13">
        <v>365.05156670713745</v>
      </c>
      <c r="R772" s="13">
        <v>1330.610754271062</v>
      </c>
      <c r="S772" s="7">
        <v>-0.7197554908964038</v>
      </c>
      <c r="T772" s="53">
        <v>130700.0</v>
      </c>
      <c r="U772" s="51">
        <v>17799.91439264002</v>
      </c>
      <c r="V772" s="51">
        <v>-125259.93590735993</v>
      </c>
    </row>
    <row r="773">
      <c r="A773" s="55">
        <v>44705.959957812505</v>
      </c>
      <c r="B773" s="48">
        <v>0.6930770660128396</v>
      </c>
      <c r="C773" s="7">
        <v>-4.6961032549064363E-4</v>
      </c>
      <c r="D773" s="49">
        <v>-0.8751212493670559</v>
      </c>
      <c r="E773" s="62">
        <v>49.65</v>
      </c>
      <c r="F773" s="7">
        <v>-0.008557104520014125</v>
      </c>
      <c r="G773" s="49">
        <v>-0.5381953919361948</v>
      </c>
      <c r="H773" s="66">
        <v>14208.680000000008</v>
      </c>
      <c r="I773" s="7">
        <v>-3.74539838710917E-4</v>
      </c>
      <c r="J773" s="67">
        <v>0.7975545220808378</v>
      </c>
      <c r="K773" s="66">
        <v>3606.6286800000003</v>
      </c>
      <c r="L773" s="7">
        <v>-9.507048677972666E-5</v>
      </c>
      <c r="M773" s="67">
        <v>0.20244547791916218</v>
      </c>
      <c r="N773" s="52">
        <v>0.008087494194523481</v>
      </c>
      <c r="O773" s="7">
        <v>-0.3369258574308611</v>
      </c>
      <c r="P773" s="53">
        <v>107.51300254054657</v>
      </c>
      <c r="Q773" s="13">
        <v>359.82145762739185</v>
      </c>
      <c r="R773" s="13">
        <v>1330.610754271062</v>
      </c>
      <c r="S773" s="7">
        <v>-0.7237705657112653</v>
      </c>
      <c r="T773" s="53">
        <v>130700.0</v>
      </c>
      <c r="U773" s="51">
        <v>17865.135371200005</v>
      </c>
      <c r="V773" s="51">
        <v>-125194.71492879995</v>
      </c>
    </row>
    <row r="774">
      <c r="A774" s="55">
        <v>44704.959973599536</v>
      </c>
      <c r="B774" s="48">
        <v>0.6956834033193127</v>
      </c>
      <c r="C774" s="7">
        <v>-9.27125680498797E-5</v>
      </c>
      <c r="D774" s="49">
        <v>-0.8746516390415653</v>
      </c>
      <c r="E774" s="62">
        <v>50.57</v>
      </c>
      <c r="F774" s="7">
        <v>-0.01127513010833292</v>
      </c>
      <c r="G774" s="49">
        <v>-0.5296382874161807</v>
      </c>
      <c r="H774" s="53">
        <v>14319.107848136935</v>
      </c>
      <c r="I774" s="7">
        <v>-7.403177207715355E-5</v>
      </c>
      <c r="J774" s="7">
        <v>0.7985084830928659</v>
      </c>
      <c r="K774" s="53">
        <v>3613.209905927093</v>
      </c>
      <c r="L774" s="7">
        <v>-1.8680795972726157E-5</v>
      </c>
      <c r="M774" s="7">
        <v>0.2014915169071341</v>
      </c>
      <c r="N774" s="52">
        <v>0.01118241754028304</v>
      </c>
      <c r="O774" s="7">
        <v>-0.3450133516253846</v>
      </c>
      <c r="P774" s="53">
        <v>107.51300254054657</v>
      </c>
      <c r="Q774" s="13">
        <v>354.60387095242294</v>
      </c>
      <c r="R774" s="13">
        <v>1330.610754271062</v>
      </c>
      <c r="S774" s="7">
        <v>-0.727776027267345</v>
      </c>
      <c r="T774" s="53">
        <v>130700.0</v>
      </c>
      <c r="U774" s="51">
        <v>17932.317754064028</v>
      </c>
      <c r="V774" s="51">
        <v>-125127.53254593593</v>
      </c>
    </row>
    <row r="775">
      <c r="A775" s="55">
        <v>44703.959947372685</v>
      </c>
      <c r="B775" s="48">
        <v>0.6961979580719895</v>
      </c>
      <c r="C775" s="7">
        <v>0.002643419674132952</v>
      </c>
      <c r="D775" s="49">
        <v>-0.8745589264735154</v>
      </c>
      <c r="E775" s="62">
        <v>51.86</v>
      </c>
      <c r="F775" s="7">
        <v>0.016995669535800895</v>
      </c>
      <c r="G775" s="49">
        <v>-0.5183631573078478</v>
      </c>
      <c r="H775" s="53">
        <v>14332.275863143948</v>
      </c>
      <c r="I775" s="7">
        <v>0.0021143289231988077</v>
      </c>
      <c r="J775" s="7">
        <v>0.7998461023379925</v>
      </c>
      <c r="K775" s="53">
        <v>3586.5160410110493</v>
      </c>
      <c r="L775" s="7">
        <v>5.290907509341443E-4</v>
      </c>
      <c r="M775" s="7">
        <v>0.20015389766200758</v>
      </c>
      <c r="N775" s="52">
        <v>-0.014352249861667943</v>
      </c>
      <c r="O775" s="7">
        <v>-0.35619576916566764</v>
      </c>
      <c r="P775" s="53">
        <v>107.67448708891098</v>
      </c>
      <c r="Q775" s="13">
        <v>345.52240463083297</v>
      </c>
      <c r="R775" s="13">
        <v>1326.6322971924285</v>
      </c>
      <c r="S775" s="7">
        <v>-0.7339392044030525</v>
      </c>
      <c r="T775" s="53">
        <v>130500.0</v>
      </c>
      <c r="U775" s="51">
        <v>17918.791904154998</v>
      </c>
      <c r="V775" s="51">
        <v>-124927.49759584496</v>
      </c>
    </row>
    <row r="776">
      <c r="A776" s="55">
        <v>44702.9599540162</v>
      </c>
      <c r="B776" s="48">
        <v>0.6815269788805516</v>
      </c>
      <c r="C776" s="7">
        <v>-0.00164994638020044</v>
      </c>
      <c r="D776" s="49">
        <v>-0.8772023461476484</v>
      </c>
      <c r="E776" s="62">
        <v>50.03</v>
      </c>
      <c r="F776" s="7">
        <v>0.002228940266990387</v>
      </c>
      <c r="G776" s="49">
        <v>-0.5353588268436487</v>
      </c>
      <c r="H776" s="53">
        <v>13996.966487528418</v>
      </c>
      <c r="I776" s="7">
        <v>-0.0013165723207600815</v>
      </c>
      <c r="J776" s="7">
        <v>0.7979485494553712</v>
      </c>
      <c r="K776" s="53">
        <v>3544.22272458539</v>
      </c>
      <c r="L776" s="7">
        <v>-3.3337405944035856E-4</v>
      </c>
      <c r="M776" s="7">
        <v>0.20205145054462884</v>
      </c>
      <c r="N776" s="52">
        <v>-0.0038788866471908268</v>
      </c>
      <c r="O776" s="7">
        <v>-0.3418435193039997</v>
      </c>
      <c r="P776" s="53">
        <v>107.67448708891098</v>
      </c>
      <c r="Q776" s="13">
        <v>350.61341619256063</v>
      </c>
      <c r="R776" s="13">
        <v>1326.6322971924285</v>
      </c>
      <c r="S776" s="7">
        <v>-0.7300189996106781</v>
      </c>
      <c r="T776" s="53">
        <v>130500.0</v>
      </c>
      <c r="U776" s="51">
        <v>17541.189212113808</v>
      </c>
      <c r="V776" s="51">
        <v>-125305.10028788615</v>
      </c>
    </row>
    <row r="777">
      <c r="A777" s="55">
        <v>44701.95996096065</v>
      </c>
      <c r="B777" s="48">
        <v>0.6906841812906641</v>
      </c>
      <c r="C777" s="7">
        <v>4.099434887672171E-5</v>
      </c>
      <c r="D777" s="49">
        <v>-0.8755523997674479</v>
      </c>
      <c r="E777" s="62">
        <v>49.79</v>
      </c>
      <c r="F777" s="7">
        <v>-0.027768880826254172</v>
      </c>
      <c r="G777" s="49">
        <v>-0.537587767110639</v>
      </c>
      <c r="H777" s="53">
        <v>14180.610015330569</v>
      </c>
      <c r="I777" s="7">
        <v>3.27011793932105E-5</v>
      </c>
      <c r="J777" s="7">
        <v>0.797699690060929</v>
      </c>
      <c r="K777" s="53">
        <v>3596.267915068829</v>
      </c>
      <c r="L777" s="7">
        <v>8.293169483511208E-6</v>
      </c>
      <c r="M777" s="7">
        <v>0.202300309939071</v>
      </c>
      <c r="N777" s="52">
        <v>0.027809875175130894</v>
      </c>
      <c r="O777" s="7">
        <v>-0.33796463265680887</v>
      </c>
      <c r="P777" s="53">
        <v>107.67448708891098</v>
      </c>
      <c r="Q777" s="13">
        <v>357.0371144888411</v>
      </c>
      <c r="R777" s="13">
        <v>1326.6322971924285</v>
      </c>
      <c r="S777" s="7">
        <v>-0.725072593078201</v>
      </c>
      <c r="T777" s="53">
        <v>130500.0</v>
      </c>
      <c r="U777" s="51">
        <v>17776.877930399398</v>
      </c>
      <c r="V777" s="51">
        <v>-125069.41156960056</v>
      </c>
    </row>
    <row r="778">
      <c r="A778" s="55">
        <v>44700.95996407408</v>
      </c>
      <c r="B778" s="48">
        <v>0.6904566626543982</v>
      </c>
      <c r="C778" s="7">
        <v>-0.009122905023260963</v>
      </c>
      <c r="D778" s="49">
        <v>-0.8755933941163246</v>
      </c>
      <c r="E778" s="62">
        <v>52.78</v>
      </c>
      <c r="F778" s="7">
        <v>0.018017267158171535</v>
      </c>
      <c r="G778" s="49">
        <v>-0.5098188862843849</v>
      </c>
      <c r="H778" s="53">
        <v>14231.035575243941</v>
      </c>
      <c r="I778" s="7">
        <v>-0.0073056229205636005</v>
      </c>
      <c r="J778" s="7">
        <v>0.8008000633500206</v>
      </c>
      <c r="K778" s="53">
        <v>3539.9864645279467</v>
      </c>
      <c r="L778" s="7">
        <v>-0.0018172821026973623</v>
      </c>
      <c r="M778" s="7">
        <v>0.19919993664997934</v>
      </c>
      <c r="N778" s="52">
        <v>-0.027140172181432498</v>
      </c>
      <c r="O778" s="7">
        <v>-0.36577450783193977</v>
      </c>
      <c r="P778" s="53">
        <v>107.67448708891098</v>
      </c>
      <c r="Q778" s="13">
        <v>336.6999249672582</v>
      </c>
      <c r="R778" s="13">
        <v>1326.6322971924285</v>
      </c>
      <c r="S778" s="7">
        <v>-0.7407327319050868</v>
      </c>
      <c r="T778" s="53">
        <v>130500.0</v>
      </c>
      <c r="U778" s="51">
        <v>17771.022039771888</v>
      </c>
      <c r="V778" s="51">
        <v>-125075.26746022806</v>
      </c>
    </row>
    <row r="779">
      <c r="A779" s="55">
        <v>44699.959954606486</v>
      </c>
      <c r="B779" s="48">
        <v>0.7410887855334966</v>
      </c>
      <c r="C779" s="7">
        <v>0.0048245862680462714</v>
      </c>
      <c r="D779" s="49">
        <v>-0.8664704890930637</v>
      </c>
      <c r="E779" s="62">
        <v>50.84</v>
      </c>
      <c r="F779" s="7">
        <v>-0.050085531621673174</v>
      </c>
      <c r="G779" s="49">
        <v>-0.5278361534425564</v>
      </c>
      <c r="H779" s="53">
        <v>15236.246794598195</v>
      </c>
      <c r="I779" s="7">
        <v>0.0038538237865175366</v>
      </c>
      <c r="J779" s="7">
        <v>0.7987884499116134</v>
      </c>
      <c r="K779" s="53">
        <v>3837.948377207431</v>
      </c>
      <c r="L779" s="7">
        <v>9.707624815287349E-4</v>
      </c>
      <c r="M779" s="7">
        <v>0.20121155008838668</v>
      </c>
      <c r="N779" s="52">
        <v>0.054910117889719445</v>
      </c>
      <c r="O779" s="7">
        <v>-0.33863433565050727</v>
      </c>
      <c r="P779" s="53">
        <v>107.67448708891098</v>
      </c>
      <c r="Q779" s="13">
        <v>375.1808649056968</v>
      </c>
      <c r="R779" s="13">
        <v>1326.6322971924285</v>
      </c>
      <c r="S779" s="7">
        <v>-0.7111014566010201</v>
      </c>
      <c r="T779" s="53">
        <v>130500.0</v>
      </c>
      <c r="U779" s="51">
        <v>19074.195171805626</v>
      </c>
      <c r="V779" s="51">
        <v>-123772.09432819433</v>
      </c>
    </row>
    <row r="780">
      <c r="A780" s="55">
        <v>44698.95994903935</v>
      </c>
      <c r="B780" s="48">
        <v>0.7143123317458397</v>
      </c>
      <c r="C780" s="7">
        <v>-8.725111066002489E-4</v>
      </c>
      <c r="D780" s="49">
        <v>-0.87129507536111</v>
      </c>
      <c r="E780" s="62">
        <v>56.46</v>
      </c>
      <c r="F780" s="7">
        <v>0.010822383501055022</v>
      </c>
      <c r="G780" s="49">
        <v>-0.47775062182088324</v>
      </c>
      <c r="H780" s="53">
        <v>14738.650630279904</v>
      </c>
      <c r="I780" s="7">
        <v>-7.020363157521089E-4</v>
      </c>
      <c r="J780" s="7">
        <v>0.8046159073981335</v>
      </c>
      <c r="K780" s="53">
        <v>3578.9720947540973</v>
      </c>
      <c r="L780" s="7">
        <v>-1.7047479084814004E-4</v>
      </c>
      <c r="M780" s="7">
        <v>0.19538409260186648</v>
      </c>
      <c r="N780" s="52">
        <v>-0.01169489460765527</v>
      </c>
      <c r="O780" s="7">
        <v>-0.3935444535402267</v>
      </c>
      <c r="P780" s="53">
        <v>108.10927185180068</v>
      </c>
      <c r="Q780" s="13">
        <v>324.43540072678</v>
      </c>
      <c r="R780" s="13">
        <v>1316.489037252512</v>
      </c>
      <c r="S780" s="7">
        <v>-0.74820405827856</v>
      </c>
      <c r="T780" s="53">
        <v>130000.0</v>
      </c>
      <c r="U780" s="51">
        <v>18317.622725034</v>
      </c>
      <c r="V780" s="51">
        <v>-124005.00227496594</v>
      </c>
    </row>
    <row r="781">
      <c r="A781" s="55">
        <v>44697.95994770833</v>
      </c>
      <c r="B781" s="48">
        <v>0.7191547683874712</v>
      </c>
      <c r="C781" s="7">
        <v>-0.018021624929824065</v>
      </c>
      <c r="D781" s="49">
        <v>-0.8704225642545097</v>
      </c>
      <c r="E781" s="62">
        <v>55.29</v>
      </c>
      <c r="F781" s="7">
        <v>-0.01526233570661606</v>
      </c>
      <c r="G781" s="49">
        <v>-0.48857300532193826</v>
      </c>
      <c r="H781" s="53">
        <v>14816.192881612731</v>
      </c>
      <c r="I781" s="7">
        <v>-0.01447862244869808</v>
      </c>
      <c r="J781" s="7">
        <v>0.8034027178502281</v>
      </c>
      <c r="K781" s="53">
        <v>3625.6079144542728</v>
      </c>
      <c r="L781" s="7">
        <v>-0.003543002481125985</v>
      </c>
      <c r="M781" s="7">
        <v>0.1965972821497719</v>
      </c>
      <c r="N781" s="52">
        <v>-0.0027592892232080057</v>
      </c>
      <c r="O781" s="7">
        <v>-0.38184955893257144</v>
      </c>
      <c r="P781" s="53">
        <v>108.10927185180068</v>
      </c>
      <c r="Q781" s="13">
        <v>333.5467678796709</v>
      </c>
      <c r="R781" s="13">
        <v>1316.489037252512</v>
      </c>
      <c r="S781" s="7">
        <v>-0.7411326805328128</v>
      </c>
      <c r="T781" s="53">
        <v>130000.0</v>
      </c>
      <c r="U781" s="51">
        <v>18441.800796067004</v>
      </c>
      <c r="V781" s="51">
        <v>-123880.82420393293</v>
      </c>
    </row>
    <row r="782">
      <c r="A782" s="55">
        <v>44696.95996015046</v>
      </c>
      <c r="B782" s="48">
        <v>0.8191747867479947</v>
      </c>
      <c r="C782" s="7">
        <v>-0.006342229646303377</v>
      </c>
      <c r="D782" s="49">
        <v>-0.8524009393246856</v>
      </c>
      <c r="E782" s="62">
        <v>56.94</v>
      </c>
      <c r="F782" s="7">
        <v>0.05235443642390725</v>
      </c>
      <c r="G782" s="49">
        <v>-0.4733106696153222</v>
      </c>
      <c r="H782" s="53">
        <v>16912.768948695342</v>
      </c>
      <c r="I782" s="7">
        <v>-0.005106215508646119</v>
      </c>
      <c r="J782" s="7">
        <v>0.8051136261870178</v>
      </c>
      <c r="K782" s="53">
        <v>4093.916814149663</v>
      </c>
      <c r="L782" s="7">
        <v>-0.001236014137657258</v>
      </c>
      <c r="M782" s="7">
        <v>0.1948863738129822</v>
      </c>
      <c r="N782" s="52">
        <v>-0.058696666070210624</v>
      </c>
      <c r="O782" s="7">
        <v>-0.37909026970936344</v>
      </c>
      <c r="P782" s="53">
        <v>108.10927185180068</v>
      </c>
      <c r="Q782" s="13">
        <v>368.92669060142265</v>
      </c>
      <c r="R782" s="13">
        <v>1316.489037252512</v>
      </c>
      <c r="S782" s="7">
        <v>-0.71367414505919</v>
      </c>
      <c r="T782" s="53">
        <v>130000.0</v>
      </c>
      <c r="U782" s="51">
        <v>21006.685762845005</v>
      </c>
      <c r="V782" s="51">
        <v>-121315.93923715493</v>
      </c>
    </row>
    <row r="783">
      <c r="A783" s="55">
        <v>44695.95995174769</v>
      </c>
      <c r="B783" s="48">
        <v>0.8543741612849785</v>
      </c>
      <c r="C783" s="7">
        <v>0.011544261068211492</v>
      </c>
      <c r="D783" s="49">
        <v>-0.8460587096783823</v>
      </c>
      <c r="E783" s="62">
        <v>51.28</v>
      </c>
      <c r="F783" s="7">
        <v>0.004069956188430868</v>
      </c>
      <c r="G783" s="49">
        <v>-0.5256651060392294</v>
      </c>
      <c r="H783" s="53">
        <v>17510.914539403515</v>
      </c>
      <c r="I783" s="7">
        <v>0.00922668938338596</v>
      </c>
      <c r="J783" s="7">
        <v>0.7992446921347574</v>
      </c>
      <c r="K783" s="53">
        <v>4398.413995056206</v>
      </c>
      <c r="L783" s="7">
        <v>0.0023175716848255323</v>
      </c>
      <c r="M783" s="7">
        <v>0.2007553078652426</v>
      </c>
      <c r="N783" s="52">
        <v>0.007474304879780624</v>
      </c>
      <c r="O783" s="7">
        <v>-0.3203936036391528</v>
      </c>
      <c r="P783" s="53">
        <v>108.10927185180068</v>
      </c>
      <c r="Q783" s="13">
        <v>427.24899638181984</v>
      </c>
      <c r="R783" s="13">
        <v>1316.489037252512</v>
      </c>
      <c r="S783" s="7">
        <v>-0.6684099110254079</v>
      </c>
      <c r="T783" s="53">
        <v>130000.0</v>
      </c>
      <c r="U783" s="51">
        <v>21909.32853445972</v>
      </c>
      <c r="V783" s="51">
        <v>-120413.29646554022</v>
      </c>
    </row>
    <row r="784">
      <c r="A784" s="55">
        <v>44694.959976412036</v>
      </c>
      <c r="B784" s="48">
        <v>0.7903035123564046</v>
      </c>
      <c r="C784" s="7">
        <v>-0.15638225377463666</v>
      </c>
      <c r="D784" s="49">
        <v>-0.8576029707465938</v>
      </c>
      <c r="E784" s="62">
        <v>50.84</v>
      </c>
      <c r="F784" s="7">
        <v>0.08176911978574908</v>
      </c>
      <c r="G784" s="49">
        <v>-0.5297350622276603</v>
      </c>
      <c r="H784" s="53">
        <v>16188.501535866924</v>
      </c>
      <c r="I784" s="7">
        <v>-0.12491633808632659</v>
      </c>
      <c r="J784" s="7">
        <v>0.7987884499116135</v>
      </c>
      <c r="K784" s="53">
        <v>4077.817459679636</v>
      </c>
      <c r="L784" s="7">
        <v>-0.03146591568831008</v>
      </c>
      <c r="M784" s="7">
        <v>0.20121155008838654</v>
      </c>
      <c r="N784" s="52">
        <v>-0.23815137356038574</v>
      </c>
      <c r="O784" s="7">
        <v>-0.32786790851893344</v>
      </c>
      <c r="P784" s="53">
        <v>108.10927185180068</v>
      </c>
      <c r="Q784" s="13">
        <v>398.6294058919465</v>
      </c>
      <c r="R784" s="13">
        <v>1316.489037252512</v>
      </c>
      <c r="S784" s="7">
        <v>-0.6906217187471809</v>
      </c>
      <c r="T784" s="53">
        <v>130000.0</v>
      </c>
      <c r="U784" s="51">
        <v>20266.31899554656</v>
      </c>
      <c r="V784" s="51">
        <v>-122056.30600445338</v>
      </c>
    </row>
    <row r="785">
      <c r="A785" s="55">
        <v>44693.95995289352</v>
      </c>
      <c r="B785" s="48">
        <v>1.6582250208056382</v>
      </c>
      <c r="C785" s="7">
        <v>-0.06549020946349193</v>
      </c>
      <c r="D785" s="49">
        <v>-0.7012207169719571</v>
      </c>
      <c r="E785" s="62">
        <v>42.0</v>
      </c>
      <c r="F785" s="7">
        <v>-0.022662256049217788</v>
      </c>
      <c r="G785" s="49">
        <v>-0.6115041820134094</v>
      </c>
      <c r="H785" s="53">
        <v>33577.14273327014</v>
      </c>
      <c r="I785" s="7">
        <v>-0.05171251861755574</v>
      </c>
      <c r="J785" s="7">
        <v>0.7896221288829947</v>
      </c>
      <c r="K785" s="53">
        <v>8945.909122898855</v>
      </c>
      <c r="L785" s="7">
        <v>-0.013777690845936188</v>
      </c>
      <c r="M785" s="7">
        <v>0.21037787111700532</v>
      </c>
      <c r="N785" s="52">
        <v>-0.042827953414274145</v>
      </c>
      <c r="O785" s="7">
        <v>-0.0897165349585477</v>
      </c>
      <c r="P785" s="53">
        <v>108.10927185180068</v>
      </c>
      <c r="Q785" s="13">
        <v>1012.4536156230713</v>
      </c>
      <c r="R785" s="13">
        <v>1316.489037252512</v>
      </c>
      <c r="S785" s="7">
        <v>-0.2142296709175204</v>
      </c>
      <c r="T785" s="53">
        <v>130000.0</v>
      </c>
      <c r="U785" s="51">
        <v>42523.051856169</v>
      </c>
      <c r="V785" s="51">
        <v>-99799.57314383094</v>
      </c>
    </row>
    <row r="786">
      <c r="A786" s="55">
        <v>44692.95995310185</v>
      </c>
      <c r="B786" s="48">
        <v>2.0216956833280184</v>
      </c>
      <c r="C786" s="7">
        <v>-0.003581174164199008</v>
      </c>
      <c r="D786" s="49">
        <v>-0.6357305075084652</v>
      </c>
      <c r="E786" s="62">
        <v>44.45</v>
      </c>
      <c r="F786" s="7">
        <v>-0.18231553744084994</v>
      </c>
      <c r="G786" s="49">
        <v>-0.5888419259641916</v>
      </c>
      <c r="H786" s="53">
        <v>41068.71014904945</v>
      </c>
      <c r="I786" s="7">
        <v>-0.0028368721242816052</v>
      </c>
      <c r="J786" s="7">
        <v>0.7921625685345915</v>
      </c>
      <c r="K786" s="53">
        <v>10775.080229763553</v>
      </c>
      <c r="L786" s="7">
        <v>-7.443020399174029E-4</v>
      </c>
      <c r="M786" s="7">
        <v>0.2078374314654085</v>
      </c>
      <c r="N786" s="52">
        <v>0.17873436327665093</v>
      </c>
      <c r="O786" s="7">
        <v>-0.046888581544273555</v>
      </c>
      <c r="P786" s="53">
        <v>108.10927185180068</v>
      </c>
      <c r="Q786" s="13">
        <v>1166.3394910869067</v>
      </c>
      <c r="R786" s="13">
        <v>1316.489037252512</v>
      </c>
      <c r="S786" s="7">
        <v>-0.09479807114991126</v>
      </c>
      <c r="T786" s="53">
        <v>130000.0</v>
      </c>
      <c r="U786" s="51">
        <v>51843.790378813006</v>
      </c>
      <c r="V786" s="51">
        <v>-90478.83462118694</v>
      </c>
    </row>
    <row r="787">
      <c r="A787" s="55">
        <v>44691.95995041667</v>
      </c>
      <c r="B787" s="48">
        <v>2.0415711999393227</v>
      </c>
      <c r="C787" s="7">
        <v>-0.2692452823568644</v>
      </c>
      <c r="D787" s="49">
        <v>-0.6321493333442662</v>
      </c>
      <c r="E787" s="62">
        <v>64.16</v>
      </c>
      <c r="F787" s="7">
        <v>-0.03098716643464483</v>
      </c>
      <c r="G787" s="49">
        <v>-0.40652638852334166</v>
      </c>
      <c r="H787" s="53">
        <v>42542.439401962445</v>
      </c>
      <c r="I787" s="7">
        <v>-0.21878875583462154</v>
      </c>
      <c r="J787" s="7">
        <v>0.8126001463031522</v>
      </c>
      <c r="K787" s="53">
        <v>9811.033084481547</v>
      </c>
      <c r="L787" s="7">
        <v>-0.05045652652224285</v>
      </c>
      <c r="M787" s="7">
        <v>0.18739985369684772</v>
      </c>
      <c r="N787" s="52">
        <v>-0.23825811592221957</v>
      </c>
      <c r="O787" s="7">
        <v>-0.2256229448209245</v>
      </c>
      <c r="P787" s="53">
        <v>108.10927185180068</v>
      </c>
      <c r="Q787" s="13">
        <v>815.983049975748</v>
      </c>
      <c r="R787" s="13">
        <v>1316.489037252512</v>
      </c>
      <c r="S787" s="7">
        <v>-0.3667114623215751</v>
      </c>
      <c r="T787" s="53">
        <v>130000.0</v>
      </c>
      <c r="U787" s="51">
        <v>52353.47248644399</v>
      </c>
      <c r="V787" s="51">
        <v>-89969.15251355595</v>
      </c>
    </row>
    <row r="788">
      <c r="A788" s="55">
        <v>44690.95995246527</v>
      </c>
      <c r="B788" s="48">
        <v>3.53588251701992</v>
      </c>
      <c r="C788" s="7">
        <v>-0.15435430277519557</v>
      </c>
      <c r="D788" s="49">
        <v>-0.36290405098740175</v>
      </c>
      <c r="E788" s="62">
        <v>67.51</v>
      </c>
      <c r="F788" s="7">
        <v>-0.07884097880523444</v>
      </c>
      <c r="G788" s="49">
        <v>-0.37553922208869683</v>
      </c>
      <c r="H788" s="53">
        <v>73995.99742490069</v>
      </c>
      <c r="I788" s="7">
        <v>-0.12596450375250282</v>
      </c>
      <c r="J788" s="7">
        <v>0.8160738086839071</v>
      </c>
      <c r="K788" s="53">
        <v>16677.170415438406</v>
      </c>
      <c r="L788" s="7">
        <v>-0.02838979902269274</v>
      </c>
      <c r="M788" s="7">
        <v>0.18392619131609284</v>
      </c>
      <c r="N788" s="52">
        <v>-0.07551332396996113</v>
      </c>
      <c r="O788" s="7">
        <v>0.012635171101295084</v>
      </c>
      <c r="P788" s="53">
        <v>108.10927185180068</v>
      </c>
      <c r="Q788" s="13">
        <v>1343.1072113811153</v>
      </c>
      <c r="R788" s="13">
        <v>1316.489037252512</v>
      </c>
      <c r="S788" s="7">
        <v>0.04239224315526378</v>
      </c>
      <c r="T788" s="53">
        <v>130000.0</v>
      </c>
      <c r="U788" s="51">
        <v>90673.1678403391</v>
      </c>
      <c r="V788" s="51">
        <v>-51649.457159660844</v>
      </c>
    </row>
    <row r="789">
      <c r="A789" s="55">
        <v>44689.9599506713</v>
      </c>
      <c r="B789" s="48">
        <v>4.392548897422255</v>
      </c>
      <c r="C789" s="7">
        <v>-0.017415329956533054</v>
      </c>
      <c r="D789" s="49">
        <v>-0.20854974821220618</v>
      </c>
      <c r="E789" s="62">
        <v>76.55</v>
      </c>
      <c r="F789" s="7">
        <v>-0.03463680761360344</v>
      </c>
      <c r="G789" s="49">
        <v>-0.2966982432834624</v>
      </c>
      <c r="H789" s="53">
        <v>91606.22428343224</v>
      </c>
      <c r="I789" s="7">
        <v>-0.014375440792704938</v>
      </c>
      <c r="J789" s="7">
        <v>0.8254475125412277</v>
      </c>
      <c r="K789" s="53">
        <v>19371.42467865956</v>
      </c>
      <c r="L789" s="7">
        <v>-0.003039889163828117</v>
      </c>
      <c r="M789" s="7">
        <v>0.17455248745877228</v>
      </c>
      <c r="N789" s="52">
        <v>0.017221477657070383</v>
      </c>
      <c r="O789" s="7">
        <v>0.08814849507125622</v>
      </c>
      <c r="P789" s="53">
        <v>108.84374917159934</v>
      </c>
      <c r="Q789" s="13">
        <v>1449.7406787993705</v>
      </c>
      <c r="R789" s="13">
        <v>1288.2816670380482</v>
      </c>
      <c r="S789" s="7">
        <v>0.15022238580441433</v>
      </c>
      <c r="T789" s="53">
        <v>128000.0</v>
      </c>
      <c r="U789" s="51">
        <v>110977.6489620918</v>
      </c>
      <c r="V789" s="51">
        <v>-29242.97603790817</v>
      </c>
    </row>
    <row r="790">
      <c r="A790" s="55">
        <v>44688.95995201389</v>
      </c>
      <c r="B790" s="48">
        <v>4.489203978681014</v>
      </c>
      <c r="C790" s="7">
        <v>-0.012488010764966861</v>
      </c>
      <c r="D790" s="49">
        <v>-0.19113441825567312</v>
      </c>
      <c r="E790" s="62">
        <v>80.32</v>
      </c>
      <c r="F790" s="7">
        <v>-0.027838070840641493</v>
      </c>
      <c r="G790" s="49">
        <v>-0.26206143566985896</v>
      </c>
      <c r="H790" s="53">
        <v>94065.33380275469</v>
      </c>
      <c r="I790" s="7">
        <v>-0.010357015133629022</v>
      </c>
      <c r="J790" s="7">
        <v>0.8293566788622564</v>
      </c>
      <c r="K790" s="53">
        <v>19354.30361042339</v>
      </c>
      <c r="L790" s="7">
        <v>-0.0021309956313378398</v>
      </c>
      <c r="M790" s="7">
        <v>0.17064332113774364</v>
      </c>
      <c r="N790" s="52">
        <v>0.015350060075674632</v>
      </c>
      <c r="O790" s="7">
        <v>0.07092701741418583</v>
      </c>
      <c r="P790" s="53">
        <v>108.84374917159934</v>
      </c>
      <c r="Q790" s="13">
        <v>1412.0970793473368</v>
      </c>
      <c r="R790" s="13">
        <v>1288.2816670380482</v>
      </c>
      <c r="S790" s="7">
        <v>0.12035600252279025</v>
      </c>
      <c r="T790" s="53">
        <v>128000.0</v>
      </c>
      <c r="U790" s="51">
        <v>113419.63741317808</v>
      </c>
      <c r="V790" s="51">
        <v>-26800.987586821895</v>
      </c>
    </row>
    <row r="791">
      <c r="A791" s="55">
        <v>44687.98194834491</v>
      </c>
      <c r="B791" s="48">
        <v>4.55851243842658</v>
      </c>
      <c r="C791" s="7">
        <v>-0.003170035052660336</v>
      </c>
      <c r="D791" s="49">
        <v>-0.17864640749070626</v>
      </c>
      <c r="E791" s="62">
        <v>83.35</v>
      </c>
      <c r="F791" s="7">
        <v>-0.007901234628036824</v>
      </c>
      <c r="G791" s="49">
        <v>-0.23422336482921746</v>
      </c>
      <c r="H791" s="53">
        <v>95879.45002926378</v>
      </c>
      <c r="I791" s="7">
        <v>-0.002639049517321328</v>
      </c>
      <c r="J791" s="7">
        <v>0.8324985287170884</v>
      </c>
      <c r="K791" s="53">
        <v>19291.264058384666</v>
      </c>
      <c r="L791" s="7">
        <v>-5.309855353390084E-4</v>
      </c>
      <c r="M791" s="7">
        <v>0.16750147128291157</v>
      </c>
      <c r="N791" s="52">
        <v>0.004731199575376488</v>
      </c>
      <c r="O791" s="7">
        <v>0.0555769573385112</v>
      </c>
      <c r="P791" s="53">
        <v>108.84374917159934</v>
      </c>
      <c r="Q791" s="13">
        <v>1381.7722146088597</v>
      </c>
      <c r="R791" s="13">
        <v>1288.2816670380482</v>
      </c>
      <c r="S791" s="7">
        <v>0.09629629392885461</v>
      </c>
      <c r="T791" s="53">
        <v>128000.0</v>
      </c>
      <c r="U791" s="51">
        <v>115170.71408764845</v>
      </c>
      <c r="V791" s="51">
        <v>-25049.910912351523</v>
      </c>
    </row>
    <row r="792">
      <c r="A792" s="55">
        <v>44686.0</v>
      </c>
      <c r="B792" s="48">
        <v>4.576106132968845</v>
      </c>
      <c r="C792" s="7">
        <v>0.0015554238104804607</v>
      </c>
      <c r="D792" s="49">
        <v>-0.17547637243804592</v>
      </c>
      <c r="E792" s="62">
        <v>84.21</v>
      </c>
      <c r="F792" s="7">
        <v>-0.0202124606763735</v>
      </c>
      <c r="G792" s="49">
        <v>-0.22632213020118064</v>
      </c>
      <c r="H792" s="53">
        <v>96352.59862941517</v>
      </c>
      <c r="I792" s="7">
        <v>0.0012962750769719953</v>
      </c>
      <c r="J792" s="7">
        <v>0.8333902748805061</v>
      </c>
      <c r="K792" s="53">
        <v>19262.619754589236</v>
      </c>
      <c r="L792" s="7">
        <v>2.591487335084654E-4</v>
      </c>
      <c r="M792" s="7">
        <v>0.16660972511949393</v>
      </c>
      <c r="N792" s="52">
        <v>0.02176788448685396</v>
      </c>
      <c r="O792" s="7">
        <v>0.050845757763134714</v>
      </c>
      <c r="P792" s="53">
        <v>108.84374917159934</v>
      </c>
      <c r="Q792" s="13">
        <v>1372.9392991806722</v>
      </c>
      <c r="R792" s="13">
        <v>1288.2816670380482</v>
      </c>
      <c r="S792" s="7">
        <v>0.08928827021399785</v>
      </c>
      <c r="T792" s="53">
        <v>128000.0</v>
      </c>
      <c r="U792" s="51">
        <v>115615.2183840044</v>
      </c>
      <c r="V792" s="51">
        <v>-24605.40661599557</v>
      </c>
    </row>
    <row r="793">
      <c r="A793" s="55">
        <v>44685.0</v>
      </c>
      <c r="B793" s="48">
        <v>4.567473530820679</v>
      </c>
      <c r="C793" s="7">
        <v>0.004044538817016274</v>
      </c>
      <c r="D793" s="49">
        <v>-0.17703179624852639</v>
      </c>
      <c r="E793" s="62">
        <v>86.41</v>
      </c>
      <c r="F793" s="7">
        <v>0.006339362666680781</v>
      </c>
      <c r="G793" s="49">
        <v>-0.20610966952480714</v>
      </c>
      <c r="H793" s="53">
        <v>96437.83730181532</v>
      </c>
      <c r="I793" s="7">
        <v>0.0033799067699068876</v>
      </c>
      <c r="J793" s="7">
        <v>0.8356717348556202</v>
      </c>
      <c r="K793" s="53">
        <v>18963.74118818468</v>
      </c>
      <c r="L793" s="7">
        <v>6.646320471093866E-4</v>
      </c>
      <c r="M793" s="7">
        <v>0.16432826514437981</v>
      </c>
      <c r="N793" s="52">
        <v>-0.002294823849664507</v>
      </c>
      <c r="O793" s="7">
        <v>0.029077873276280752</v>
      </c>
      <c r="P793" s="53">
        <v>108.84374917159934</v>
      </c>
      <c r="Q793" s="13">
        <v>1335.4602476565212</v>
      </c>
      <c r="R793" s="13">
        <v>1288.2816670380482</v>
      </c>
      <c r="S793" s="7">
        <v>0.05955243904624918</v>
      </c>
      <c r="T793" s="53">
        <v>128000.0</v>
      </c>
      <c r="U793" s="51">
        <v>115397.12</v>
      </c>
      <c r="V793" s="51">
        <v>-24823.5</v>
      </c>
    </row>
    <row r="794">
      <c r="A794" s="55">
        <v>44684.0</v>
      </c>
      <c r="B794" s="48">
        <v>4.545026340386238</v>
      </c>
      <c r="C794" s="7">
        <v>-0.011876335065542531</v>
      </c>
      <c r="D794" s="49">
        <v>-0.18107633506554266</v>
      </c>
      <c r="E794" s="62">
        <v>85.72</v>
      </c>
      <c r="F794" s="7">
        <v>-0.027194947091847887</v>
      </c>
      <c r="G794" s="49">
        <v>-0.21244903219148792</v>
      </c>
      <c r="H794" s="53">
        <v>95877.98931408471</v>
      </c>
      <c r="I794" s="7">
        <v>-0.009916217401947277</v>
      </c>
      <c r="J794" s="7">
        <v>0.8349560152372046</v>
      </c>
      <c r="K794" s="53">
        <v>18951.998810315476</v>
      </c>
      <c r="L794" s="7">
        <v>-0.0019601176635952538</v>
      </c>
      <c r="M794" s="7">
        <v>0.16504398476279536</v>
      </c>
      <c r="N794" s="52">
        <v>0.015318612026305356</v>
      </c>
      <c r="O794" s="7">
        <v>0.03137269712594526</v>
      </c>
      <c r="P794" s="53">
        <v>108.84374917159934</v>
      </c>
      <c r="Q794" s="13">
        <v>1339.5938885254338</v>
      </c>
      <c r="R794" s="13">
        <v>1288.2816670380482</v>
      </c>
      <c r="S794" s="7">
        <v>0.06283206438326938</v>
      </c>
      <c r="T794" s="53">
        <v>128000.0</v>
      </c>
      <c r="U794" s="53">
        <v>114829.98812440019</v>
      </c>
      <c r="V794" s="53">
        <v>-25390.636875599783</v>
      </c>
    </row>
    <row r="795">
      <c r="A795" s="55">
        <v>44683.0</v>
      </c>
      <c r="B795" s="48">
        <v>4.610939999999999</v>
      </c>
      <c r="C795" s="7">
        <v>-0.0013312580362880855</v>
      </c>
      <c r="D795" s="49">
        <v>-0.16920000000000013</v>
      </c>
      <c r="E795" s="62">
        <v>88.68</v>
      </c>
      <c r="F795" s="7">
        <v>0.005420614454118344</v>
      </c>
      <c r="G795" s="49">
        <v>-0.18525408509964003</v>
      </c>
      <c r="H795" s="53">
        <v>97625.58942792266</v>
      </c>
      <c r="I795" s="7">
        <v>-0.0011156231691106277</v>
      </c>
      <c r="J795" s="7">
        <v>0.8380217348556203</v>
      </c>
      <c r="K795" s="53">
        <v>18869.705822077303</v>
      </c>
      <c r="L795" s="7">
        <v>-2.1563486717745788E-4</v>
      </c>
      <c r="M795" s="7">
        <v>0.1619782651443798</v>
      </c>
      <c r="N795" s="52">
        <v>-0.00675187249040643</v>
      </c>
      <c r="O795" s="7">
        <v>0.016054085099639903</v>
      </c>
      <c r="P795" s="53">
        <v>108.84374917159934</v>
      </c>
      <c r="Q795" s="13">
        <v>1313.6591706134411</v>
      </c>
      <c r="R795" s="13">
        <v>1288.2816670380482</v>
      </c>
      <c r="S795" s="7">
        <v>0.04225549262244828</v>
      </c>
      <c r="T795" s="53">
        <v>128000.0</v>
      </c>
      <c r="U795" s="53">
        <v>116495.29524999997</v>
      </c>
      <c r="V795" s="53">
        <v>-23725.329750000004</v>
      </c>
    </row>
    <row r="796">
      <c r="A796" s="55">
        <v>44682.0</v>
      </c>
      <c r="B796" s="48">
        <v>4.618328482101398</v>
      </c>
      <c r="C796" s="7">
        <v>-0.016191589458557254</v>
      </c>
      <c r="D796" s="49">
        <v>-0.16786874196371204</v>
      </c>
      <c r="E796" s="62">
        <v>88.09</v>
      </c>
      <c r="F796" s="7">
        <v>-0.025633075130491623</v>
      </c>
      <c r="G796" s="49">
        <v>-0.19067469955375838</v>
      </c>
      <c r="H796" s="53">
        <v>97711.05297282118</v>
      </c>
      <c r="I796" s="7">
        <v>-0.013559055627507352</v>
      </c>
      <c r="J796" s="7">
        <v>0.8374135017573208</v>
      </c>
      <c r="K796" s="53">
        <v>18970.912111063357</v>
      </c>
      <c r="L796" s="7">
        <v>-0.002632533831049903</v>
      </c>
      <c r="M796" s="7">
        <v>0.16258649824267926</v>
      </c>
      <c r="N796" s="52">
        <v>0.009441485671934369</v>
      </c>
      <c r="O796" s="7">
        <v>0.022805957590046333</v>
      </c>
      <c r="P796" s="53">
        <v>108.84374917159934</v>
      </c>
      <c r="Q796" s="13">
        <v>1324.5767406502955</v>
      </c>
      <c r="R796" s="13">
        <v>1288.2816670380482</v>
      </c>
      <c r="S796" s="7">
        <v>0.05091747861664503</v>
      </c>
      <c r="T796" s="53">
        <v>128000.0</v>
      </c>
      <c r="U796" s="53">
        <v>116681.96508388454</v>
      </c>
      <c r="V796" s="53">
        <v>-23538.65991611543</v>
      </c>
    </row>
    <row r="797">
      <c r="A797" s="55">
        <v>44681.0</v>
      </c>
      <c r="B797" s="48">
        <v>4.708191803596391</v>
      </c>
      <c r="C797" s="7">
        <v>-0.022225767814715525</v>
      </c>
      <c r="D797" s="49">
        <v>-0.1516771525051548</v>
      </c>
      <c r="E797" s="62">
        <v>90.88</v>
      </c>
      <c r="F797" s="7">
        <v>-0.029032443516972872</v>
      </c>
      <c r="G797" s="49">
        <v>-0.16504162442326675</v>
      </c>
      <c r="H797" s="53">
        <v>99956.44026968651</v>
      </c>
      <c r="I797" s="7">
        <v>-0.018676456989228894</v>
      </c>
      <c r="J797" s="7">
        <v>0.8403064922177106</v>
      </c>
      <c r="K797" s="53">
        <v>18995.919607820324</v>
      </c>
      <c r="L797" s="7">
        <v>-0.00354931082548663</v>
      </c>
      <c r="M797" s="7">
        <v>0.15969350778228936</v>
      </c>
      <c r="N797" s="52">
        <v>0.006806675702257348</v>
      </c>
      <c r="O797" s="7">
        <v>0.013364471918111964</v>
      </c>
      <c r="P797" s="53">
        <v>108.84374917159934</v>
      </c>
      <c r="Q797" s="13">
        <v>1308.8948049901721</v>
      </c>
      <c r="R797" s="13">
        <v>1288.2816670380482</v>
      </c>
      <c r="S797" s="7">
        <v>0.03847545107834301</v>
      </c>
      <c r="T797" s="53">
        <v>128000.0</v>
      </c>
      <c r="U797" s="53">
        <v>118952.35987750684</v>
      </c>
      <c r="V797" s="53">
        <v>-21268.265122493132</v>
      </c>
    </row>
    <row r="798">
      <c r="A798" s="55">
        <v>44680.0</v>
      </c>
      <c r="B798" s="48">
        <v>4.831544814968062</v>
      </c>
      <c r="C798" s="7">
        <v>-0.03119534192758866</v>
      </c>
      <c r="D798" s="49">
        <v>-0.12945138469043926</v>
      </c>
      <c r="E798" s="62">
        <v>94.04</v>
      </c>
      <c r="F798" s="7">
        <v>-0.04125179474405283</v>
      </c>
      <c r="G798" s="49">
        <v>-0.13600918090629388</v>
      </c>
      <c r="H798" s="53">
        <v>102975.2415479554</v>
      </c>
      <c r="I798" s="7">
        <v>-0.02631586452507405</v>
      </c>
      <c r="J798" s="7">
        <v>0.8435831409111988</v>
      </c>
      <c r="K798" s="53">
        <v>19093.62938363575</v>
      </c>
      <c r="L798" s="7">
        <v>-0.004879477402514607</v>
      </c>
      <c r="M798" s="7">
        <v>0.15641685908880118</v>
      </c>
      <c r="N798" s="52">
        <v>0.010056452816464168</v>
      </c>
      <c r="O798" s="7">
        <v>0.006557796215854617</v>
      </c>
      <c r="P798" s="53">
        <v>108.84374917159934</v>
      </c>
      <c r="Q798" s="13">
        <v>1298.0526470819987</v>
      </c>
      <c r="R798" s="13">
        <v>1288.2816670380482</v>
      </c>
      <c r="S798" s="7">
        <v>0.029873296969833416</v>
      </c>
      <c r="T798" s="53">
        <v>128000.0</v>
      </c>
      <c r="U798" s="51">
        <v>122068.87093159115</v>
      </c>
      <c r="V798" s="51">
        <v>-18151.754068408816</v>
      </c>
    </row>
    <row r="799">
      <c r="A799" s="55">
        <v>44679.0</v>
      </c>
      <c r="B799" s="48">
        <v>5.004678962666179</v>
      </c>
      <c r="C799" s="7">
        <v>0.005513554660370734</v>
      </c>
      <c r="D799" s="49">
        <v>-0.0982560427628506</v>
      </c>
      <c r="E799" s="62">
        <v>98.53</v>
      </c>
      <c r="F799" s="7">
        <v>0.0015618719613561538</v>
      </c>
      <c r="G799" s="49">
        <v>-0.09475738616224105</v>
      </c>
      <c r="H799" s="53">
        <v>107253.95529294555</v>
      </c>
      <c r="I799" s="7">
        <v>0.0046768114597906035</v>
      </c>
      <c r="J799" s="7">
        <v>0.8482388854155538</v>
      </c>
      <c r="K799" s="53">
        <v>19189.145980820787</v>
      </c>
      <c r="L799" s="7">
        <v>8.367432005801302E-4</v>
      </c>
      <c r="M799" s="7">
        <v>0.1517611145844462</v>
      </c>
      <c r="N799" s="52">
        <v>0.00395168269901458</v>
      </c>
      <c r="O799" s="7">
        <v>-0.003498656600609551</v>
      </c>
      <c r="P799" s="53">
        <v>108.84374917159934</v>
      </c>
      <c r="Q799" s="13">
        <v>1283.2954559399811</v>
      </c>
      <c r="R799" s="13">
        <v>1288.2816670380482</v>
      </c>
      <c r="S799" s="7">
        <v>0.01816496054017585</v>
      </c>
      <c r="T799" s="53">
        <v>128000.0</v>
      </c>
      <c r="U799" s="51">
        <v>126443.10127376634</v>
      </c>
      <c r="V799" s="51">
        <v>-13777.52372623363</v>
      </c>
    </row>
    <row r="800">
      <c r="A800" s="55">
        <v>44678.0</v>
      </c>
      <c r="B800" s="48">
        <v>4.974078734301122</v>
      </c>
      <c r="C800" s="7">
        <v>-0.006169487371080362</v>
      </c>
      <c r="D800" s="49">
        <v>-0.10376959742322134</v>
      </c>
      <c r="E800" s="62">
        <v>98.36</v>
      </c>
      <c r="F800" s="7">
        <v>0.008911857661855538</v>
      </c>
      <c r="G800" s="49">
        <v>-0.0963192581235972</v>
      </c>
      <c r="H800" s="53">
        <v>106576.01733923356</v>
      </c>
      <c r="I800" s="7">
        <v>-0.005232111562349285</v>
      </c>
      <c r="J800" s="7">
        <v>0.8480626100111573</v>
      </c>
      <c r="K800" s="53">
        <v>19093.969854083945</v>
      </c>
      <c r="L800" s="7">
        <v>-9.373758087310767E-4</v>
      </c>
      <c r="M800" s="7">
        <v>0.15193738998884268</v>
      </c>
      <c r="N800" s="52">
        <v>-0.0150813450329359</v>
      </c>
      <c r="O800" s="7">
        <v>-0.007450339299624131</v>
      </c>
      <c r="P800" s="53">
        <v>108.84374917159934</v>
      </c>
      <c r="Q800" s="13">
        <v>1277.6533874879779</v>
      </c>
      <c r="R800" s="13">
        <v>1288.2816670380482</v>
      </c>
      <c r="S800" s="7">
        <v>0.01368855070313551</v>
      </c>
      <c r="T800" s="53">
        <v>128000.0</v>
      </c>
      <c r="U800" s="51">
        <v>125669.9871933175</v>
      </c>
      <c r="V800" s="51">
        <v>-14550.637806682469</v>
      </c>
    </row>
    <row r="801">
      <c r="A801" s="55">
        <v>44677.0</v>
      </c>
      <c r="B801" s="48">
        <v>5.008319389210618</v>
      </c>
      <c r="C801" s="7">
        <v>0.008513421990666292</v>
      </c>
      <c r="D801" s="49">
        <v>-0.09760011005214098</v>
      </c>
      <c r="E801" s="68">
        <v>97.39</v>
      </c>
      <c r="F801" s="7">
        <v>-0.02434682763290441</v>
      </c>
      <c r="G801" s="49">
        <v>-0.10523111578545274</v>
      </c>
      <c r="H801" s="53">
        <v>107182.39746234842</v>
      </c>
      <c r="I801" s="7">
        <v>0.00721135201648921</v>
      </c>
      <c r="J801" s="7">
        <v>0.8470568032919537</v>
      </c>
      <c r="K801" s="53">
        <v>19352.679106071562</v>
      </c>
      <c r="L801" s="7">
        <v>0.001302069974177082</v>
      </c>
      <c r="M801" s="7">
        <v>0.15294319670804632</v>
      </c>
      <c r="N801" s="52">
        <v>0.0328602496235707</v>
      </c>
      <c r="O801" s="7">
        <v>0.007631005733311769</v>
      </c>
      <c r="P801" s="53">
        <v>108.84374917159934</v>
      </c>
      <c r="Q801" s="13">
        <v>1299.2614905885614</v>
      </c>
      <c r="R801" s="13">
        <v>1288.2816670380482</v>
      </c>
      <c r="S801" s="7">
        <v>0.03083239184970827</v>
      </c>
      <c r="T801" s="53">
        <v>128000.0</v>
      </c>
      <c r="U801" s="53">
        <v>126535.07656841999</v>
      </c>
      <c r="V801" s="53">
        <v>-13685.548431579984</v>
      </c>
    </row>
    <row r="802">
      <c r="A802" s="55">
        <v>44676.0</v>
      </c>
      <c r="B802" s="48">
        <v>4.961069897162419</v>
      </c>
      <c r="C802" s="7">
        <v>-0.009175331104678386</v>
      </c>
      <c r="D802" s="49">
        <v>-0.10611353204280727</v>
      </c>
      <c r="E802" s="68">
        <v>100.04</v>
      </c>
      <c r="F802" s="7">
        <v>1.83749642512554E-4</v>
      </c>
      <c r="G802" s="49">
        <v>-0.08088428815254833</v>
      </c>
      <c r="H802" s="53">
        <v>106515.6328701533</v>
      </c>
      <c r="I802" s="7">
        <v>-0.007797238815747722</v>
      </c>
      <c r="J802" s="7">
        <v>0.8498046257722522</v>
      </c>
      <c r="K802" s="53">
        <v>18825.686345846712</v>
      </c>
      <c r="L802" s="7">
        <v>-0.0013780922889306644</v>
      </c>
      <c r="M802" s="7">
        <v>0.15019537422774776</v>
      </c>
      <c r="N802" s="52">
        <v>-0.00935908074719094</v>
      </c>
      <c r="O802" s="7">
        <v>-0.025229243890258934</v>
      </c>
      <c r="P802" s="53">
        <v>108.84374917159934</v>
      </c>
      <c r="Q802" s="13">
        <v>1252.9120273490605</v>
      </c>
      <c r="R802" s="13">
        <v>1288.2816670380482</v>
      </c>
      <c r="S802" s="7">
        <v>-0.0059412125387980855</v>
      </c>
      <c r="T802" s="53">
        <v>128000.0</v>
      </c>
      <c r="U802" s="53">
        <v>125341.31921600002</v>
      </c>
      <c r="V802" s="53">
        <v>-14879.305783999953</v>
      </c>
    </row>
    <row r="803">
      <c r="A803" s="47">
        <v>44675.0</v>
      </c>
      <c r="B803" s="48">
        <v>5.011992984793385</v>
      </c>
      <c r="C803" s="7">
        <v>-0.032802726639109214</v>
      </c>
      <c r="D803" s="49">
        <v>-0.09693820093812888</v>
      </c>
      <c r="E803" s="68">
        <v>100.02</v>
      </c>
      <c r="F803" s="7">
        <v>-0.016169968541098756</v>
      </c>
      <c r="G803" s="49">
        <v>-0.08106803779506089</v>
      </c>
      <c r="H803" s="53">
        <v>107606.34052517216</v>
      </c>
      <c r="I803" s="7">
        <v>-0.02787522856363374</v>
      </c>
      <c r="J803" s="7">
        <v>0.849783887489382</v>
      </c>
      <c r="K803" s="53">
        <v>19021.549352907794</v>
      </c>
      <c r="L803" s="7">
        <v>-0.004927498075475474</v>
      </c>
      <c r="M803" s="7">
        <v>0.15021611251061792</v>
      </c>
      <c r="N803" s="52">
        <v>-0.01663275809801046</v>
      </c>
      <c r="O803" s="7">
        <v>-0.015870163143067995</v>
      </c>
      <c r="P803" s="53">
        <v>108.84374917159934</v>
      </c>
      <c r="Q803" s="13">
        <v>1266.0256936420712</v>
      </c>
      <c r="R803" s="13">
        <v>1288.2816670380482</v>
      </c>
      <c r="S803" s="7">
        <v>0.004463153394205553</v>
      </c>
      <c r="T803" s="53">
        <v>128000.0</v>
      </c>
      <c r="U803" s="53">
        <v>126627.88987807995</v>
      </c>
      <c r="V803" s="53">
        <v>-13592.73512192002</v>
      </c>
    </row>
    <row r="804">
      <c r="A804" s="55">
        <v>44674.0</v>
      </c>
      <c r="B804" s="48">
        <v>5.194048117640441</v>
      </c>
      <c r="C804" s="7">
        <v>0.019482708141687288</v>
      </c>
      <c r="D804" s="49">
        <v>-0.06413547429901967</v>
      </c>
      <c r="E804" s="62">
        <v>101.78</v>
      </c>
      <c r="F804" s="7">
        <v>0.0022968705314061477</v>
      </c>
      <c r="G804" s="49">
        <v>-0.06489806925396213</v>
      </c>
      <c r="H804" s="53">
        <v>111754.50861762709</v>
      </c>
      <c r="I804" s="7">
        <v>0.01659164679976577</v>
      </c>
      <c r="J804" s="7">
        <v>0.8516088563819577</v>
      </c>
      <c r="K804" s="53">
        <v>19473.000091492926</v>
      </c>
      <c r="L804" s="7">
        <v>0.0028910613419215205</v>
      </c>
      <c r="M804" s="7">
        <v>0.14839114361804231</v>
      </c>
      <c r="N804" s="52">
        <v>0.01718583761028114</v>
      </c>
      <c r="O804" s="7">
        <v>7.625949549424638E-4</v>
      </c>
      <c r="P804" s="53">
        <v>108.84374917159934</v>
      </c>
      <c r="Q804" s="13">
        <v>1289.3251003057576</v>
      </c>
      <c r="R804" s="13">
        <v>1288.2816670380482</v>
      </c>
      <c r="S804" s="7">
        <v>0.022948872607607963</v>
      </c>
      <c r="T804" s="53">
        <v>128000.0</v>
      </c>
      <c r="U804" s="53">
        <v>131227.50870912</v>
      </c>
      <c r="V804" s="53">
        <v>-8993.11629087996</v>
      </c>
    </row>
    <row r="805">
      <c r="A805" s="47">
        <v>44673.0</v>
      </c>
      <c r="B805" s="48">
        <v>5.0859190874540765</v>
      </c>
      <c r="C805" s="7">
        <v>0.004758048238338919</v>
      </c>
      <c r="D805" s="49">
        <v>-0.08361818244070696</v>
      </c>
      <c r="E805" s="68">
        <v>101.53</v>
      </c>
      <c r="F805" s="7">
        <v>-0.031053689584610078</v>
      </c>
      <c r="G805" s="49">
        <v>-0.06719493978536828</v>
      </c>
      <c r="H805" s="53">
        <v>109394.70779924291</v>
      </c>
      <c r="I805" s="7">
        <v>0.0040507625969835375</v>
      </c>
      <c r="J805" s="7">
        <v>0.8513496278460805</v>
      </c>
      <c r="K805" s="53">
        <v>19100.92339755711</v>
      </c>
      <c r="L805" s="7">
        <v>7.072856413553813E-4</v>
      </c>
      <c r="M805" s="7">
        <v>0.1486503721539195</v>
      </c>
      <c r="N805" s="52">
        <v>0.035811737822949</v>
      </c>
      <c r="O805" s="7">
        <v>-0.016423242655338677</v>
      </c>
      <c r="P805" s="53">
        <v>108.84374917159934</v>
      </c>
      <c r="Q805" s="13">
        <v>1265.5927430000986</v>
      </c>
      <c r="R805" s="13">
        <v>1288.2816670380482</v>
      </c>
      <c r="S805" s="7">
        <v>0.004119650912949567</v>
      </c>
      <c r="T805" s="53">
        <v>128000.0</v>
      </c>
      <c r="U805" s="53">
        <v>128495.63119680002</v>
      </c>
      <c r="V805" s="53">
        <v>-11724.993803199948</v>
      </c>
    </row>
    <row r="806">
      <c r="A806" s="55">
        <v>44672.0</v>
      </c>
      <c r="B806" s="48">
        <v>5.059511919731295</v>
      </c>
      <c r="C806" s="7">
        <v>0.12692376932095417</v>
      </c>
      <c r="D806" s="49">
        <v>-0.08837623067904588</v>
      </c>
      <c r="E806" s="68">
        <v>104.91</v>
      </c>
      <c r="F806" s="7">
        <v>0.031186699174628574</v>
      </c>
      <c r="G806" s="49">
        <v>-0.0361412502007582</v>
      </c>
      <c r="H806" s="53">
        <v>109274.71664442394</v>
      </c>
      <c r="I806" s="7">
        <v>0.1085013423704766</v>
      </c>
      <c r="J806" s="7">
        <v>0.8548543976511406</v>
      </c>
      <c r="K806" s="53">
        <v>18553.738054616042</v>
      </c>
      <c r="L806" s="7">
        <v>0.01842242695047757</v>
      </c>
      <c r="M806" s="7">
        <v>0.14514560234885937</v>
      </c>
      <c r="N806" s="52">
        <v>0.0957370701463256</v>
      </c>
      <c r="O806" s="7">
        <v>-0.052234980478287674</v>
      </c>
      <c r="P806" s="53">
        <v>108.84374917159934</v>
      </c>
      <c r="Q806" s="13">
        <v>1218.4582470597654</v>
      </c>
      <c r="R806" s="13">
        <v>1288.2816670380482</v>
      </c>
      <c r="S806" s="7">
        <v>-0.033276797408468714</v>
      </c>
      <c r="T806" s="53">
        <v>128000.0</v>
      </c>
      <c r="U806" s="53">
        <v>127828.45469903998</v>
      </c>
      <c r="V806" s="53">
        <v>-12392.170300959988</v>
      </c>
    </row>
    <row r="807">
      <c r="A807" s="55">
        <v>44671.0</v>
      </c>
      <c r="B807" s="48">
        <v>4.355085</v>
      </c>
      <c r="C807" s="7">
        <v>-0.15651124003438543</v>
      </c>
      <c r="D807" s="49">
        <v>-0.21530000000000005</v>
      </c>
      <c r="E807" s="62">
        <v>105.6</v>
      </c>
      <c r="F807" s="7">
        <v>-0.025966437773071727</v>
      </c>
      <c r="G807" s="49">
        <v>-0.06732794937538678</v>
      </c>
      <c r="H807" s="53">
        <v>29244.12153130173</v>
      </c>
      <c r="I807" s="7">
        <v>-0.13390630104093038</v>
      </c>
      <c r="J807" s="7">
        <v>0.8555698684101617</v>
      </c>
      <c r="K807" s="53">
        <v>4936.747397198269</v>
      </c>
      <c r="L807" s="7">
        <v>-0.02260493899345505</v>
      </c>
      <c r="M807" s="7">
        <v>0.14443013158983825</v>
      </c>
      <c r="N807" s="52">
        <v>-0.1305448022613137</v>
      </c>
      <c r="O807" s="7">
        <v>-0.14797205062461327</v>
      </c>
      <c r="P807" s="53">
        <v>113.22307763943324</v>
      </c>
      <c r="Q807" s="13">
        <v>323.6824709138258</v>
      </c>
      <c r="R807" s="13">
        <v>384.72796992856894</v>
      </c>
      <c r="S807" s="7">
        <v>-0.1495114311966199</v>
      </c>
      <c r="T807" s="53">
        <v>39500.0</v>
      </c>
      <c r="U807" s="53">
        <v>34180.8689285</v>
      </c>
      <c r="V807" s="53">
        <v>-9378.286071499999</v>
      </c>
    </row>
    <row r="808">
      <c r="A808" s="55">
        <v>44670.0</v>
      </c>
      <c r="B808" s="48">
        <v>5.2237223821908385</v>
      </c>
      <c r="C808" s="7">
        <v>0.222569298665229</v>
      </c>
      <c r="D808" s="49">
        <v>-0.05878875996561461</v>
      </c>
      <c r="E808" s="62">
        <v>108.54</v>
      </c>
      <c r="F808" s="7">
        <v>0.05537740300583649</v>
      </c>
      <c r="G808" s="49">
        <v>-0.04136151160231505</v>
      </c>
      <c r="H808" s="53">
        <v>35201.951504276156</v>
      </c>
      <c r="I808" s="7">
        <v>0.19110209421702065</v>
      </c>
      <c r="J808" s="7">
        <v>0.8586183959920779</v>
      </c>
      <c r="K808" s="53">
        <v>5796.414788123839</v>
      </c>
      <c r="L808" s="7">
        <v>0.03146720444820836</v>
      </c>
      <c r="M808" s="7">
        <v>0.14138160400792213</v>
      </c>
      <c r="N808" s="52">
        <v>0.16719189565939252</v>
      </c>
      <c r="O808" s="7">
        <v>-0.017427248363299563</v>
      </c>
      <c r="P808" s="53">
        <v>113.22307763943324</v>
      </c>
      <c r="Q808" s="13">
        <v>377.7258733407038</v>
      </c>
      <c r="R808" s="13">
        <v>384.72796992856894</v>
      </c>
      <c r="S808" s="7">
        <v>-0.0075102414085654245</v>
      </c>
      <c r="T808" s="53">
        <v>39500.0</v>
      </c>
      <c r="U808" s="53">
        <v>40998.366292399995</v>
      </c>
      <c r="V808" s="53">
        <v>-2560.7887076000043</v>
      </c>
    </row>
    <row r="809">
      <c r="A809" s="47">
        <v>44669.0</v>
      </c>
      <c r="B809" s="48">
        <v>3.9884627745988177</v>
      </c>
      <c r="C809" s="7">
        <v>4.419413691564289E-4</v>
      </c>
      <c r="D809" s="49">
        <v>-0.2813580586308436</v>
      </c>
      <c r="E809" s="62">
        <v>102.27</v>
      </c>
      <c r="F809" s="7">
        <v>0.016162782695483324</v>
      </c>
      <c r="G809" s="49">
        <v>-0.09673891460815154</v>
      </c>
      <c r="H809" s="53">
        <v>26674.187986748635</v>
      </c>
      <c r="I809" s="7">
        <v>3.7658572905076016E-4</v>
      </c>
      <c r="J809" s="7">
        <v>0.852116944312277</v>
      </c>
      <c r="K809" s="53">
        <v>4629.247726851365</v>
      </c>
      <c r="L809" s="7">
        <v>6.53556401056687E-5</v>
      </c>
      <c r="M809" s="7">
        <v>0.14788305568772298</v>
      </c>
      <c r="N809" s="52">
        <v>-0.015720841326326895</v>
      </c>
      <c r="O809" s="7">
        <v>-0.18461914402269208</v>
      </c>
      <c r="P809" s="53">
        <v>113.22307763943324</v>
      </c>
      <c r="Q809" s="13">
        <v>306.0862003872103</v>
      </c>
      <c r="R809" s="13">
        <v>384.72796992856894</v>
      </c>
      <c r="S809" s="7">
        <v>-0.19574633200606958</v>
      </c>
      <c r="T809" s="53">
        <v>39500.0</v>
      </c>
      <c r="U809" s="53">
        <v>31303.435713599996</v>
      </c>
      <c r="V809" s="53">
        <v>-12255.719286400003</v>
      </c>
    </row>
    <row r="810">
      <c r="A810" s="55">
        <v>44668.0</v>
      </c>
      <c r="B810" s="48">
        <v>3.9860099999999994</v>
      </c>
      <c r="C810" s="7">
        <v>0.013917352607690003</v>
      </c>
      <c r="D810" s="49">
        <v>-0.28180000000000005</v>
      </c>
      <c r="E810" s="62">
        <v>100.44</v>
      </c>
      <c r="F810" s="7">
        <v>-0.016516067563144166</v>
      </c>
      <c r="G810" s="49">
        <v>-0.11290169730363486</v>
      </c>
      <c r="H810" s="53">
        <v>26598.42083494931</v>
      </c>
      <c r="I810" s="7">
        <v>0.011832803064422127</v>
      </c>
      <c r="J810" s="7">
        <v>0.8502193914296557</v>
      </c>
      <c r="K810" s="53">
        <v>4685.764286050689</v>
      </c>
      <c r="L810" s="7">
        <v>0.0020845495432678766</v>
      </c>
      <c r="M810" s="7">
        <v>0.14978060857034428</v>
      </c>
      <c r="N810" s="52">
        <v>0.03043342017083417</v>
      </c>
      <c r="O810" s="7">
        <v>-0.1688983026963652</v>
      </c>
      <c r="P810" s="53">
        <v>113.22307763943324</v>
      </c>
      <c r="Q810" s="13">
        <v>311.47137715053765</v>
      </c>
      <c r="R810" s="13">
        <v>384.72796992856894</v>
      </c>
      <c r="S810" s="7">
        <v>-0.18159656583162992</v>
      </c>
      <c r="T810" s="53">
        <v>39500.0</v>
      </c>
      <c r="U810" s="53">
        <v>31284.185121</v>
      </c>
      <c r="V810" s="53">
        <v>-12274.969879</v>
      </c>
    </row>
    <row r="811">
      <c r="A811" s="55">
        <v>44667.0</v>
      </c>
      <c r="B811" s="48">
        <v>3.90876869302732</v>
      </c>
      <c r="C811" s="7">
        <v>0.009472126295017258</v>
      </c>
      <c r="D811" s="49">
        <v>-0.29571735260769005</v>
      </c>
      <c r="E811" s="62">
        <v>102.31</v>
      </c>
      <c r="F811" s="7">
        <v>0.008478836823860192</v>
      </c>
      <c r="G811" s="49">
        <v>-0.0963856297404907</v>
      </c>
      <c r="H811" s="53">
        <v>26142.47939422329</v>
      </c>
      <c r="I811" s="7">
        <v>0.008071752185919052</v>
      </c>
      <c r="J811" s="7">
        <v>0.8521584208780174</v>
      </c>
      <c r="K811" s="53">
        <v>4535.477607348683</v>
      </c>
      <c r="L811" s="7">
        <v>0.0014003741090982057</v>
      </c>
      <c r="M811" s="7">
        <v>0.1478415791219826</v>
      </c>
      <c r="N811" s="52">
        <v>9.932894711570661E-4</v>
      </c>
      <c r="O811" s="7">
        <v>-0.19933172286719936</v>
      </c>
      <c r="P811" s="53">
        <v>113.22307763943324</v>
      </c>
      <c r="Q811" s="13">
        <v>299.8529664898052</v>
      </c>
      <c r="R811" s="13">
        <v>384.72796992856894</v>
      </c>
      <c r="S811" s="7">
        <v>-0.21212440203702937</v>
      </c>
      <c r="T811" s="53">
        <v>39500.0</v>
      </c>
      <c r="U811" s="53">
        <v>30677.957001571973</v>
      </c>
      <c r="V811" s="53">
        <v>-12881.197998428026</v>
      </c>
    </row>
    <row r="812">
      <c r="A812" s="55">
        <v>44666.0</v>
      </c>
      <c r="B812" s="48">
        <v>3.8561983920899743</v>
      </c>
      <c r="C812" s="7">
        <v>0.006055191582291064</v>
      </c>
      <c r="D812" s="49">
        <v>-0.3051894789027073</v>
      </c>
      <c r="E812" s="62">
        <v>101.35</v>
      </c>
      <c r="F812" s="7">
        <v>0.005387594231827775</v>
      </c>
      <c r="G812" s="49">
        <v>-0.10486446656435089</v>
      </c>
      <c r="H812" s="53">
        <v>25760.75341379873</v>
      </c>
      <c r="I812" s="7">
        <v>0.005153954931637416</v>
      </c>
      <c r="J812" s="7">
        <v>0.8511629833002489</v>
      </c>
      <c r="K812" s="53">
        <v>4504.605770309012</v>
      </c>
      <c r="L812" s="7">
        <v>9.01236650653648E-4</v>
      </c>
      <c r="M812" s="7">
        <v>0.1488370166997512</v>
      </c>
      <c r="N812" s="52">
        <v>6.675973504632893E-4</v>
      </c>
      <c r="O812" s="7">
        <v>-0.20032501233835642</v>
      </c>
      <c r="P812" s="53">
        <v>113.22307763943324</v>
      </c>
      <c r="Q812" s="13">
        <v>298.6221922457597</v>
      </c>
      <c r="R812" s="13">
        <v>384.72796992856894</v>
      </c>
      <c r="S812" s="7">
        <v>-0.21535831032493602</v>
      </c>
      <c r="T812" s="53">
        <v>39500.0</v>
      </c>
      <c r="U812" s="53">
        <v>30265.359184107743</v>
      </c>
      <c r="V812" s="53">
        <v>-13293.795815892256</v>
      </c>
    </row>
    <row r="813">
      <c r="A813" s="55">
        <v>44665.0</v>
      </c>
      <c r="B813" s="48">
        <v>3.822592078808259</v>
      </c>
      <c r="C813" s="7">
        <v>-0.09338671966188661</v>
      </c>
      <c r="D813" s="49">
        <v>-0.3112446704849984</v>
      </c>
      <c r="E813" s="62">
        <v>100.74</v>
      </c>
      <c r="F813" s="7">
        <v>-0.036211698935236014</v>
      </c>
      <c r="G813" s="49">
        <v>-0.11025206079617866</v>
      </c>
      <c r="H813" s="53">
        <v>25517.2749511158</v>
      </c>
      <c r="I813" s="7">
        <v>-0.07942825016167109</v>
      </c>
      <c r="J813" s="7">
        <v>0.8505304656727084</v>
      </c>
      <c r="K813" s="53">
        <v>4484.32520430423</v>
      </c>
      <c r="L813" s="7">
        <v>-0.013958469500215514</v>
      </c>
      <c r="M813" s="7">
        <v>0.14946953432729157</v>
      </c>
      <c r="N813" s="52">
        <v>-0.057175020726650594</v>
      </c>
      <c r="O813" s="7">
        <v>-0.2009926096888197</v>
      </c>
      <c r="P813" s="53">
        <v>113.22307763943324</v>
      </c>
      <c r="Q813" s="13">
        <v>297.81219133829694</v>
      </c>
      <c r="R813" s="13">
        <v>384.72796992856894</v>
      </c>
      <c r="S813" s="7">
        <v>-0.21748661993210305</v>
      </c>
      <c r="T813" s="53">
        <v>39500.0</v>
      </c>
      <c r="U813" s="53">
        <v>30001.60015542003</v>
      </c>
      <c r="V813" s="53">
        <v>-13557.554844579969</v>
      </c>
    </row>
    <row r="814">
      <c r="A814" s="55">
        <v>44664.0</v>
      </c>
      <c r="B814" s="48">
        <v>4.34088837293173</v>
      </c>
      <c r="C814" s="7">
        <v>0.012946859903381513</v>
      </c>
      <c r="D814" s="49">
        <v>-0.21785795082311177</v>
      </c>
      <c r="E814" s="62">
        <v>104.84</v>
      </c>
      <c r="F814" s="7">
        <v>0.011835043066638073</v>
      </c>
      <c r="G814" s="49">
        <v>-0.07404036186094265</v>
      </c>
      <c r="H814" s="53">
        <v>29121.943485201846</v>
      </c>
      <c r="I814" s="7">
        <v>0.011066740389428559</v>
      </c>
      <c r="J814" s="7">
        <v>0.854781813661095</v>
      </c>
      <c r="K814" s="53">
        <v>4947.503266911852</v>
      </c>
      <c r="L814" s="7">
        <v>0.0018801195139529555</v>
      </c>
      <c r="M814" s="7">
        <v>0.1452181863389051</v>
      </c>
      <c r="N814" s="52">
        <v>0.00111181683674344</v>
      </c>
      <c r="O814" s="7">
        <v>-0.14381758896216912</v>
      </c>
      <c r="P814" s="53">
        <v>113.22307763943324</v>
      </c>
      <c r="Q814" s="13">
        <v>324.9661078988334</v>
      </c>
      <c r="R814" s="13">
        <v>384.72796992856894</v>
      </c>
      <c r="S814" s="7">
        <v>-0.14613862395389202</v>
      </c>
      <c r="T814" s="53">
        <v>39500.0</v>
      </c>
      <c r="U814" s="53">
        <v>34069.4467521137</v>
      </c>
      <c r="V814" s="53">
        <v>-9489.708247886301</v>
      </c>
    </row>
    <row r="815">
      <c r="A815" s="55">
        <v>44663.0</v>
      </c>
      <c r="B815" s="48">
        <v>4.269033300467962</v>
      </c>
      <c r="C815" s="7">
        <v>0.0407239819004529</v>
      </c>
      <c r="D815" s="49">
        <v>-0.23080481072649328</v>
      </c>
      <c r="E815" s="62">
        <v>103.5</v>
      </c>
      <c r="F815" s="7">
        <v>0.03577009285065991</v>
      </c>
      <c r="G815" s="49">
        <v>-0.08587540492758072</v>
      </c>
      <c r="H815" s="53">
        <v>28593.33091773058</v>
      </c>
      <c r="I815" s="7">
        <v>0.03475353456280188</v>
      </c>
      <c r="J815" s="7">
        <v>0.853392348708793</v>
      </c>
      <c r="K815" s="53">
        <v>4912.161557088424</v>
      </c>
      <c r="L815" s="7">
        <v>0.005970447337651023</v>
      </c>
      <c r="M815" s="7">
        <v>0.14660765129120698</v>
      </c>
      <c r="N815" s="52">
        <v>0.004953889049792992</v>
      </c>
      <c r="O815" s="7">
        <v>-0.14492940579891256</v>
      </c>
      <c r="P815" s="53">
        <v>113.22307763943324</v>
      </c>
      <c r="Q815" s="13">
        <v>323.7245649740967</v>
      </c>
      <c r="R815" s="13">
        <v>384.72796992856894</v>
      </c>
      <c r="S815" s="7">
        <v>-0.14940082737870578</v>
      </c>
      <c r="T815" s="53">
        <v>39500.0</v>
      </c>
      <c r="U815" s="53">
        <v>33505.49247481901</v>
      </c>
      <c r="V815" s="53">
        <v>-10053.66252518099</v>
      </c>
    </row>
    <row r="816">
      <c r="A816" s="47">
        <v>44662.0</v>
      </c>
      <c r="B816" s="48">
        <v>4.043015200920449</v>
      </c>
      <c r="C816" s="7">
        <v>-0.17842879262694622</v>
      </c>
      <c r="D816" s="49">
        <v>-0.2715287926269462</v>
      </c>
      <c r="E816" s="62">
        <v>99.45</v>
      </c>
      <c r="F816" s="7">
        <v>-0.11234458791614665</v>
      </c>
      <c r="G816" s="49">
        <v>-0.12164549777824063</v>
      </c>
      <c r="H816" s="53">
        <v>26946.23943333331</v>
      </c>
      <c r="I816" s="7">
        <v>-0.1515204542955132</v>
      </c>
      <c r="J816" s="7">
        <v>0.8491928464275819</v>
      </c>
      <c r="K816" s="53">
        <v>4785.350801666689</v>
      </c>
      <c r="L816" s="7">
        <v>-0.026908338331433034</v>
      </c>
      <c r="M816" s="7">
        <v>0.15080715357241817</v>
      </c>
      <c r="N816" s="52">
        <v>-0.06608420471079957</v>
      </c>
      <c r="O816" s="7">
        <v>-0.14988329484870555</v>
      </c>
      <c r="P816" s="53">
        <v>113.22307763943324</v>
      </c>
      <c r="Q816" s="13">
        <v>319.070791704374</v>
      </c>
      <c r="R816" s="13">
        <v>384.72796992856894</v>
      </c>
      <c r="S816" s="7">
        <v>-0.16162880177759012</v>
      </c>
      <c r="T816" s="53">
        <v>39500.0</v>
      </c>
      <c r="U816" s="53">
        <v>31731.590234999996</v>
      </c>
      <c r="V816" s="53">
        <v>-11827.564765000003</v>
      </c>
    </row>
    <row r="817">
      <c r="A817" s="55">
        <v>44661.0</v>
      </c>
      <c r="B817" s="48">
        <v>5.033295</v>
      </c>
      <c r="C817" s="7">
        <v>-0.005122316409719163</v>
      </c>
      <c r="D817" s="49">
        <v>-0.09309999999999996</v>
      </c>
      <c r="E817" s="62">
        <v>112.17</v>
      </c>
      <c r="F817" s="7">
        <v>-0.007418982220877557</v>
      </c>
      <c r="G817" s="49">
        <v>-0.009300909862093976</v>
      </c>
      <c r="H817" s="53">
        <v>34067.379619470405</v>
      </c>
      <c r="I817" s="7">
        <v>-0.004417395489944907</v>
      </c>
      <c r="J817" s="7">
        <v>0.8623823943330153</v>
      </c>
      <c r="K817" s="53">
        <v>5436.418050029599</v>
      </c>
      <c r="L817" s="7">
        <v>-7.049209197742565E-4</v>
      </c>
      <c r="M817" s="7">
        <v>0.13761760566698467</v>
      </c>
      <c r="N817" s="52">
        <v>0.0022966658111583937</v>
      </c>
      <c r="O817" s="7">
        <v>-0.08379909013790598</v>
      </c>
      <c r="P817" s="53">
        <v>113.22307763943324</v>
      </c>
      <c r="Q817" s="13">
        <v>352.17792341535164</v>
      </c>
      <c r="R817" s="13">
        <v>384.72796992856894</v>
      </c>
      <c r="S817" s="7">
        <v>-0.07463849616554885</v>
      </c>
      <c r="T817" s="53">
        <v>39500.0</v>
      </c>
      <c r="U817" s="53">
        <v>39503.797669499996</v>
      </c>
      <c r="V817" s="53">
        <v>-4055.3573305000027</v>
      </c>
    </row>
    <row r="818">
      <c r="A818" s="55">
        <v>44660.0</v>
      </c>
      <c r="B818" s="48">
        <v>5.061723856073941</v>
      </c>
      <c r="C818" s="7">
        <v>-0.050103331095609605</v>
      </c>
      <c r="D818" s="49">
        <v>-0.0879776835902808</v>
      </c>
      <c r="E818" s="62">
        <v>113.01</v>
      </c>
      <c r="F818" s="7">
        <v>0.007683945871623243</v>
      </c>
      <c r="G818" s="49">
        <v>-0.0018819276412164188</v>
      </c>
      <c r="H818" s="53">
        <v>34294.40009596078</v>
      </c>
      <c r="I818" s="7">
        <v>-0.043251871030517586</v>
      </c>
      <c r="J818" s="7">
        <v>0.8632534022135628</v>
      </c>
      <c r="K818" s="53">
        <v>5432.521347989219</v>
      </c>
      <c r="L818" s="7">
        <v>-0.0068514600650920205</v>
      </c>
      <c r="M818" s="7">
        <v>0.13674659778643725</v>
      </c>
      <c r="N818" s="52">
        <v>-0.05778727696723285</v>
      </c>
      <c r="O818" s="7">
        <v>-0.08609575594906438</v>
      </c>
      <c r="P818" s="53">
        <v>113.22307763943324</v>
      </c>
      <c r="Q818" s="13">
        <v>351.53456724139454</v>
      </c>
      <c r="R818" s="13">
        <v>384.72796992856894</v>
      </c>
      <c r="S818" s="7">
        <v>-0.07632894010610215</v>
      </c>
      <c r="T818" s="53">
        <v>39500.0</v>
      </c>
      <c r="U818" s="53">
        <v>39726.92144395</v>
      </c>
      <c r="V818" s="53">
        <v>-3832.2335560499996</v>
      </c>
    </row>
    <row r="819">
      <c r="A819" s="47">
        <v>44659.0</v>
      </c>
      <c r="B819" s="48">
        <v>5.339797343654575</v>
      </c>
      <c r="C819" s="7">
        <v>-0.07127435249467129</v>
      </c>
      <c r="D819" s="49">
        <v>-0.03787435249467119</v>
      </c>
      <c r="E819" s="68">
        <v>112.14</v>
      </c>
      <c r="F819" s="7">
        <v>-0.07189347056898066</v>
      </c>
      <c r="G819" s="49">
        <v>-0.009565873512839662</v>
      </c>
      <c r="H819" s="53">
        <v>36140.60795691554</v>
      </c>
      <c r="I819" s="7">
        <v>-0.06146352959736482</v>
      </c>
      <c r="J819" s="7">
        <v>0.8623512869087101</v>
      </c>
      <c r="K819" s="53">
        <v>5768.772252244446</v>
      </c>
      <c r="L819" s="7">
        <v>-0.00981082289730647</v>
      </c>
      <c r="M819" s="7">
        <v>0.1376487130912899</v>
      </c>
      <c r="N819" s="52">
        <v>6.19118074309366E-4</v>
      </c>
      <c r="O819" s="7">
        <v>-0.02830847898183153</v>
      </c>
      <c r="P819" s="53">
        <v>113.22307763943324</v>
      </c>
      <c r="Q819" s="13">
        <v>373.7237400495808</v>
      </c>
      <c r="R819" s="13">
        <v>384.72796992856894</v>
      </c>
      <c r="S819" s="7">
        <v>-0.01802600584065839</v>
      </c>
      <c r="T819" s="53">
        <v>39500.0</v>
      </c>
      <c r="U819" s="53">
        <v>41909.38020915999</v>
      </c>
      <c r="V819" s="53">
        <v>-1649.7747908400124</v>
      </c>
    </row>
    <row r="820">
      <c r="A820" s="55">
        <v>44658.0</v>
      </c>
      <c r="B820" s="48">
        <v>5.7353700000000005</v>
      </c>
      <c r="C820" s="7">
        <v>-0.10299999999999976</v>
      </c>
      <c r="D820" s="49">
        <v>0.033400000000000096</v>
      </c>
      <c r="E820" s="62">
        <v>120.28</v>
      </c>
      <c r="F820" s="7">
        <v>-0.08028398617592547</v>
      </c>
      <c r="G820" s="49">
        <v>0.06232759705614099</v>
      </c>
      <c r="H820" s="53">
        <v>39197.84744677003</v>
      </c>
      <c r="I820" s="7">
        <v>-0.08969155210779767</v>
      </c>
      <c r="J820" s="7">
        <v>0.8707917680368726</v>
      </c>
      <c r="K820" s="53">
        <v>5816.183330229971</v>
      </c>
      <c r="L820" s="7">
        <v>-0.01330844789220209</v>
      </c>
      <c r="M820" s="7">
        <v>0.1292082319631274</v>
      </c>
      <c r="N820" s="52">
        <v>-0.022716013824074288</v>
      </c>
      <c r="O820" s="7">
        <v>-0.028927597056140897</v>
      </c>
      <c r="P820" s="53">
        <v>113.22307763943324</v>
      </c>
      <c r="Q820" s="13">
        <v>374.2436878699701</v>
      </c>
      <c r="R820" s="13">
        <v>384.72796992856894</v>
      </c>
      <c r="S820" s="7">
        <v>-0.016659822258436992</v>
      </c>
      <c r="T820" s="53">
        <v>39500.0</v>
      </c>
      <c r="U820" s="53">
        <v>45014.030777</v>
      </c>
      <c r="V820" s="53">
        <v>1454.875777000001</v>
      </c>
    </row>
    <row r="821">
      <c r="A821" s="55">
        <v>44657.0</v>
      </c>
      <c r="B821" s="48">
        <v>6.307019999999999</v>
      </c>
      <c r="C821" s="7">
        <v>0.0</v>
      </c>
      <c r="D821" s="49">
        <v>0.13639999999999985</v>
      </c>
      <c r="E821" s="62">
        <v>129.37</v>
      </c>
      <c r="F821" s="7">
        <v>0.0</v>
      </c>
      <c r="G821" s="49">
        <v>0.14261158323206646</v>
      </c>
      <c r="H821" s="53">
        <v>43571.30624977787</v>
      </c>
      <c r="I821" s="7">
        <v>0.0</v>
      </c>
      <c r="J821" s="7">
        <v>0.8802173176013687</v>
      </c>
      <c r="K821" s="53">
        <v>5929.317492222137</v>
      </c>
      <c r="L821" s="7">
        <v>0.0</v>
      </c>
      <c r="M821" s="7">
        <v>0.11978268239863135</v>
      </c>
      <c r="N821" s="52">
        <v>0.0</v>
      </c>
      <c r="O821" s="7">
        <v>-0.006211583232066609</v>
      </c>
      <c r="P821" s="53">
        <v>113.22307763943324</v>
      </c>
      <c r="Q821" s="13">
        <v>382.6283044136971</v>
      </c>
      <c r="R821" s="13">
        <v>384.72796992856894</v>
      </c>
      <c r="S821" s="7">
        <v>0.00537109126031835</v>
      </c>
      <c r="T821" s="53">
        <v>39500.0</v>
      </c>
      <c r="U821" s="53">
        <v>49500.623741999996</v>
      </c>
      <c r="V821" s="53">
        <v>5941.468741999997</v>
      </c>
    </row>
    <row r="822">
      <c r="A822" s="55">
        <v>44656.0</v>
      </c>
      <c r="B822" s="48">
        <v>6.307019999999999</v>
      </c>
      <c r="C822" s="7">
        <v>-0.009681192595219157</v>
      </c>
      <c r="D822" s="49">
        <v>0.13639999999999985</v>
      </c>
      <c r="E822" s="62">
        <v>129.37</v>
      </c>
      <c r="F822" s="7">
        <v>-0.01112847333131639</v>
      </c>
      <c r="G822" s="49">
        <v>0.14261158323206646</v>
      </c>
      <c r="H822" s="53">
        <v>43571.30624977787</v>
      </c>
      <c r="I822" s="7">
        <v>-0.00852155337734604</v>
      </c>
      <c r="J822" s="7">
        <v>0.8802173176013687</v>
      </c>
      <c r="K822" s="53">
        <v>5929.317492222137</v>
      </c>
      <c r="L822" s="7">
        <v>-0.0011596392178731178</v>
      </c>
      <c r="M822" s="7">
        <v>0.11978268239863135</v>
      </c>
      <c r="N822" s="52">
        <v>0.001447280736097234</v>
      </c>
      <c r="O822" s="7">
        <v>-0.006211583232066609</v>
      </c>
      <c r="P822" s="53">
        <v>113.22307763943324</v>
      </c>
      <c r="Q822" s="13">
        <v>382.6283044136971</v>
      </c>
      <c r="R822" s="13">
        <v>384.72796992856894</v>
      </c>
      <c r="S822" s="7">
        <v>0.00537109126031835</v>
      </c>
      <c r="T822" s="53">
        <v>39500.0</v>
      </c>
      <c r="U822" s="53">
        <v>49500.623741999996</v>
      </c>
      <c r="V822" s="53">
        <v>5941.468741999997</v>
      </c>
    </row>
    <row r="823">
      <c r="A823" s="55">
        <v>44655.0</v>
      </c>
      <c r="B823" s="48">
        <v>6.360750618903466</v>
      </c>
      <c r="C823" s="7">
        <v>-0.392018807404781</v>
      </c>
      <c r="D823" s="49">
        <v>0.146081192595219</v>
      </c>
      <c r="E823" s="68">
        <v>130.63</v>
      </c>
      <c r="F823" s="7">
        <v>-0.3184294844661424</v>
      </c>
      <c r="G823" s="49">
        <v>0.15374005656338285</v>
      </c>
      <c r="H823" s="53">
        <v>44007.72202624348</v>
      </c>
      <c r="I823" s="7">
        <v>-0.3455739203089825</v>
      </c>
      <c r="J823" s="7">
        <v>0.8815238294221899</v>
      </c>
      <c r="K823" s="53">
        <v>5914.606284596521</v>
      </c>
      <c r="L823" s="7">
        <v>-0.04644488709579854</v>
      </c>
      <c r="M823" s="7">
        <v>0.11847617057781015</v>
      </c>
      <c r="N823" s="52">
        <v>-0.07358932293863862</v>
      </c>
      <c r="O823" s="7">
        <v>-0.007658863968163843</v>
      </c>
      <c r="P823" s="53">
        <v>113.22307763943324</v>
      </c>
      <c r="Q823" s="13">
        <v>382.16587545617386</v>
      </c>
      <c r="R823" s="13">
        <v>384.72796992856894</v>
      </c>
      <c r="S823" s="7">
        <v>0.004156040778446946</v>
      </c>
      <c r="T823" s="53">
        <v>39500.0</v>
      </c>
      <c r="U823" s="53">
        <v>49922.32831083999</v>
      </c>
      <c r="V823" s="53">
        <v>6363.173310839993</v>
      </c>
    </row>
    <row r="824">
      <c r="A824" s="55">
        <v>44654.0</v>
      </c>
      <c r="B824" s="48">
        <v>8.536455</v>
      </c>
      <c r="C824" s="7">
        <v>0.06399999999999983</v>
      </c>
      <c r="D824" s="49">
        <v>0.5381</v>
      </c>
      <c r="E824" s="62">
        <v>138.28</v>
      </c>
      <c r="F824" s="7">
        <v>-0.019752334296978757</v>
      </c>
      <c r="G824" s="49">
        <v>0.47216954102952524</v>
      </c>
      <c r="H824" s="53">
        <v>27080.983753228866</v>
      </c>
      <c r="I824" s="7">
        <v>0.05692519824768197</v>
      </c>
      <c r="J824" s="7">
        <v>0.8894562226200331</v>
      </c>
      <c r="K824" s="53">
        <v>3365.6903657711373</v>
      </c>
      <c r="L824" s="7">
        <v>0.007074801752317866</v>
      </c>
      <c r="M824" s="7">
        <v>0.11054377737996694</v>
      </c>
      <c r="N824" s="52">
        <v>0.08375233429697859</v>
      </c>
      <c r="O824" s="7">
        <v>0.06593045897047478</v>
      </c>
      <c r="P824" s="53">
        <v>93.92939885395083</v>
      </c>
      <c r="Q824" s="13">
        <v>220.18132860138851</v>
      </c>
      <c r="R824" s="13">
        <v>210.746021625426</v>
      </c>
      <c r="S824" s="7">
        <v>0.06325800120625501</v>
      </c>
      <c r="T824" s="53">
        <v>18000.0</v>
      </c>
      <c r="U824" s="53">
        <v>30446.674119000003</v>
      </c>
      <c r="V824" s="53">
        <v>10651.684119000001</v>
      </c>
    </row>
    <row r="825">
      <c r="A825" s="55">
        <v>44653.0</v>
      </c>
      <c r="B825" s="48">
        <v>8.181255</v>
      </c>
      <c r="C825" s="7">
        <v>-0.020269386177953708</v>
      </c>
      <c r="D825" s="49">
        <v>0.4741000000000002</v>
      </c>
      <c r="E825" s="62">
        <v>137.48</v>
      </c>
      <c r="F825" s="7">
        <v>-0.02193595806204507</v>
      </c>
      <c r="G825" s="49">
        <v>0.491921875326504</v>
      </c>
      <c r="H825" s="53">
        <v>24482.661169853927</v>
      </c>
      <c r="I825" s="7">
        <v>-0.018011917574102882</v>
      </c>
      <c r="J825" s="7">
        <v>0.888626691305226</v>
      </c>
      <c r="K825" s="53">
        <v>3068.4594631460677</v>
      </c>
      <c r="L825" s="7">
        <v>-0.002257468603850825</v>
      </c>
      <c r="M825" s="7">
        <v>0.11137330869477408</v>
      </c>
      <c r="N825" s="52">
        <v>0.0016665718840913613</v>
      </c>
      <c r="O825" s="7">
        <v>-0.01782187532650381</v>
      </c>
      <c r="P825" s="53">
        <v>92.14959729034925</v>
      </c>
      <c r="Q825" s="13">
        <v>200.40093564882164</v>
      </c>
      <c r="R825" s="13">
        <v>202.82576695887184</v>
      </c>
      <c r="S825" s="7">
        <v>0.006337442365323105</v>
      </c>
      <c r="T825" s="53">
        <v>17000.0</v>
      </c>
      <c r="U825" s="53">
        <v>27551.120633</v>
      </c>
      <c r="V825" s="53">
        <v>8860.990633000001</v>
      </c>
    </row>
    <row r="826">
      <c r="A826" s="55">
        <v>44652.0</v>
      </c>
      <c r="B826" s="48">
        <v>8.293750093287644</v>
      </c>
      <c r="C826" s="7">
        <v>0.08304585023044142</v>
      </c>
      <c r="D826" s="49">
        <v>0.4943693861779539</v>
      </c>
      <c r="E826" s="68">
        <v>136.69</v>
      </c>
      <c r="F826" s="7">
        <v>0.11262840815240649</v>
      </c>
      <c r="G826" s="49">
        <v>0.5138578333885491</v>
      </c>
      <c r="H826" s="53">
        <v>23330.17108390673</v>
      </c>
      <c r="I826" s="7">
        <v>0.0737287310977422</v>
      </c>
      <c r="J826" s="7">
        <v>0.8878075291318539</v>
      </c>
      <c r="K826" s="53">
        <v>2948.2398535632747</v>
      </c>
      <c r="L826" s="7">
        <v>0.00931711913269922</v>
      </c>
      <c r="M826" s="7">
        <v>0.11219247086814607</v>
      </c>
      <c r="N826" s="52">
        <v>-0.02958255792196507</v>
      </c>
      <c r="O826" s="7">
        <v>-0.019488447210595172</v>
      </c>
      <c r="P826" s="53">
        <v>90.29249443723486</v>
      </c>
      <c r="Q826" s="13">
        <v>192.24823277101476</v>
      </c>
      <c r="R826" s="13">
        <v>194.75622911525778</v>
      </c>
      <c r="S826" s="7">
        <v>0.006497087113037122</v>
      </c>
      <c r="T826" s="53">
        <v>15999.999999999998</v>
      </c>
      <c r="U826" s="53">
        <v>26278.410937470006</v>
      </c>
      <c r="V826" s="53">
        <v>8693.460937470009</v>
      </c>
    </row>
    <row r="827">
      <c r="A827" s="55">
        <v>44651.0</v>
      </c>
      <c r="B827" s="48">
        <v>7.832845624508694</v>
      </c>
      <c r="C827" s="7">
        <v>0.015323535947512346</v>
      </c>
      <c r="D827" s="49">
        <v>0.4113235359475125</v>
      </c>
      <c r="E827" s="69">
        <v>124.19</v>
      </c>
      <c r="F827" s="7">
        <v>-0.015105836626716052</v>
      </c>
      <c r="G827" s="49">
        <v>0.4012294252361426</v>
      </c>
      <c r="H827" s="53">
        <v>20347.03920929136</v>
      </c>
      <c r="I827" s="7">
        <v>0.01340573569771729</v>
      </c>
      <c r="J827" s="7">
        <v>0.8748461023379924</v>
      </c>
      <c r="K827" s="53">
        <v>2910.8105484142325</v>
      </c>
      <c r="L827" s="7">
        <v>0.0019178002497950535</v>
      </c>
      <c r="M827" s="7">
        <v>0.12515389766200752</v>
      </c>
      <c r="N827" s="52">
        <v>0.030429372574228397</v>
      </c>
      <c r="O827" s="7">
        <v>0.010094110711369897</v>
      </c>
      <c r="P827" s="53">
        <v>88.62931206220627</v>
      </c>
      <c r="Q827" s="13">
        <v>187.27634880188094</v>
      </c>
      <c r="R827" s="13">
        <v>185.93672636632638</v>
      </c>
      <c r="S827" s="7">
        <v>0.02788651995093353</v>
      </c>
      <c r="T827" s="53">
        <v>14999.999999999998</v>
      </c>
      <c r="U827" s="53">
        <v>23257.849757705593</v>
      </c>
      <c r="V827" s="53">
        <v>6778.389757705594</v>
      </c>
    </row>
    <row r="828">
      <c r="A828" s="55">
        <v>44650.0</v>
      </c>
      <c r="B828" s="48">
        <v>7.747800000000001</v>
      </c>
      <c r="C828" s="7">
        <v>0.11970000000000014</v>
      </c>
      <c r="D828" s="49">
        <v>0.39600000000000013</v>
      </c>
      <c r="E828" s="70">
        <v>122.92</v>
      </c>
      <c r="F828" s="7">
        <v>0.12075491005794636</v>
      </c>
      <c r="G828" s="49">
        <v>0.41633526186285863</v>
      </c>
      <c r="H828" s="53">
        <v>18746.348243457214</v>
      </c>
      <c r="I828" s="7">
        <v>0.10456144779867572</v>
      </c>
      <c r="J828" s="7">
        <v>0.8735292213757361</v>
      </c>
      <c r="K828" s="53">
        <v>2714.122436542788</v>
      </c>
      <c r="L828" s="7">
        <v>0.015138552201324417</v>
      </c>
      <c r="M828" s="7">
        <v>0.12647077862426398</v>
      </c>
      <c r="N828" s="52">
        <v>-0.0010549100579462234</v>
      </c>
      <c r="O828" s="7">
        <v>-0.0203352618628585</v>
      </c>
      <c r="P828" s="53">
        <v>86.78736123418082</v>
      </c>
      <c r="Q828" s="13">
        <v>174.58892515457214</v>
      </c>
      <c r="R828" s="13">
        <v>177.13000418576132</v>
      </c>
      <c r="S828" s="7">
        <v>0.007303607949718444</v>
      </c>
      <c r="T828" s="53">
        <v>13999.999999999998</v>
      </c>
      <c r="U828" s="53">
        <v>21460.470680000006</v>
      </c>
      <c r="V828" s="53">
        <v>6087.640680000002</v>
      </c>
    </row>
    <row r="829">
      <c r="A829" s="55">
        <v>44649.0</v>
      </c>
      <c r="B829" s="48">
        <v>7.0834649999999995</v>
      </c>
      <c r="C829" s="7">
        <v>0.028900000000000148</v>
      </c>
      <c r="D829" s="49">
        <v>0.2763</v>
      </c>
      <c r="E829" s="71">
        <v>112.44</v>
      </c>
      <c r="F829" s="7">
        <v>0.029151710157118593</v>
      </c>
      <c r="G829" s="49">
        <v>0.29558035180491227</v>
      </c>
      <c r="H829" s="53">
        <v>16925.731357738434</v>
      </c>
      <c r="I829" s="7">
        <v>0.024930942237286067</v>
      </c>
      <c r="J829" s="7">
        <v>0.8626623611517626</v>
      </c>
      <c r="K829" s="53">
        <v>2694.611571261572</v>
      </c>
      <c r="L829" s="7">
        <v>0.003969057762714082</v>
      </c>
      <c r="M829" s="7">
        <v>0.13733763884823744</v>
      </c>
      <c r="N829" s="52">
        <v>-2.5171015711844547E-4</v>
      </c>
      <c r="O829" s="7">
        <v>-0.019280351804912277</v>
      </c>
      <c r="P829" s="53">
        <v>86.78736123418082</v>
      </c>
      <c r="Q829" s="13">
        <v>174.49611285129853</v>
      </c>
      <c r="R829" s="13">
        <v>177.13000418576132</v>
      </c>
      <c r="S829" s="7">
        <v>0.006768120559170313</v>
      </c>
      <c r="T829" s="53">
        <v>13999.999999999998</v>
      </c>
      <c r="U829" s="53">
        <v>19620.342929000006</v>
      </c>
      <c r="V829" s="53">
        <v>4247.512929000002</v>
      </c>
    </row>
    <row r="830">
      <c r="A830" s="55">
        <v>44648.0</v>
      </c>
      <c r="B830" s="48">
        <v>6.923069999999999</v>
      </c>
      <c r="C830" s="7">
        <v>0.09949999999999992</v>
      </c>
      <c r="D830" s="49">
        <v>0.24739999999999984</v>
      </c>
      <c r="E830" s="71">
        <v>109.91</v>
      </c>
      <c r="F830" s="7">
        <v>0.10093635611713836</v>
      </c>
      <c r="G830" s="49">
        <v>0.2664286416477937</v>
      </c>
      <c r="H830" s="53">
        <v>16492.165862213293</v>
      </c>
      <c r="I830" s="7">
        <v>0.0855738773526841</v>
      </c>
      <c r="J830" s="7">
        <v>0.8600389683686851</v>
      </c>
      <c r="K830" s="53">
        <v>2683.902279786711</v>
      </c>
      <c r="L830" s="7">
        <v>0.013926122647315813</v>
      </c>
      <c r="M830" s="7">
        <v>0.13996103163131482</v>
      </c>
      <c r="N830" s="52">
        <v>-0.0014363561171384376</v>
      </c>
      <c r="O830" s="7">
        <v>-0.01902864164779383</v>
      </c>
      <c r="P830" s="53">
        <v>86.78736123418082</v>
      </c>
      <c r="Q830" s="13">
        <v>174.47064090619602</v>
      </c>
      <c r="R830" s="13">
        <v>177.13000418576132</v>
      </c>
      <c r="S830" s="7">
        <v>0.0066211583038008</v>
      </c>
      <c r="T830" s="53">
        <v>13999.999999999998</v>
      </c>
      <c r="U830" s="53">
        <v>19176.068142000004</v>
      </c>
      <c r="V830" s="53">
        <v>3803.238142</v>
      </c>
    </row>
    <row r="831">
      <c r="A831" s="55">
        <v>44647.0</v>
      </c>
      <c r="B831" s="48">
        <v>6.370844999999999</v>
      </c>
      <c r="C831" s="7">
        <v>0.011400000000000077</v>
      </c>
      <c r="D831" s="49">
        <v>0.14789999999999992</v>
      </c>
      <c r="E831" s="71">
        <v>101.15</v>
      </c>
      <c r="F831" s="7">
        <v>0.011983311685139775</v>
      </c>
      <c r="G831" s="49">
        <v>0.16549228553065531</v>
      </c>
      <c r="H831" s="53">
        <v>15016.363799991013</v>
      </c>
      <c r="I831" s="7">
        <v>0.0097008938453757</v>
      </c>
      <c r="J831" s="7">
        <v>0.850955600471547</v>
      </c>
      <c r="K831" s="53">
        <v>2630.107757008991</v>
      </c>
      <c r="L831" s="7">
        <v>0.001699106154624376</v>
      </c>
      <c r="M831" s="7">
        <v>0.14904439952845303</v>
      </c>
      <c r="N831" s="52">
        <v>-5.83311685139698E-4</v>
      </c>
      <c r="O831" s="7">
        <v>-0.017592285530655394</v>
      </c>
      <c r="P831" s="53">
        <v>86.78736123418082</v>
      </c>
      <c r="Q831" s="13">
        <v>174.45844347009395</v>
      </c>
      <c r="R831" s="13">
        <v>177.13000418576132</v>
      </c>
      <c r="S831" s="7">
        <v>0.0065507843016556246</v>
      </c>
      <c r="T831" s="53">
        <v>13999.999999999998</v>
      </c>
      <c r="U831" s="53">
        <v>17646.471557000004</v>
      </c>
      <c r="V831" s="53">
        <v>2273.641557000001</v>
      </c>
    </row>
    <row r="832">
      <c r="A832" s="55">
        <v>44646.0</v>
      </c>
      <c r="B832" s="48">
        <v>6.307574999999999</v>
      </c>
      <c r="C832" s="7">
        <v>0.07708529356372851</v>
      </c>
      <c r="D832" s="49">
        <v>0.13649999999999984</v>
      </c>
      <c r="E832" s="71">
        <v>100.11</v>
      </c>
      <c r="F832" s="7">
        <v>0.016822726019522838</v>
      </c>
      <c r="G832" s="49">
        <v>0.15350897384551554</v>
      </c>
      <c r="H832" s="53">
        <v>14848.392805334242</v>
      </c>
      <c r="I832" s="7">
        <v>0.06551303420764919</v>
      </c>
      <c r="J832" s="7">
        <v>0.8498772097622976</v>
      </c>
      <c r="K832" s="53">
        <v>2622.828489665764</v>
      </c>
      <c r="L832" s="7">
        <v>0.01157225935607932</v>
      </c>
      <c r="M832" s="7">
        <v>0.15012279023770234</v>
      </c>
      <c r="N832" s="52">
        <v>0.06026256754420567</v>
      </c>
      <c r="O832" s="7">
        <v>-0.017008973845515696</v>
      </c>
      <c r="P832" s="53">
        <v>86.78736123418082</v>
      </c>
      <c r="Q832" s="13">
        <v>174.52024068524625</v>
      </c>
      <c r="R832" s="13">
        <v>177.13000418576132</v>
      </c>
      <c r="S832" s="7">
        <v>0.006907327866655761</v>
      </c>
      <c r="T832" s="53">
        <v>13999.999999999998</v>
      </c>
      <c r="U832" s="53">
        <v>17471.221295000003</v>
      </c>
      <c r="V832" s="53">
        <v>2098.3912949999994</v>
      </c>
    </row>
    <row r="833">
      <c r="A833" s="55">
        <v>44645.0</v>
      </c>
      <c r="B833" s="48">
        <v>5.879751620721306</v>
      </c>
      <c r="C833" s="7">
        <v>0.03421079885146572</v>
      </c>
      <c r="D833" s="49">
        <v>0.059414706436271336</v>
      </c>
      <c r="E833" s="72">
        <v>98.65</v>
      </c>
      <c r="F833" s="7">
        <v>-0.04067412523898373</v>
      </c>
      <c r="G833" s="49">
        <v>0.1366862478259927</v>
      </c>
      <c r="H833" s="53">
        <v>13816.616473332173</v>
      </c>
      <c r="I833" s="7">
        <v>0.02902318672628576</v>
      </c>
      <c r="J833" s="7">
        <v>0.8483633151127746</v>
      </c>
      <c r="K833" s="53">
        <v>2469.5857082125367</v>
      </c>
      <c r="L833" s="7">
        <v>0.005187612125179957</v>
      </c>
      <c r="M833" s="7">
        <v>0.15163668488722531</v>
      </c>
      <c r="N833" s="52">
        <v>0.07488492409044945</v>
      </c>
      <c r="O833" s="7">
        <v>-0.07727154138972137</v>
      </c>
      <c r="P833" s="53">
        <v>86.78736123418082</v>
      </c>
      <c r="Q833" s="13">
        <v>165.09074689857786</v>
      </c>
      <c r="R833" s="13">
        <v>177.13000418576132</v>
      </c>
      <c r="S833" s="7">
        <v>-0.04749682809020779</v>
      </c>
      <c r="T833" s="53">
        <v>13999.999999999998</v>
      </c>
      <c r="U833" s="53">
        <v>16286.202181544708</v>
      </c>
      <c r="V833" s="53">
        <v>913.3721815447043</v>
      </c>
    </row>
    <row r="834">
      <c r="A834" s="55">
        <v>44644.0</v>
      </c>
      <c r="B834" s="48">
        <v>5.689881687095671</v>
      </c>
      <c r="C834" s="7">
        <v>0.010810279003514944</v>
      </c>
      <c r="D834" s="49">
        <v>0.025203907584805618</v>
      </c>
      <c r="E834" s="72">
        <v>102.18</v>
      </c>
      <c r="F834" s="7">
        <v>0.07290229868491016</v>
      </c>
      <c r="G834" s="49">
        <v>0.17736037306497643</v>
      </c>
      <c r="H834" s="53">
        <v>13428.135439496407</v>
      </c>
      <c r="I834" s="7">
        <v>0.009210613071830858</v>
      </c>
      <c r="J834" s="7">
        <v>0.8520236220393611</v>
      </c>
      <c r="K834" s="53">
        <v>2332.1499471405205</v>
      </c>
      <c r="L834" s="7">
        <v>0.0015996659316840865</v>
      </c>
      <c r="M834" s="7">
        <v>0.14797637796063892</v>
      </c>
      <c r="N834" s="52">
        <v>-0.062092019681395216</v>
      </c>
      <c r="O834" s="7">
        <v>-0.1521564654801708</v>
      </c>
      <c r="P834" s="53">
        <v>86.78736123418082</v>
      </c>
      <c r="Q834" s="13">
        <v>154.24041286589284</v>
      </c>
      <c r="R834" s="13">
        <v>177.13000418576132</v>
      </c>
      <c r="S834" s="7">
        <v>-0.11009862605022588</v>
      </c>
      <c r="T834" s="53">
        <v>13999.999999999998</v>
      </c>
      <c r="U834" s="53">
        <v>15760.28538663693</v>
      </c>
      <c r="V834" s="53">
        <v>387.45538663692605</v>
      </c>
    </row>
    <row r="835">
      <c r="A835" s="55">
        <v>44643.0</v>
      </c>
      <c r="B835" s="48">
        <v>5.629884638626163</v>
      </c>
      <c r="C835" s="7">
        <v>0.004158009275227581</v>
      </c>
      <c r="D835" s="49">
        <v>0.014393628581290674</v>
      </c>
      <c r="E835" s="72">
        <v>94.92</v>
      </c>
      <c r="F835" s="7">
        <v>0.04509182338969664</v>
      </c>
      <c r="G835" s="49">
        <v>0.10445807438006627</v>
      </c>
      <c r="H835" s="53">
        <v>12227.373521646872</v>
      </c>
      <c r="I835" s="7">
        <v>0.0035114206431255445</v>
      </c>
      <c r="J835" s="7">
        <v>0.8444956253574863</v>
      </c>
      <c r="K835" s="53">
        <v>2251.5333601630373</v>
      </c>
      <c r="L835" s="7">
        <v>6.465886321020364E-4</v>
      </c>
      <c r="M835" s="7">
        <v>0.15550437464251365</v>
      </c>
      <c r="N835" s="52">
        <v>-0.04093381411446906</v>
      </c>
      <c r="O835" s="7">
        <v>-0.0900644457987756</v>
      </c>
      <c r="P835" s="53">
        <v>85.94260135522003</v>
      </c>
      <c r="Q835" s="13">
        <v>152.53799917625273</v>
      </c>
      <c r="R835" s="13">
        <v>166.079137522887</v>
      </c>
      <c r="S835" s="7">
        <v>-0.06123413652631466</v>
      </c>
      <c r="T835" s="53">
        <v>12999.999999999998</v>
      </c>
      <c r="U835" s="53">
        <v>14478.90688180991</v>
      </c>
      <c r="V835" s="53">
        <v>205.44688180990852</v>
      </c>
    </row>
    <row r="836">
      <c r="A836" s="55">
        <v>44642.0</v>
      </c>
      <c r="B836" s="48">
        <v>5.60680768714865</v>
      </c>
      <c r="C836" s="7">
        <v>0.018135619306063</v>
      </c>
      <c r="D836" s="49">
        <v>0.010235619306063093</v>
      </c>
      <c r="E836" s="72">
        <v>90.5</v>
      </c>
      <c r="F836" s="7">
        <v>0.013036527267077824</v>
      </c>
      <c r="G836" s="49">
        <v>0.05936625099036963</v>
      </c>
      <c r="H836" s="53">
        <v>11179.927087787648</v>
      </c>
      <c r="I836" s="7">
        <v>0.015232332712812881</v>
      </c>
      <c r="J836" s="7">
        <v>0.8399124648431769</v>
      </c>
      <c r="K836" s="53">
        <v>2130.8970227642676</v>
      </c>
      <c r="L836" s="7">
        <v>0.0029032865932501193</v>
      </c>
      <c r="M836" s="7">
        <v>0.16008753515682306</v>
      </c>
      <c r="N836" s="52">
        <v>0.005099092038985176</v>
      </c>
      <c r="O836" s="7">
        <v>-0.049130631684306536</v>
      </c>
      <c r="P836" s="53">
        <v>85.4284341372913</v>
      </c>
      <c r="Q836" s="13">
        <v>147.08092939836374</v>
      </c>
      <c r="R836" s="13">
        <v>154.2316920955193</v>
      </c>
      <c r="S836" s="7">
        <v>-0.02548546448465924</v>
      </c>
      <c r="T836" s="53">
        <v>11999.999999999998</v>
      </c>
      <c r="U836" s="53">
        <v>13310.824110551917</v>
      </c>
      <c r="V836" s="53">
        <v>134.86411055191638</v>
      </c>
    </row>
    <row r="837">
      <c r="A837" s="55">
        <v>44641.0</v>
      </c>
      <c r="B837" s="48">
        <v>5.506155000000001</v>
      </c>
      <c r="C837" s="7">
        <v>-0.008700000000000041</v>
      </c>
      <c r="D837" s="49">
        <v>-0.007899999999999907</v>
      </c>
      <c r="E837" s="71">
        <v>88.76</v>
      </c>
      <c r="F837" s="7">
        <v>-0.011316770333194448</v>
      </c>
      <c r="G837" s="49">
        <v>0.046329723723291805</v>
      </c>
      <c r="H837" s="53">
        <v>10039.126755302113</v>
      </c>
      <c r="I837" s="7">
        <v>-0.007291541637831236</v>
      </c>
      <c r="J837" s="7">
        <v>0.8381082342334715</v>
      </c>
      <c r="K837" s="53">
        <v>1939.1910146978862</v>
      </c>
      <c r="L837" s="7">
        <v>-0.0014084583621688047</v>
      </c>
      <c r="M837" s="7">
        <v>0.16189176576652853</v>
      </c>
      <c r="N837" s="52">
        <v>0.002616770333194407</v>
      </c>
      <c r="O837" s="7">
        <v>-0.05422972372329171</v>
      </c>
      <c r="P837" s="53">
        <v>84.82985619882201</v>
      </c>
      <c r="Q837" s="13">
        <v>134.95175495718794</v>
      </c>
      <c r="R837" s="13">
        <v>142.32599312274812</v>
      </c>
      <c r="S837" s="7">
        <v>-0.03073583059542236</v>
      </c>
      <c r="T837" s="53">
        <v>10999.999999999998</v>
      </c>
      <c r="U837" s="53">
        <v>11978.317770000001</v>
      </c>
      <c r="V837" s="53">
        <v>-95.38222999999925</v>
      </c>
    </row>
    <row r="838">
      <c r="A838" s="55">
        <v>44640.0</v>
      </c>
      <c r="B838" s="48">
        <v>5.5544400000000005</v>
      </c>
      <c r="C838" s="7">
        <v>-9.999999999998899E-5</v>
      </c>
      <c r="D838" s="49">
        <v>8.000000000001339E-4</v>
      </c>
      <c r="E838" s="71">
        <v>89.72</v>
      </c>
      <c r="F838" s="7">
        <v>-3.5364907291235426E-4</v>
      </c>
      <c r="G838" s="49">
        <v>0.05764649405648625</v>
      </c>
      <c r="H838" s="53">
        <v>10139.190871149247</v>
      </c>
      <c r="I838" s="7">
        <v>-8.391036718111477E-5</v>
      </c>
      <c r="J838" s="7">
        <v>0.83910367181124</v>
      </c>
      <c r="K838" s="53">
        <v>1944.1680888507526</v>
      </c>
      <c r="L838" s="7">
        <v>-1.6089632818874218E-5</v>
      </c>
      <c r="M838" s="7">
        <v>0.1608963281887599</v>
      </c>
      <c r="N838" s="52">
        <v>2.5364907291236527E-4</v>
      </c>
      <c r="O838" s="7">
        <v>-0.05684649405648612</v>
      </c>
      <c r="P838" s="53">
        <v>84.82985619882201</v>
      </c>
      <c r="Q838" s="13">
        <v>134.67854391440036</v>
      </c>
      <c r="R838" s="13">
        <v>142.32599312274812</v>
      </c>
      <c r="S838" s="7">
        <v>-0.03269811463199285</v>
      </c>
      <c r="T838" s="53">
        <v>10999.999999999998</v>
      </c>
      <c r="U838" s="53">
        <v>12083.358960000001</v>
      </c>
      <c r="V838" s="53">
        <v>9.658960000000661</v>
      </c>
    </row>
    <row r="839">
      <c r="A839" s="55">
        <v>44639.0</v>
      </c>
      <c r="B839" s="48">
        <v>5.554995000000001</v>
      </c>
      <c r="C839" s="7">
        <v>0.009700000000000153</v>
      </c>
      <c r="D839" s="49">
        <v>9.000000000001229E-4</v>
      </c>
      <c r="E839" s="71">
        <v>89.75</v>
      </c>
      <c r="F839" s="7">
        <v>0.010373706138761651</v>
      </c>
      <c r="G839" s="49">
        <v>0.05800014312939861</v>
      </c>
      <c r="H839" s="53">
        <v>10140.579899481852</v>
      </c>
      <c r="I839" s="7">
        <v>0.008139607358584917</v>
      </c>
      <c r="J839" s="7">
        <v>0.8391347792355452</v>
      </c>
      <c r="K839" s="53">
        <v>1943.9864305181472</v>
      </c>
      <c r="L839" s="7">
        <v>0.0015603926414152363</v>
      </c>
      <c r="M839" s="7">
        <v>0.1608652207644548</v>
      </c>
      <c r="N839" s="52">
        <v>-6.737061387614984E-4</v>
      </c>
      <c r="O839" s="7">
        <v>-0.057100143129398484</v>
      </c>
      <c r="P839" s="53">
        <v>84.82985619882201</v>
      </c>
      <c r="Q839" s="13">
        <v>134.64697860724235</v>
      </c>
      <c r="R839" s="13">
        <v>142.32599312274812</v>
      </c>
      <c r="S839" s="7">
        <v>-0.032924826179643506</v>
      </c>
      <c r="T839" s="53">
        <v>10999.999999999998</v>
      </c>
      <c r="U839" s="53">
        <v>12084.566330000001</v>
      </c>
      <c r="V839" s="53">
        <v>10.866330000000744</v>
      </c>
    </row>
    <row r="840">
      <c r="A840" s="55">
        <v>44638.0</v>
      </c>
      <c r="B840" s="48">
        <v>5.50116</v>
      </c>
      <c r="C840" s="7">
        <v>-0.0016999999999999238</v>
      </c>
      <c r="D840" s="49">
        <v>-0.00880000000000003</v>
      </c>
      <c r="E840" s="71">
        <v>88.87</v>
      </c>
      <c r="F840" s="7">
        <v>-0.0023150156596556393</v>
      </c>
      <c r="G840" s="49">
        <v>0.047626436990636956</v>
      </c>
      <c r="H840" s="53">
        <v>10031.384608815802</v>
      </c>
      <c r="I840" s="7">
        <v>-0.0014249779011416737</v>
      </c>
      <c r="J840" s="7">
        <v>0.8382222947892574</v>
      </c>
      <c r="K840" s="53">
        <v>1936.0668311841982</v>
      </c>
      <c r="L840" s="7">
        <v>-2.7502209885825024E-4</v>
      </c>
      <c r="M840" s="7">
        <v>0.1617777052107427</v>
      </c>
      <c r="N840" s="52">
        <v>6.150156596557155E-4</v>
      </c>
      <c r="O840" s="7">
        <v>-0.056426436990636986</v>
      </c>
      <c r="P840" s="53">
        <v>84.82985619882201</v>
      </c>
      <c r="Q840" s="13">
        <v>134.66244446944975</v>
      </c>
      <c r="R840" s="13">
        <v>142.32599312274812</v>
      </c>
      <c r="S840" s="7">
        <v>-0.03281374569690845</v>
      </c>
      <c r="T840" s="53">
        <v>10999.999999999998</v>
      </c>
      <c r="U840" s="53">
        <v>11967.45144</v>
      </c>
      <c r="V840" s="53">
        <v>-106.24856</v>
      </c>
    </row>
    <row r="841">
      <c r="A841" s="55">
        <v>44637.0</v>
      </c>
      <c r="B841" s="48">
        <v>5.5105949999999995</v>
      </c>
      <c r="C841" s="7">
        <v>0.06369999999999976</v>
      </c>
      <c r="D841" s="49">
        <v>-0.007100000000000106</v>
      </c>
      <c r="E841" s="71">
        <v>88.89</v>
      </c>
      <c r="F841" s="7">
        <v>0.06684132638606433</v>
      </c>
      <c r="G841" s="49">
        <v>0.049941452650292595</v>
      </c>
      <c r="H841" s="53">
        <v>9128.74803588586</v>
      </c>
      <c r="I841" s="7">
        <v>0.05339608120669432</v>
      </c>
      <c r="J841" s="7">
        <v>0.8382430330721276</v>
      </c>
      <c r="K841" s="53">
        <v>1761.5876731141416</v>
      </c>
      <c r="L841" s="7">
        <v>0.010303918793305436</v>
      </c>
      <c r="M841" s="7">
        <v>0.16175696692787245</v>
      </c>
      <c r="N841" s="52">
        <v>-0.003141326386064569</v>
      </c>
      <c r="O841" s="7">
        <v>-0.0570414526502927</v>
      </c>
      <c r="P841" s="53">
        <v>84.6618635502211</v>
      </c>
      <c r="Q841" s="13">
        <v>122.51474529193386</v>
      </c>
      <c r="R841" s="13">
        <v>129.55002671289694</v>
      </c>
      <c r="S841" s="7">
        <v>-0.032674753932102334</v>
      </c>
      <c r="T841" s="53">
        <v>9999.999999999998</v>
      </c>
      <c r="U841" s="53">
        <v>10890.335709</v>
      </c>
      <c r="V841" s="53">
        <v>-77.87429100000008</v>
      </c>
    </row>
    <row r="842">
      <c r="A842" s="55">
        <v>44636.0</v>
      </c>
      <c r="B842" s="48">
        <v>5.15706</v>
      </c>
      <c r="C842" s="7">
        <v>-0.022299999999999764</v>
      </c>
      <c r="D842" s="49">
        <v>-0.07079999999999986</v>
      </c>
      <c r="E842" s="71">
        <v>82.85</v>
      </c>
      <c r="F842" s="7">
        <v>-0.01929096154114962</v>
      </c>
      <c r="G842" s="49">
        <v>-0.01689987373577173</v>
      </c>
      <c r="H842" s="53">
        <v>7803.489804760896</v>
      </c>
      <c r="I842" s="7">
        <v>-0.018553155597690746</v>
      </c>
      <c r="J842" s="7">
        <v>0.8319800716453337</v>
      </c>
      <c r="K842" s="53">
        <v>1575.9293312391064</v>
      </c>
      <c r="L842" s="7">
        <v>-0.003746844402309019</v>
      </c>
      <c r="M842" s="7">
        <v>0.1680199283546663</v>
      </c>
      <c r="N842" s="52">
        <v>-0.003009038458850144</v>
      </c>
      <c r="O842" s="7">
        <v>-0.05390012626422813</v>
      </c>
      <c r="P842" s="53">
        <v>84.27422374039281</v>
      </c>
      <c r="Q842" s="13">
        <v>113.20964557634282</v>
      </c>
      <c r="R842" s="13">
        <v>119.77371182325273</v>
      </c>
      <c r="S842" s="7">
        <v>-0.03334053838567731</v>
      </c>
      <c r="T842" s="53">
        <v>9213.019999999999</v>
      </c>
      <c r="U842" s="53">
        <v>9379.419136000002</v>
      </c>
      <c r="V842" s="53">
        <v>-714.6608639999995</v>
      </c>
    </row>
    <row r="843">
      <c r="A843" s="55">
        <v>44635.0</v>
      </c>
      <c r="B843" s="48">
        <v>5.280824999999999</v>
      </c>
      <c r="C843" s="7">
        <v>0.06619999999999981</v>
      </c>
      <c r="D843" s="49">
        <v>-0.0485000000000001</v>
      </c>
      <c r="E843" s="71">
        <v>84.63</v>
      </c>
      <c r="F843" s="7">
        <v>0.06111707447803072</v>
      </c>
      <c r="G843" s="49">
        <v>0.0023910878053778895</v>
      </c>
      <c r="H843" s="53">
        <v>7135.556002367034</v>
      </c>
      <c r="I843" s="7">
        <v>0.05519926655793545</v>
      </c>
      <c r="J843" s="7">
        <v>0.8338257788207796</v>
      </c>
      <c r="K843" s="53">
        <v>1422.0542126329665</v>
      </c>
      <c r="L843" s="7">
        <v>0.011000733442064363</v>
      </c>
      <c r="M843" s="7">
        <v>0.16617422117922045</v>
      </c>
      <c r="N843" s="52">
        <v>0.005082925521969095</v>
      </c>
      <c r="O843" s="7">
        <v>-0.05089108780537799</v>
      </c>
      <c r="P843" s="53">
        <v>84.42812494002497</v>
      </c>
      <c r="Q843" s="13">
        <v>101.11792762613732</v>
      </c>
      <c r="R843" s="13">
        <v>106.52366254644008</v>
      </c>
      <c r="S843" s="7">
        <v>-0.02977510964030231</v>
      </c>
      <c r="T843" s="53">
        <v>8213.02</v>
      </c>
      <c r="U843" s="53">
        <v>8557.610215</v>
      </c>
      <c r="V843" s="53">
        <v>-436.1997850000007</v>
      </c>
    </row>
    <row r="844">
      <c r="A844" s="55">
        <v>44634.0</v>
      </c>
      <c r="B844" s="48">
        <v>4.9134150000000005</v>
      </c>
      <c r="C844" s="7">
        <v>-0.011799999999999922</v>
      </c>
      <c r="D844" s="49">
        <v>-0.11469999999999991</v>
      </c>
      <c r="E844" s="71">
        <v>79.47</v>
      </c>
      <c r="F844" s="7">
        <v>-0.006528553959353256</v>
      </c>
      <c r="G844" s="49">
        <v>-0.05872598667265283</v>
      </c>
      <c r="H844" s="53">
        <v>6596.502612019336</v>
      </c>
      <c r="I844" s="7">
        <v>-0.009776008561715163</v>
      </c>
      <c r="J844" s="7">
        <v>0.8284753018402735</v>
      </c>
      <c r="K844" s="53">
        <v>1365.7173809806645</v>
      </c>
      <c r="L844" s="7">
        <v>-0.002023991438284759</v>
      </c>
      <c r="M844" s="7">
        <v>0.17152469815972649</v>
      </c>
      <c r="N844" s="52">
        <v>-0.005271446040646666</v>
      </c>
      <c r="O844" s="7">
        <v>-0.05597401332734708</v>
      </c>
      <c r="P844" s="53">
        <v>84.42812494002497</v>
      </c>
      <c r="Q844" s="13">
        <v>100.19151872404683</v>
      </c>
      <c r="R844" s="13">
        <v>106.52366254644008</v>
      </c>
      <c r="S844" s="7">
        <v>-0.03866398816619744</v>
      </c>
      <c r="T844" s="53">
        <v>8213.02</v>
      </c>
      <c r="U844" s="53">
        <v>7962.2199930000015</v>
      </c>
      <c r="V844" s="53">
        <v>-1031.5900069999998</v>
      </c>
    </row>
    <row r="845">
      <c r="A845" s="55">
        <v>44633.0</v>
      </c>
      <c r="B845" s="48">
        <v>4.978905</v>
      </c>
      <c r="C845" s="7">
        <v>-0.0041000000000001036</v>
      </c>
      <c r="D845" s="49">
        <v>-0.10289999999999999</v>
      </c>
      <c r="E845" s="71">
        <v>80.57</v>
      </c>
      <c r="F845" s="7">
        <v>-8.593201206568146E-4</v>
      </c>
      <c r="G845" s="49">
        <v>-0.052197432713299574</v>
      </c>
      <c r="H845" s="53">
        <v>5875.298057655317</v>
      </c>
      <c r="I845" s="7">
        <v>-0.0034014252203324324</v>
      </c>
      <c r="J845" s="7">
        <v>0.8296159073981333</v>
      </c>
      <c r="K845" s="53">
        <v>1206.651559344683</v>
      </c>
      <c r="L845" s="7">
        <v>-6.985747796676713E-4</v>
      </c>
      <c r="M845" s="7">
        <v>0.17038409260186677</v>
      </c>
      <c r="N845" s="52">
        <v>-0.003240679879343289</v>
      </c>
      <c r="O845" s="7">
        <v>-0.05070256728670042</v>
      </c>
      <c r="P845" s="53">
        <v>85.00715526720916</v>
      </c>
      <c r="Q845" s="13">
        <v>87.89809627652974</v>
      </c>
      <c r="R845" s="13">
        <v>92.86384079433806</v>
      </c>
      <c r="S845" s="7">
        <v>-0.03360553040017353</v>
      </c>
      <c r="T845" s="53">
        <v>7213.02</v>
      </c>
      <c r="U845" s="53">
        <v>7081.949617</v>
      </c>
      <c r="V845" s="53">
        <v>-812.3203830000002</v>
      </c>
    </row>
    <row r="846">
      <c r="A846" s="55">
        <v>44632.0</v>
      </c>
      <c r="B846" s="48">
        <v>5.00166</v>
      </c>
      <c r="C846" s="7">
        <v>0.008400000000000074</v>
      </c>
      <c r="D846" s="49">
        <v>-0.09879999999999989</v>
      </c>
      <c r="E846" s="71">
        <v>81.39</v>
      </c>
      <c r="F846" s="7">
        <v>0.013113152394714889</v>
      </c>
      <c r="G846" s="49">
        <v>-0.05133811259264276</v>
      </c>
      <c r="H846" s="53">
        <v>5091.587117992579</v>
      </c>
      <c r="I846" s="7">
        <v>0.006975915886764871</v>
      </c>
      <c r="J846" s="7">
        <v>0.8304661769958106</v>
      </c>
      <c r="K846" s="53">
        <v>1039.411662007421</v>
      </c>
      <c r="L846" s="7">
        <v>0.0014240841132352033</v>
      </c>
      <c r="M846" s="7">
        <v>0.16953382300418937</v>
      </c>
      <c r="N846" s="52">
        <v>-0.004713152394714815</v>
      </c>
      <c r="O846" s="7">
        <v>-0.04746188740735713</v>
      </c>
      <c r="P846" s="53">
        <v>85.7945291998971</v>
      </c>
      <c r="Q846" s="13">
        <v>75.3286494655363</v>
      </c>
      <c r="R846" s="13">
        <v>79.29344266119648</v>
      </c>
      <c r="S846" s="7">
        <v>-0.03119278515331185</v>
      </c>
      <c r="T846" s="53">
        <v>6213.02</v>
      </c>
      <c r="U846" s="53">
        <v>6130.99878</v>
      </c>
      <c r="V846" s="53">
        <v>-672.1512199999997</v>
      </c>
    </row>
    <row r="847">
      <c r="A847" s="55">
        <v>44631.0</v>
      </c>
      <c r="B847" s="48">
        <v>4.95504</v>
      </c>
      <c r="C847" s="7">
        <v>-0.04865397909462621</v>
      </c>
      <c r="D847" s="49">
        <v>-0.10719999999999996</v>
      </c>
      <c r="E847" s="71">
        <v>80.8</v>
      </c>
      <c r="F847" s="7">
        <v>-0.01339699916216075</v>
      </c>
      <c r="G847" s="49">
        <v>-0.06445126498735765</v>
      </c>
      <c r="H847" s="53">
        <v>4232.001381425546</v>
      </c>
      <c r="I847" s="7">
        <v>-0.04037571851490221</v>
      </c>
      <c r="J847" s="7">
        <v>0.8298543976511403</v>
      </c>
      <c r="K847" s="53">
        <v>867.6900745744533</v>
      </c>
      <c r="L847" s="7">
        <v>-0.008278260579724004</v>
      </c>
      <c r="M847" s="7">
        <v>0.1701456023488597</v>
      </c>
      <c r="N847" s="52">
        <v>-0.03525697993246546</v>
      </c>
      <c r="O847" s="7">
        <v>-0.042748735012642314</v>
      </c>
      <c r="P847" s="53">
        <v>86.36642536736274</v>
      </c>
      <c r="Q847" s="13">
        <v>63.11499326732673</v>
      </c>
      <c r="R847" s="13">
        <v>66.13545976739678</v>
      </c>
      <c r="S847" s="7">
        <v>-0.024009528709309513</v>
      </c>
      <c r="T847" s="53">
        <v>5213.02</v>
      </c>
      <c r="U847" s="53">
        <v>5099.691456</v>
      </c>
      <c r="V847" s="53">
        <v>-612.328544</v>
      </c>
    </row>
    <row r="848">
      <c r="A848" s="55">
        <v>44630.0</v>
      </c>
      <c r="B848" s="48">
        <v>5.225069583975175</v>
      </c>
      <c r="C848" s="7">
        <v>-0.015846020905373792</v>
      </c>
      <c r="D848" s="49">
        <v>-0.05854602090537375</v>
      </c>
      <c r="E848" s="71">
        <v>83.03</v>
      </c>
      <c r="F848" s="7">
        <v>-0.06743080611383045</v>
      </c>
      <c r="G848" s="49">
        <v>-0.0510542658251969</v>
      </c>
      <c r="H848" s="53">
        <v>3616.5151627763416</v>
      </c>
      <c r="I848" s="7">
        <v>-0.013186531181521464</v>
      </c>
      <c r="J848" s="7">
        <v>0.8321667161911652</v>
      </c>
      <c r="K848" s="53">
        <v>729.387037361108</v>
      </c>
      <c r="L848" s="7">
        <v>-0.0026594897238523285</v>
      </c>
      <c r="M848" s="7">
        <v>0.16783328380883478</v>
      </c>
      <c r="N848" s="52">
        <v>0.05158478520845666</v>
      </c>
      <c r="O848" s="7">
        <v>-0.007491755080176854</v>
      </c>
      <c r="P848" s="53">
        <v>87.49710021321961</v>
      </c>
      <c r="Q848" s="13">
        <v>52.34134891168794</v>
      </c>
      <c r="R848" s="13">
        <v>52.756303336055964</v>
      </c>
      <c r="S848" s="7">
        <v>0.014279963511975304</v>
      </c>
      <c r="T848" s="53">
        <v>4213.02</v>
      </c>
      <c r="U848" s="53">
        <v>4345.90220013745</v>
      </c>
      <c r="V848" s="53">
        <v>-270.2577998625502</v>
      </c>
    </row>
    <row r="849">
      <c r="A849" s="55">
        <v>44629.0</v>
      </c>
      <c r="B849" s="48">
        <v>5.313015</v>
      </c>
      <c r="C849" s="7">
        <v>0.039300000000000224</v>
      </c>
      <c r="D849" s="49">
        <v>-0.04269999999999996</v>
      </c>
      <c r="E849" s="71">
        <v>88.93</v>
      </c>
      <c r="F849" s="7">
        <v>0.05055628608731089</v>
      </c>
      <c r="G849" s="49">
        <v>0.016376540288633556</v>
      </c>
      <c r="H849" s="53">
        <v>3704.421135490116</v>
      </c>
      <c r="I849" s="7">
        <v>0.032944581228768394</v>
      </c>
      <c r="J849" s="7">
        <v>0.8382845096378678</v>
      </c>
      <c r="K849" s="53">
        <v>714.6288325098844</v>
      </c>
      <c r="L849" s="7">
        <v>0.00635541877123183</v>
      </c>
      <c r="M849" s="7">
        <v>0.16171549036213215</v>
      </c>
      <c r="N849" s="52">
        <v>-0.011256286087310663</v>
      </c>
      <c r="O849" s="7">
        <v>-0.05907654028863352</v>
      </c>
      <c r="P849" s="53">
        <v>87.49710021321961</v>
      </c>
      <c r="Q849" s="13">
        <v>49.691329899921286</v>
      </c>
      <c r="R849" s="13">
        <v>52.756303336055964</v>
      </c>
      <c r="S849" s="7">
        <v>-0.03707257597063852</v>
      </c>
      <c r="T849" s="53">
        <v>4213.02</v>
      </c>
      <c r="U849" s="53">
        <v>4419.049968</v>
      </c>
      <c r="V849" s="53">
        <v>-197.1100319999996</v>
      </c>
    </row>
    <row r="850">
      <c r="A850" s="55">
        <v>44628.0</v>
      </c>
      <c r="B850" s="48">
        <v>5.094899999999999</v>
      </c>
      <c r="C850" s="7">
        <v>0.06379999999999963</v>
      </c>
      <c r="D850" s="49">
        <v>-0.08200000000000018</v>
      </c>
      <c r="E850" s="71">
        <v>84.21</v>
      </c>
      <c r="F850" s="7">
        <v>0.04160785635408404</v>
      </c>
      <c r="G850" s="49">
        <v>-0.03417974579867733</v>
      </c>
      <c r="H850" s="53">
        <v>2692.8462892288503</v>
      </c>
      <c r="I850" s="7">
        <v>0.05317029953737596</v>
      </c>
      <c r="J850" s="7">
        <v>0.8333902748805058</v>
      </c>
      <c r="K850" s="53">
        <v>538.3484707711505</v>
      </c>
      <c r="L850" s="7">
        <v>0.010629700462623674</v>
      </c>
      <c r="M850" s="7">
        <v>0.1666097251194943</v>
      </c>
      <c r="N850" s="52">
        <v>0.022192143645915596</v>
      </c>
      <c r="O850" s="7">
        <v>-0.047820254201322854</v>
      </c>
      <c r="P850" s="53">
        <v>87.19013670886078</v>
      </c>
      <c r="Q850" s="13">
        <v>38.37067759173495</v>
      </c>
      <c r="R850" s="13">
        <v>40.367930114816225</v>
      </c>
      <c r="S850" s="7">
        <v>-0.028943738517245243</v>
      </c>
      <c r="T850" s="53">
        <v>3213.02</v>
      </c>
      <c r="U850" s="53">
        <v>3231.1947600000003</v>
      </c>
      <c r="V850" s="53">
        <v>-288.6252400000003</v>
      </c>
    </row>
    <row r="851">
      <c r="A851" s="55">
        <v>44627.0</v>
      </c>
      <c r="B851" s="48">
        <v>4.740810000000001</v>
      </c>
      <c r="C851" s="7">
        <v>-0.05679999999999963</v>
      </c>
      <c r="D851" s="49">
        <v>-0.14579999999999982</v>
      </c>
      <c r="E851" s="71">
        <v>82.02</v>
      </c>
      <c r="F851" s="7">
        <v>-0.06265082823738899</v>
      </c>
      <c r="G851" s="49">
        <v>-0.07578760215276137</v>
      </c>
      <c r="H851" s="53">
        <v>1725.8127404420627</v>
      </c>
      <c r="I851" s="7">
        <v>-0.04720758378907306</v>
      </c>
      <c r="J851" s="7">
        <v>0.8311194329062213</v>
      </c>
      <c r="K851" s="53">
        <v>350.6791235579378</v>
      </c>
      <c r="L851" s="7">
        <v>-0.00959241621092657</v>
      </c>
      <c r="M851" s="7">
        <v>0.16888056709377877</v>
      </c>
      <c r="N851" s="52">
        <v>0.0058508282373893605</v>
      </c>
      <c r="O851" s="7">
        <v>-0.07001239784723845</v>
      </c>
      <c r="P851" s="53">
        <v>88.74583395661928</v>
      </c>
      <c r="Q851" s="13">
        <v>25.316896659351386</v>
      </c>
      <c r="R851" s="13">
        <v>27.39096619809441</v>
      </c>
      <c r="S851" s="7">
        <v>-0.05362232275032455</v>
      </c>
      <c r="T851" s="53">
        <v>2213.02</v>
      </c>
      <c r="U851" s="53">
        <v>2076.4918640000005</v>
      </c>
      <c r="V851" s="53">
        <v>-354.428136</v>
      </c>
    </row>
    <row r="852">
      <c r="A852" s="55">
        <v>44626.0</v>
      </c>
      <c r="B852" s="48">
        <v>5.056049999999999</v>
      </c>
      <c r="C852" s="7">
        <v>-0.0053000000000001934</v>
      </c>
      <c r="D852" s="49">
        <v>-0.08900000000000019</v>
      </c>
      <c r="E852" s="71">
        <v>87.58</v>
      </c>
      <c r="F852" s="7">
        <v>-0.009645734602773515</v>
      </c>
      <c r="G852" s="49">
        <v>-0.01313677391537238</v>
      </c>
      <c r="H852" s="53">
        <v>1853.338122576576</v>
      </c>
      <c r="I852" s="7">
        <v>-0.004435488780384056</v>
      </c>
      <c r="J852" s="7">
        <v>0.8368846755441308</v>
      </c>
      <c r="K852" s="53">
        <v>361.22999742342427</v>
      </c>
      <c r="L852" s="7">
        <v>-8.645112196161382E-4</v>
      </c>
      <c r="M852" s="7">
        <v>0.16311532445586918</v>
      </c>
      <c r="N852" s="52">
        <v>0.004345734602773321</v>
      </c>
      <c r="O852" s="7">
        <v>-0.07586322608462781</v>
      </c>
      <c r="P852" s="53">
        <v>88.74583395661928</v>
      </c>
      <c r="Q852" s="13">
        <v>25.286231102991554</v>
      </c>
      <c r="R852" s="13">
        <v>27.39096619809441</v>
      </c>
      <c r="S852" s="7">
        <v>-0.054768640104693775</v>
      </c>
      <c r="T852" s="53">
        <v>2213.02</v>
      </c>
      <c r="U852" s="53">
        <v>2214.5681200000004</v>
      </c>
      <c r="V852" s="53">
        <v>-216.35188000000016</v>
      </c>
    </row>
    <row r="853">
      <c r="A853" s="55">
        <v>44625.0</v>
      </c>
      <c r="B853" s="48">
        <v>5.085465</v>
      </c>
      <c r="C853" s="7">
        <v>0.12149999999999994</v>
      </c>
      <c r="D853" s="49">
        <v>-0.0837</v>
      </c>
      <c r="E853" s="71">
        <v>89.7</v>
      </c>
      <c r="F853" s="7">
        <v>0.06627151971770384</v>
      </c>
      <c r="G853" s="49">
        <v>-0.003491039312598865</v>
      </c>
      <c r="H853" s="53">
        <v>1027.3703849074504</v>
      </c>
      <c r="I853" s="7">
        <v>0.10194857642369687</v>
      </c>
      <c r="J853" s="7">
        <v>0.8390829335283697</v>
      </c>
      <c r="K853" s="53">
        <v>197.02632709254954</v>
      </c>
      <c r="L853" s="7">
        <v>0.019551423576303066</v>
      </c>
      <c r="M853" s="7">
        <v>0.16091706647163026</v>
      </c>
      <c r="N853" s="52">
        <v>0.0552284802822961</v>
      </c>
      <c r="O853" s="7">
        <v>-0.08020896068740113</v>
      </c>
      <c r="P853" s="53">
        <v>90.01424326192121</v>
      </c>
      <c r="Q853" s="13">
        <v>13.649907603121516</v>
      </c>
      <c r="R853" s="13">
        <v>14.843942568409412</v>
      </c>
      <c r="S853" s="7">
        <v>-0.05740571708878457</v>
      </c>
      <c r="T853" s="53">
        <v>1213.02</v>
      </c>
      <c r="U853" s="53">
        <v>1224.396712</v>
      </c>
      <c r="V853" s="53">
        <v>-111.84328800000003</v>
      </c>
    </row>
    <row r="854">
      <c r="A854" s="55">
        <v>44624.0</v>
      </c>
      <c r="B854" s="48">
        <v>4.4111400000000005</v>
      </c>
      <c r="C854" s="7">
        <v>-0.04949999999999988</v>
      </c>
      <c r="D854" s="49">
        <v>-0.20519999999999994</v>
      </c>
      <c r="E854" s="72">
        <v>88.25</v>
      </c>
      <c r="F854" s="7">
        <v>-0.07958405302346983</v>
      </c>
      <c r="G854" s="49">
        <v>-0.0697625590303027</v>
      </c>
      <c r="H854" s="53">
        <v>160.80845189573623</v>
      </c>
      <c r="I854" s="7">
        <v>-0.04146018069700384</v>
      </c>
      <c r="J854" s="7">
        <v>0.8375794080202817</v>
      </c>
      <c r="K854" s="53">
        <v>31.183436104263762</v>
      </c>
      <c r="L854" s="7">
        <v>-0.008039819302996033</v>
      </c>
      <c r="M854" s="7">
        <v>0.16242059197971825</v>
      </c>
      <c r="N854" s="52">
        <v>0.030084053023469948</v>
      </c>
      <c r="O854" s="7">
        <v>-0.13543744096969723</v>
      </c>
      <c r="P854" s="53">
        <v>94.86825203252033</v>
      </c>
      <c r="Q854" s="13">
        <v>2.1755454730878188</v>
      </c>
      <c r="R854" s="13">
        <v>2.546277661994249</v>
      </c>
      <c r="S854" s="7">
        <v>-0.11867410087726177</v>
      </c>
      <c r="T854" s="53">
        <v>213.01999999999998</v>
      </c>
      <c r="U854" s="53">
        <v>191.99188800000002</v>
      </c>
      <c r="V854" s="53">
        <v>-49.568111999999985</v>
      </c>
    </row>
    <row r="855">
      <c r="A855" s="55">
        <v>44623.0</v>
      </c>
      <c r="B855" s="48">
        <v>4.685865</v>
      </c>
      <c r="C855" s="7">
        <v>-0.05600000000000016</v>
      </c>
      <c r="D855" s="49">
        <v>-0.15570000000000006</v>
      </c>
      <c r="E855" s="71">
        <v>95.8</v>
      </c>
      <c r="F855" s="7">
        <v>-0.05259926153471728</v>
      </c>
      <c r="G855" s="49">
        <v>0.009821493993167119</v>
      </c>
      <c r="H855" s="53">
        <v>172.4202298904458</v>
      </c>
      <c r="I855" s="7">
        <v>-0.04734285414901148</v>
      </c>
      <c r="J855" s="7">
        <v>0.845408109803774</v>
      </c>
      <c r="K855" s="53">
        <v>31.528878109554228</v>
      </c>
      <c r="L855" s="7">
        <v>-0.008657145850988677</v>
      </c>
      <c r="M855" s="7">
        <v>0.15459189019622593</v>
      </c>
      <c r="N855" s="52">
        <v>-0.003400738465282882</v>
      </c>
      <c r="O855" s="7">
        <v>-0.16552149399316718</v>
      </c>
      <c r="P855" s="53">
        <v>94.86825203252033</v>
      </c>
      <c r="Q855" s="13">
        <v>2.12890509394572</v>
      </c>
      <c r="R855" s="13">
        <v>2.546277661994249</v>
      </c>
      <c r="S855" s="7">
        <v>-0.13756838490456522</v>
      </c>
      <c r="T855" s="53">
        <v>213.01999999999998</v>
      </c>
      <c r="U855" s="53">
        <v>203.949108</v>
      </c>
      <c r="V855" s="53">
        <v>-37.61089200000001</v>
      </c>
    </row>
    <row r="856">
      <c r="A856" s="55">
        <v>44622.0</v>
      </c>
      <c r="B856" s="48">
        <v>4.996665</v>
      </c>
      <c r="C856" s="7">
        <v>0.01471769803557832</v>
      </c>
      <c r="D856" s="49">
        <v>-0.0996999999999999</v>
      </c>
      <c r="E856" s="72">
        <v>100.79</v>
      </c>
      <c r="F856" s="7">
        <v>0.021398096375846887</v>
      </c>
      <c r="G856" s="49">
        <v>0.0624207555278844</v>
      </c>
      <c r="H856" s="53">
        <v>184.98163682217327</v>
      </c>
      <c r="I856" s="7">
        <v>0.012518613613293378</v>
      </c>
      <c r="J856" s="7">
        <v>0.8505823113798835</v>
      </c>
      <c r="K856" s="53">
        <v>32.49483117782674</v>
      </c>
      <c r="L856" s="7">
        <v>0.0021990844222849423</v>
      </c>
      <c r="M856" s="7">
        <v>0.14941768862011653</v>
      </c>
      <c r="N856" s="52">
        <v>-0.006680398340268567</v>
      </c>
      <c r="O856" s="7">
        <v>-0.1621207555278843</v>
      </c>
      <c r="P856" s="53">
        <v>94.86825203252033</v>
      </c>
      <c r="Q856" s="13">
        <v>2.1577187022522075</v>
      </c>
      <c r="R856" s="13">
        <v>2.546277661994249</v>
      </c>
      <c r="S856" s="7">
        <v>-0.12589582757960033</v>
      </c>
      <c r="T856" s="53">
        <v>213.01999999999998</v>
      </c>
      <c r="U856" s="53">
        <v>217.476468</v>
      </c>
      <c r="V856" s="53">
        <v>-24.08353199999999</v>
      </c>
    </row>
    <row r="857">
      <c r="A857" s="55">
        <v>44621.0</v>
      </c>
      <c r="B857" s="48">
        <v>4.9149817759025405</v>
      </c>
      <c r="C857" s="7">
        <v>0.024782301964421882</v>
      </c>
      <c r="D857" s="49">
        <v>-0.11441769803557822</v>
      </c>
      <c r="E857" s="72">
        <v>98.76</v>
      </c>
      <c r="F857" s="7">
        <v>-0.008643566023740945</v>
      </c>
      <c r="G857" s="49">
        <v>0.04102265915203751</v>
      </c>
      <c r="H857" s="53">
        <v>181.50735001634533</v>
      </c>
      <c r="I857" s="7">
        <v>0.021027222533798486</v>
      </c>
      <c r="J857" s="7">
        <v>0.8484773756685604</v>
      </c>
      <c r="K857" s="53">
        <v>32.413910846180386</v>
      </c>
      <c r="L857" s="7">
        <v>0.0037550794306233956</v>
      </c>
      <c r="M857" s="7">
        <v>0.15152262433143965</v>
      </c>
      <c r="N857" s="52">
        <v>0.03342586798816283</v>
      </c>
      <c r="O857" s="7">
        <v>-0.15544035718761573</v>
      </c>
      <c r="P857" s="53">
        <v>94.86825203252033</v>
      </c>
      <c r="Q857" s="13">
        <v>2.166071900187583</v>
      </c>
      <c r="R857" s="13">
        <v>2.546277661994249</v>
      </c>
      <c r="S857" s="7">
        <v>-0.12251189937767852</v>
      </c>
      <c r="T857" s="53">
        <v>213.01999999999998</v>
      </c>
      <c r="U857" s="53">
        <v>213.9212608625257</v>
      </c>
      <c r="V857" s="53">
        <v>-27.63873913747429</v>
      </c>
    </row>
    <row r="858">
      <c r="A858" s="55">
        <v>44620.0</v>
      </c>
      <c r="B858" s="48">
        <v>4.7774399999999995</v>
      </c>
      <c r="C858" s="7">
        <v>0.09089999999999987</v>
      </c>
      <c r="D858" s="49">
        <v>-0.1392000000000001</v>
      </c>
      <c r="E858" s="72">
        <v>99.58</v>
      </c>
      <c r="F858" s="7">
        <v>0.14767848779586923</v>
      </c>
      <c r="G858" s="49">
        <v>0.049666225175778456</v>
      </c>
      <c r="H858" s="53">
        <v>176.60481482063307</v>
      </c>
      <c r="I858" s="7">
        <v>0.0772038829547009</v>
      </c>
      <c r="J858" s="7">
        <v>0.8493276452662377</v>
      </c>
      <c r="K858" s="53">
        <v>31.33003317936695</v>
      </c>
      <c r="L858" s="7">
        <v>0.013696117045298974</v>
      </c>
      <c r="M858" s="7">
        <v>0.1506723547337623</v>
      </c>
      <c r="N858" s="52">
        <v>-0.05677848779586936</v>
      </c>
      <c r="O858" s="7">
        <v>-0.18886622517577856</v>
      </c>
      <c r="P858" s="53">
        <v>94.86825203252033</v>
      </c>
      <c r="Q858" s="13">
        <v>2.0881185780277165</v>
      </c>
      <c r="R858" s="13">
        <v>2.546277661994249</v>
      </c>
      <c r="S858" s="7">
        <v>-0.15409123549913303</v>
      </c>
      <c r="T858" s="53">
        <v>213.01999999999998</v>
      </c>
      <c r="U858" s="53">
        <v>207.934848</v>
      </c>
      <c r="V858" s="53">
        <v>-33.625152000000014</v>
      </c>
    </row>
    <row r="859">
      <c r="A859" s="47">
        <v>44619.0</v>
      </c>
      <c r="B859" s="48">
        <v>4.272945</v>
      </c>
      <c r="C859" s="7">
        <v>-0.16446333471588548</v>
      </c>
      <c r="D859" s="49">
        <v>-0.23009999999999997</v>
      </c>
      <c r="E859" s="72">
        <v>85.57</v>
      </c>
      <c r="F859" s="7">
        <v>-0.047855841155834966</v>
      </c>
      <c r="G859" s="49">
        <v>-0.09801226262009077</v>
      </c>
      <c r="H859" s="53">
        <v>155.25372524974046</v>
      </c>
      <c r="I859" s="7">
        <v>-0.13729407045331996</v>
      </c>
      <c r="J859" s="7">
        <v>0.8348004781156778</v>
      </c>
      <c r="K859" s="53">
        <v>30.72331875025955</v>
      </c>
      <c r="L859" s="7">
        <v>-0.027169264262565527</v>
      </c>
      <c r="M859" s="7">
        <v>0.1651995218843222</v>
      </c>
      <c r="N859" s="52">
        <v>-0.11660749356005051</v>
      </c>
      <c r="O859" s="7">
        <v>-0.1320877373799092</v>
      </c>
      <c r="P859" s="53">
        <v>94.86825203252033</v>
      </c>
      <c r="Q859" s="13">
        <v>2.173390721047096</v>
      </c>
      <c r="R859" s="13">
        <v>2.546277661994249</v>
      </c>
      <c r="S859" s="7">
        <v>-0.11954700323814922</v>
      </c>
      <c r="T859" s="53">
        <v>213.01999999999998</v>
      </c>
      <c r="U859" s="53">
        <v>185.977044</v>
      </c>
      <c r="V859" s="53">
        <v>-55.582955999999996</v>
      </c>
    </row>
    <row r="860">
      <c r="A860" s="55">
        <v>44618.0</v>
      </c>
      <c r="B860" s="48">
        <v>5.185716507673164</v>
      </c>
      <c r="C860" s="7">
        <v>-0.02727084197428442</v>
      </c>
      <c r="D860" s="49">
        <v>-0.06563666528411449</v>
      </c>
      <c r="E860" s="72">
        <v>90.11</v>
      </c>
      <c r="F860" s="7">
        <v>-0.027722656881023267</v>
      </c>
      <c r="G860" s="49">
        <v>-0.05015642146425581</v>
      </c>
      <c r="H860" s="53">
        <v>189.48100664920366</v>
      </c>
      <c r="I860" s="7">
        <v>-0.022894091867488066</v>
      </c>
      <c r="J860" s="7">
        <v>0.8395080683272083</v>
      </c>
      <c r="K860" s="53">
        <v>36.22380048476563</v>
      </c>
      <c r="L860" s="7">
        <v>-0.004376750106796356</v>
      </c>
      <c r="M860" s="7">
        <v>0.16049193167279172</v>
      </c>
      <c r="N860" s="52">
        <v>4.518149067388455E-4</v>
      </c>
      <c r="O860" s="7">
        <v>-0.015480243819858686</v>
      </c>
      <c r="P860" s="53">
        <v>94.86825203252033</v>
      </c>
      <c r="Q860" s="13">
        <v>2.504769805060141</v>
      </c>
      <c r="R860" s="13">
        <v>2.546277661994249</v>
      </c>
      <c r="S860" s="7">
        <v>0.014696556724652272</v>
      </c>
      <c r="T860" s="53">
        <v>213.01999999999998</v>
      </c>
      <c r="U860" s="53">
        <v>225.7048071339693</v>
      </c>
      <c r="V860" s="53">
        <v>-15.855192866030706</v>
      </c>
    </row>
    <row r="861">
      <c r="A861" s="55">
        <v>44617.0</v>
      </c>
      <c r="B861" s="48">
        <v>5.337069680630443</v>
      </c>
      <c r="C861" s="7">
        <v>0.038262131895479</v>
      </c>
      <c r="D861" s="49">
        <v>-0.03836582330983007</v>
      </c>
      <c r="E861" s="72">
        <v>92.74</v>
      </c>
      <c r="F861" s="7">
        <v>0.03889604710683492</v>
      </c>
      <c r="G861" s="49">
        <v>-0.02243376458323254</v>
      </c>
      <c r="H861" s="53">
        <v>195.6447842822767</v>
      </c>
      <c r="I861" s="7">
        <v>0.032225712492906525</v>
      </c>
      <c r="J861" s="7">
        <v>0.8422351525246368</v>
      </c>
      <c r="K861" s="53">
        <v>36.64756743900077</v>
      </c>
      <c r="L861" s="7">
        <v>0.006036419402572474</v>
      </c>
      <c r="M861" s="7">
        <v>0.1577648474753632</v>
      </c>
      <c r="N861" s="52">
        <v>-6.339152113559177E-4</v>
      </c>
      <c r="O861" s="7">
        <v>-0.01593205872659753</v>
      </c>
      <c r="P861" s="53">
        <v>94.86825203252033</v>
      </c>
      <c r="Q861" s="13">
        <v>2.5047698050601412</v>
      </c>
      <c r="R861" s="13">
        <v>2.546277661994249</v>
      </c>
      <c r="S861" s="7">
        <v>0.01469655672465245</v>
      </c>
      <c r="T861" s="53">
        <v>213.01999999999998</v>
      </c>
      <c r="U861" s="53">
        <v>232.29235172127747</v>
      </c>
      <c r="V861" s="53">
        <v>-9.267648278722532</v>
      </c>
    </row>
    <row r="862">
      <c r="A862" s="55">
        <v>44616.0</v>
      </c>
      <c r="B862" s="48">
        <v>5.124714848610535</v>
      </c>
      <c r="C862" s="7">
        <v>0.03919535462463708</v>
      </c>
      <c r="D862" s="49">
        <v>-0.07662795520530907</v>
      </c>
      <c r="E862" s="72">
        <v>89.05</v>
      </c>
      <c r="F862" s="7">
        <v>0.03984473118261145</v>
      </c>
      <c r="G862" s="49">
        <v>-0.06132981169006746</v>
      </c>
      <c r="H862" s="53">
        <v>187.00690527275063</v>
      </c>
      <c r="I862" s="7">
        <v>0.03286173569770465</v>
      </c>
      <c r="J862" s="7">
        <v>0.8384089393350889</v>
      </c>
      <c r="K862" s="53">
        <v>36.042845867854936</v>
      </c>
      <c r="L862" s="7">
        <v>0.006333618926932438</v>
      </c>
      <c r="M862" s="7">
        <v>0.1615910606649112</v>
      </c>
      <c r="N862" s="52">
        <v>-6.493765579743682E-4</v>
      </c>
      <c r="O862" s="7">
        <v>-0.015298143515241613</v>
      </c>
      <c r="P862" s="53">
        <v>94.86825203252033</v>
      </c>
      <c r="Q862" s="13">
        <v>2.5047698050601412</v>
      </c>
      <c r="R862" s="13">
        <v>2.546277661994249</v>
      </c>
      <c r="S862" s="7">
        <v>0.01469655672465245</v>
      </c>
      <c r="T862" s="53">
        <v>213.01999999999998</v>
      </c>
      <c r="U862" s="53">
        <v>223.04975114060557</v>
      </c>
      <c r="V862" s="53">
        <v>-18.510248859394437</v>
      </c>
    </row>
    <row r="863">
      <c r="A863" s="55">
        <v>44615.0</v>
      </c>
      <c r="B863" s="48">
        <v>4.907180630443799</v>
      </c>
      <c r="C863" s="7">
        <v>-0.013479883865616049</v>
      </c>
      <c r="D863" s="49">
        <v>-0.11582330982994615</v>
      </c>
      <c r="E863" s="72">
        <v>85.27</v>
      </c>
      <c r="F863" s="7">
        <v>-0.013703214427882249</v>
      </c>
      <c r="G863" s="49">
        <v>-0.10117454287267891</v>
      </c>
      <c r="H863" s="53">
        <v>178.23168326693198</v>
      </c>
      <c r="I863" s="7">
        <v>-0.011248820251290155</v>
      </c>
      <c r="J863" s="7">
        <v>0.8344894038726252</v>
      </c>
      <c r="K863" s="53">
        <v>35.35003801054623</v>
      </c>
      <c r="L863" s="7">
        <v>-0.0022310636143258937</v>
      </c>
      <c r="M863" s="7">
        <v>0.1655105961273748</v>
      </c>
      <c r="N863" s="52">
        <v>2.2333056226619963E-4</v>
      </c>
      <c r="O863" s="7">
        <v>-0.014648766957267245</v>
      </c>
      <c r="P863" s="53">
        <v>94.86825203252033</v>
      </c>
      <c r="Q863" s="13">
        <v>2.504769805060141</v>
      </c>
      <c r="R863" s="13">
        <v>2.546277661994249</v>
      </c>
      <c r="S863" s="7">
        <v>0.014696556724652272</v>
      </c>
      <c r="T863" s="53">
        <v>213.01999999999998</v>
      </c>
      <c r="U863" s="53">
        <v>213.5817212774782</v>
      </c>
      <c r="V863" s="53">
        <v>-27.978278722521793</v>
      </c>
    </row>
    <row r="864">
      <c r="A864" s="55">
        <v>44614.0</v>
      </c>
      <c r="B864" s="48">
        <v>4.981993985897968</v>
      </c>
      <c r="C864" s="7">
        <v>0.035566155122355836</v>
      </c>
      <c r="D864" s="49">
        <v>-0.1023434259643301</v>
      </c>
      <c r="E864" s="72">
        <v>86.57</v>
      </c>
      <c r="F864" s="7">
        <v>0.0772282688364001</v>
      </c>
      <c r="G864" s="49">
        <v>-0.08747132844479666</v>
      </c>
      <c r="H864" s="53">
        <v>181.24124328748817</v>
      </c>
      <c r="I864" s="7">
        <v>0.02972752235015562</v>
      </c>
      <c r="J864" s="7">
        <v>0.8358373922591867</v>
      </c>
      <c r="K864" s="53">
        <v>35.59667873656821</v>
      </c>
      <c r="L864" s="7">
        <v>0.005838632772200215</v>
      </c>
      <c r="M864" s="7">
        <v>0.1641626077408132</v>
      </c>
      <c r="N864" s="52">
        <v>-0.04166211371404427</v>
      </c>
      <c r="O864" s="7">
        <v>-0.014872097519533445</v>
      </c>
      <c r="P864" s="53">
        <v>94.86825203252033</v>
      </c>
      <c r="Q864" s="13">
        <v>2.5047698050601412</v>
      </c>
      <c r="R864" s="13">
        <v>2.546277661994249</v>
      </c>
      <c r="S864" s="7">
        <v>0.01469655672465245</v>
      </c>
      <c r="T864" s="53">
        <v>213.01999999999998</v>
      </c>
      <c r="U864" s="53">
        <v>216.8379220240564</v>
      </c>
      <c r="V864" s="53">
        <v>-24.72207797594359</v>
      </c>
    </row>
    <row r="865">
      <c r="A865" s="55">
        <v>44613.0</v>
      </c>
      <c r="B865" s="48">
        <v>4.784601824968893</v>
      </c>
      <c r="C865" s="7">
        <v>-0.07942762339278309</v>
      </c>
      <c r="D865" s="49">
        <v>-0.13790958108668594</v>
      </c>
      <c r="E865" s="72">
        <v>83.14</v>
      </c>
      <c r="F865" s="7">
        <v>-0.053675512691418015</v>
      </c>
      <c r="G865" s="49">
        <v>-0.16469959728119676</v>
      </c>
      <c r="H865" s="53">
        <v>124.10619700341063</v>
      </c>
      <c r="I865" s="7">
        <v>-0.06610608409250981</v>
      </c>
      <c r="J865" s="7">
        <v>0.8322807767469511</v>
      </c>
      <c r="K865" s="53">
        <v>25.009582756025296</v>
      </c>
      <c r="L865" s="7">
        <v>-0.01332153930027327</v>
      </c>
      <c r="M865" s="7">
        <v>0.16771922325304883</v>
      </c>
      <c r="N865" s="52">
        <v>-0.025752110701365072</v>
      </c>
      <c r="O865" s="7">
        <v>0.026790016194510824</v>
      </c>
      <c r="P865" s="53">
        <v>99.53305389221556</v>
      </c>
      <c r="Q865" s="13">
        <v>1.7935503940273745</v>
      </c>
      <c r="R865" s="13">
        <v>1.7378341038680363</v>
      </c>
      <c r="S865" s="7">
        <v>0.07073560915799812</v>
      </c>
      <c r="T865" s="53">
        <v>152.47</v>
      </c>
      <c r="U865" s="53">
        <v>149.11577975943592</v>
      </c>
      <c r="V865" s="53">
        <v>-23.854220240564075</v>
      </c>
    </row>
    <row r="866">
      <c r="A866" s="55">
        <v>44612.0</v>
      </c>
      <c r="B866" s="48">
        <v>5.225425134798839</v>
      </c>
      <c r="C866" s="7">
        <v>-0.008399004562422152</v>
      </c>
      <c r="D866" s="49">
        <v>-0.05848195769390285</v>
      </c>
      <c r="E866" s="72">
        <v>90.8</v>
      </c>
      <c r="F866" s="7">
        <v>-0.0079302917564128</v>
      </c>
      <c r="G866" s="49">
        <v>-0.11102408458977875</v>
      </c>
      <c r="H866" s="53">
        <v>100.8871493251944</v>
      </c>
      <c r="I866" s="7">
        <v>-0.007057041338239728</v>
      </c>
      <c r="J866" s="7">
        <v>0.8402235390862294</v>
      </c>
      <c r="K866" s="53">
        <v>19.18464661010215</v>
      </c>
      <c r="L866" s="7">
        <v>-0.001341963224182424</v>
      </c>
      <c r="M866" s="7">
        <v>0.1597764609137706</v>
      </c>
      <c r="N866" s="52">
        <v>-4.687128060093526E-4</v>
      </c>
      <c r="O866" s="7">
        <v>0.052542126895875896</v>
      </c>
      <c r="P866" s="53">
        <v>102.14</v>
      </c>
      <c r="Q866" s="13">
        <v>1.3223766072169225</v>
      </c>
      <c r="R866" s="13">
        <v>1.2485803798707658</v>
      </c>
      <c r="S866" s="7">
        <v>0.10873379431583155</v>
      </c>
      <c r="T866" s="53">
        <v>112.47</v>
      </c>
      <c r="U866" s="53">
        <v>120.07179593529656</v>
      </c>
      <c r="V866" s="53">
        <v>-7.4582040647034376</v>
      </c>
    </row>
    <row r="867">
      <c r="A867" s="55">
        <v>44611.0</v>
      </c>
      <c r="B867" s="48">
        <v>5.272039610120282</v>
      </c>
      <c r="C867" s="7">
        <v>0.015553712152633792</v>
      </c>
      <c r="D867" s="49">
        <v>-0.0500829531314807</v>
      </c>
      <c r="E867" s="72">
        <v>91.61</v>
      </c>
      <c r="F867" s="7">
        <v>0.014685725474838485</v>
      </c>
      <c r="G867" s="49">
        <v>-0.10309379283336595</v>
      </c>
      <c r="H867" s="53">
        <v>101.88888180166775</v>
      </c>
      <c r="I867" s="7">
        <v>0.013081658640747718</v>
      </c>
      <c r="J867" s="7">
        <v>0.8410634395424716</v>
      </c>
      <c r="K867" s="53">
        <v>19.25403918547451</v>
      </c>
      <c r="L867" s="7">
        <v>0.002472053511886073</v>
      </c>
      <c r="M867" s="7">
        <v>0.1589365604575283</v>
      </c>
      <c r="N867" s="52">
        <v>8.679866777953071E-4</v>
      </c>
      <c r="O867" s="7">
        <v>0.05301083970188525</v>
      </c>
      <c r="P867" s="53">
        <v>102.14</v>
      </c>
      <c r="Q867" s="13">
        <v>1.3223766072169225</v>
      </c>
      <c r="R867" s="13">
        <v>1.2485803798707658</v>
      </c>
      <c r="S867" s="7">
        <v>0.10873379431583155</v>
      </c>
      <c r="T867" s="53">
        <v>112.47</v>
      </c>
      <c r="U867" s="53">
        <v>121.14292098714226</v>
      </c>
      <c r="V867" s="53">
        <v>-6.38707901285774</v>
      </c>
    </row>
    <row r="868">
      <c r="A868" s="55">
        <v>44610.0</v>
      </c>
      <c r="B868" s="48">
        <v>5.185716507673164</v>
      </c>
      <c r="C868" s="7">
        <v>-0.03411447532144363</v>
      </c>
      <c r="D868" s="49">
        <v>-0.06563666528411449</v>
      </c>
      <c r="E868" s="72">
        <v>90.11</v>
      </c>
      <c r="F868" s="7">
        <v>-0.03221069120814579</v>
      </c>
      <c r="G868" s="49">
        <v>-0.11777951830820443</v>
      </c>
      <c r="H868" s="53">
        <v>100.03524084274277</v>
      </c>
      <c r="I868" s="7">
        <v>-0.028639377279101357</v>
      </c>
      <c r="J868" s="7">
        <v>0.8395080683272083</v>
      </c>
      <c r="K868" s="53">
        <v>19.124115233574116</v>
      </c>
      <c r="L868" s="7">
        <v>-0.005475098042342272</v>
      </c>
      <c r="M868" s="7">
        <v>0.1604919316727918</v>
      </c>
      <c r="N868" s="52">
        <v>-0.001903784113297835</v>
      </c>
      <c r="O868" s="7">
        <v>0.05214285302408994</v>
      </c>
      <c r="P868" s="53">
        <v>102.14</v>
      </c>
      <c r="Q868" s="13">
        <v>1.3223766072169225</v>
      </c>
      <c r="R868" s="13">
        <v>1.2485803798707658</v>
      </c>
      <c r="S868" s="7">
        <v>0.10873379431583155</v>
      </c>
      <c r="T868" s="53">
        <v>112.47</v>
      </c>
      <c r="U868" s="53">
        <v>119.15935607631688</v>
      </c>
      <c r="V868" s="53">
        <v>-8.370643923683119</v>
      </c>
    </row>
    <row r="869">
      <c r="A869" s="55">
        <v>44609.0</v>
      </c>
      <c r="B869" s="48">
        <v>5.375051845707176</v>
      </c>
      <c r="C869" s="7">
        <v>-0.0887598506843631</v>
      </c>
      <c r="D869" s="49">
        <v>-0.031522189962670866</v>
      </c>
      <c r="E869" s="72">
        <v>93.4</v>
      </c>
      <c r="F869" s="7">
        <v>-0.08380654004307797</v>
      </c>
      <c r="G869" s="49">
        <v>-0.08556882710005864</v>
      </c>
      <c r="H869" s="53">
        <v>104.10896842694463</v>
      </c>
      <c r="I869" s="7">
        <v>-0.07481741036661177</v>
      </c>
      <c r="J869" s="7">
        <v>0.8429195158593527</v>
      </c>
      <c r="K869" s="53">
        <v>19.401006687115938</v>
      </c>
      <c r="L869" s="7">
        <v>-0.013942440317751324</v>
      </c>
      <c r="M869" s="7">
        <v>0.15708048414064735</v>
      </c>
      <c r="N869" s="52">
        <v>-0.004953310641285125</v>
      </c>
      <c r="O869" s="7">
        <v>0.054046637137387776</v>
      </c>
      <c r="P869" s="53">
        <v>102.14</v>
      </c>
      <c r="Q869" s="13">
        <v>1.3223766072169225</v>
      </c>
      <c r="R869" s="13">
        <v>1.2485803798707658</v>
      </c>
      <c r="S869" s="7">
        <v>0.10873379431583155</v>
      </c>
      <c r="T869" s="53">
        <v>112.47</v>
      </c>
      <c r="U869" s="53">
        <v>123.50997511406057</v>
      </c>
      <c r="V869" s="53">
        <v>-4.020024885939435</v>
      </c>
    </row>
    <row r="870">
      <c r="A870" s="55">
        <v>44608.0</v>
      </c>
      <c r="B870" s="48">
        <v>5.867669017005392</v>
      </c>
      <c r="C870" s="7">
        <v>-0.029966818747407586</v>
      </c>
      <c r="D870" s="49">
        <v>0.05723766072169223</v>
      </c>
      <c r="E870" s="72">
        <v>101.96</v>
      </c>
      <c r="F870" s="7">
        <v>-0.028294497748188707</v>
      </c>
      <c r="G870" s="49">
        <v>-0.0017622870569806715</v>
      </c>
      <c r="H870" s="53">
        <v>114.84717756728953</v>
      </c>
      <c r="I870" s="7">
        <v>-0.025525601386160304</v>
      </c>
      <c r="J870" s="7">
        <v>0.851795500927789</v>
      </c>
      <c r="K870" s="53">
        <v>19.982341304547887</v>
      </c>
      <c r="L870" s="7">
        <v>-0.004441217361247284</v>
      </c>
      <c r="M870" s="7">
        <v>0.14820449907221103</v>
      </c>
      <c r="N870" s="52">
        <v>-0.0016723209992188792</v>
      </c>
      <c r="O870" s="7">
        <v>0.0589999477786729</v>
      </c>
      <c r="P870" s="53">
        <v>102.14</v>
      </c>
      <c r="Q870" s="13">
        <v>1.3223766072169225</v>
      </c>
      <c r="R870" s="13">
        <v>1.2485803798707658</v>
      </c>
      <c r="S870" s="7">
        <v>0.10873379431583155</v>
      </c>
      <c r="T870" s="53">
        <v>112.47</v>
      </c>
      <c r="U870" s="53">
        <v>134.82951887183742</v>
      </c>
      <c r="V870" s="53">
        <v>7.299518871837421</v>
      </c>
    </row>
    <row r="871">
      <c r="A871" s="55">
        <v>44607.0</v>
      </c>
      <c r="B871" s="48">
        <v>6.033984861053503</v>
      </c>
      <c r="C871" s="7">
        <v>0.08720447946909982</v>
      </c>
      <c r="D871" s="49">
        <v>0.08720447946909982</v>
      </c>
      <c r="E871" s="72">
        <v>104.85</v>
      </c>
      <c r="F871" s="7">
        <v>0.026532210691208036</v>
      </c>
      <c r="G871" s="49">
        <v>0.026532210691208036</v>
      </c>
      <c r="H871" s="53">
        <v>118.51795101185995</v>
      </c>
      <c r="I871" s="7">
        <v>0.07454170735555023</v>
      </c>
      <c r="J871" s="7">
        <v>0.8547921828025298</v>
      </c>
      <c r="K871" s="53">
        <v>20.133236254834358</v>
      </c>
      <c r="L871" s="7">
        <v>0.01266277211354959</v>
      </c>
      <c r="M871" s="7">
        <v>0.14520781719747022</v>
      </c>
      <c r="N871" s="52">
        <v>0.06067226877789178</v>
      </c>
      <c r="O871" s="7">
        <v>0.06067226877789178</v>
      </c>
      <c r="P871" s="53">
        <v>102.14</v>
      </c>
      <c r="Q871" s="13">
        <v>1.3223766072169225</v>
      </c>
      <c r="R871" s="13">
        <v>1.2485803798707658</v>
      </c>
      <c r="S871" s="7">
        <v>0.10873379431583155</v>
      </c>
      <c r="T871" s="53">
        <v>112.47</v>
      </c>
      <c r="U871" s="53">
        <v>138.6511872666943</v>
      </c>
      <c r="V871" s="53">
        <v>11.121187266694307</v>
      </c>
    </row>
    <row r="872">
      <c r="A872" s="73">
        <v>44606.0</v>
      </c>
      <c r="B872" s="74">
        <v>5.55</v>
      </c>
      <c r="C872" s="75">
        <v>0.0</v>
      </c>
      <c r="D872" s="75">
        <v>0.0</v>
      </c>
      <c r="E872" s="76">
        <v>96.44</v>
      </c>
      <c r="F872" s="75">
        <v>0.0</v>
      </c>
      <c r="G872" s="77">
        <v>0.0</v>
      </c>
      <c r="H872" s="78">
        <v>0.0</v>
      </c>
      <c r="I872" s="79">
        <v>0.0</v>
      </c>
      <c r="J872" s="75">
        <v>0.0</v>
      </c>
      <c r="K872" s="78">
        <v>0.0</v>
      </c>
      <c r="L872" s="79">
        <v>0.0</v>
      </c>
      <c r="M872" s="75">
        <v>0.0</v>
      </c>
      <c r="N872" s="80">
        <v>0.0</v>
      </c>
      <c r="O872" s="81">
        <v>0.0</v>
      </c>
      <c r="P872" s="82">
        <v>102.14</v>
      </c>
      <c r="Q872" s="83">
        <v>0.0</v>
      </c>
      <c r="R872" s="83">
        <v>0.0</v>
      </c>
      <c r="S872" s="75">
        <v>0.0</v>
      </c>
      <c r="T872" s="82">
        <v>0.0</v>
      </c>
      <c r="U872" s="82">
        <v>0.0</v>
      </c>
      <c r="V872" s="82">
        <v>0.0</v>
      </c>
    </row>
  </sheetData>
  <conditionalFormatting sqref="U1:U595 V1:V872 U597:U872 T872">
    <cfRule type="expression" dxfId="3" priority="1">
      <formula>U1=MAXIFS(U:U,$R:$R,INDEX($R:$R,2))</formula>
    </cfRule>
  </conditionalFormatting>
  <conditionalFormatting sqref="U1:U595 V1:V872 U597:U872 T872">
    <cfRule type="expression" dxfId="4" priority="2">
      <formula>U1=MINIFS(U:U,$R:$R,INDEX($R:$R,2))</formula>
    </cfRule>
  </conditionalFormatting>
  <conditionalFormatting sqref="Q2:R872">
    <cfRule type="expression" dxfId="1" priority="3">
      <formula>$Q2&gt;=$R2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5"/>
    <col customWidth="1" min="2" max="7" width="11.25"/>
  </cols>
  <sheetData>
    <row r="1">
      <c r="A1" s="84" t="s">
        <v>11</v>
      </c>
      <c r="B1" s="85" t="s">
        <v>49</v>
      </c>
      <c r="C1" s="85" t="s">
        <v>50</v>
      </c>
      <c r="D1" s="86" t="s">
        <v>51</v>
      </c>
      <c r="E1" s="87" t="s">
        <v>52</v>
      </c>
      <c r="F1" s="87" t="s">
        <v>53</v>
      </c>
      <c r="G1" s="87" t="s">
        <v>54</v>
      </c>
    </row>
    <row r="2">
      <c r="A2" s="88"/>
      <c r="B2" s="89">
        <f>$G$2/$C$2</f>
        <v>0.07158610815</v>
      </c>
      <c r="C2" s="85">
        <f>Dashboard!$C$13</f>
        <v>603873.1756</v>
      </c>
      <c r="D2" s="90">
        <f t="shared" ref="D2:G2" si="1">SUM(OFFSET(D:D,ROW(),0,ROWS(D:D)))</f>
        <v>118.3543613</v>
      </c>
      <c r="E2" s="91">
        <f t="shared" si="1"/>
        <v>828.480529</v>
      </c>
      <c r="F2" s="91">
        <f t="shared" si="1"/>
        <v>3602.410872</v>
      </c>
      <c r="G2" s="91">
        <f t="shared" si="1"/>
        <v>43228.93046</v>
      </c>
    </row>
    <row r="3">
      <c r="A3" s="92" t="str">
        <f>OFFSET(Dashboard!$A:$A,8,0,ROWS(Dashboard!A:A)-12)</f>
        <v>Solana (SOL)</v>
      </c>
      <c r="B3" s="93">
        <v>0.07</v>
      </c>
      <c r="C3" s="53">
        <f>MAXIFS(Dashboard!$C:$C,Dashboard!$A:$A,$A3)</f>
        <v>624518.2267</v>
      </c>
      <c r="D3" s="94">
        <f t="shared" ref="D3:D6" si="2">$G3/365.25</f>
        <v>119.6886403</v>
      </c>
      <c r="E3" s="95">
        <f t="shared" ref="E3:E6" si="3">$G3/365.25*7</f>
        <v>837.8204821</v>
      </c>
      <c r="F3" s="95">
        <f t="shared" ref="F3:F6" si="4">$G3/12</f>
        <v>3643.022989</v>
      </c>
      <c r="G3" s="95">
        <f t="shared" ref="G3:G6" si="5">INDEX($B:$B,ROW())*INDEX($C:$C,ROW())</f>
        <v>43716.27587</v>
      </c>
    </row>
    <row r="4">
      <c r="A4" s="92" t="s">
        <v>55</v>
      </c>
      <c r="B4" s="93">
        <v>0.06</v>
      </c>
      <c r="C4" s="53">
        <f>MAXIFS(Dashboard!$C:$C,Dashboard!$A:$A,$A4)</f>
        <v>39124.22503</v>
      </c>
      <c r="D4" s="94">
        <f t="shared" si="2"/>
        <v>6.426977418</v>
      </c>
      <c r="E4" s="95">
        <f t="shared" si="3"/>
        <v>44.98884193</v>
      </c>
      <c r="F4" s="95">
        <f t="shared" si="4"/>
        <v>195.6211252</v>
      </c>
      <c r="G4" s="95">
        <f t="shared" si="5"/>
        <v>2347.453502</v>
      </c>
    </row>
    <row r="5">
      <c r="A5" s="96" t="s">
        <v>56</v>
      </c>
      <c r="B5" s="93">
        <v>0.04</v>
      </c>
      <c r="C5" s="53">
        <f>MAXIFS(Dashboard!$C:$C,Dashboard!$A:$A,$A5)</f>
        <v>4877.716158</v>
      </c>
      <c r="D5" s="94">
        <f t="shared" si="2"/>
        <v>0.534178361</v>
      </c>
      <c r="E5" s="95">
        <f t="shared" si="3"/>
        <v>3.739248527</v>
      </c>
      <c r="F5" s="95">
        <f t="shared" si="4"/>
        <v>16.25905386</v>
      </c>
      <c r="G5" s="95">
        <f t="shared" si="5"/>
        <v>195.1086463</v>
      </c>
    </row>
    <row r="6">
      <c r="A6" s="96" t="s">
        <v>57</v>
      </c>
      <c r="B6" s="97">
        <f>IFERROR(__xludf.DUMMYFUNCTION("MAXIFS(Token!F:F,Token!A:A,INDEX(SPLIT($A6,""()""),2))"),0.04686849997678475)</f>
        <v>0.04686849998</v>
      </c>
      <c r="C6" s="53">
        <f>MAXIFS(Dashboard!$C:$C,Dashboard!$A:$A,$A6)</f>
        <v>-64646.99224</v>
      </c>
      <c r="D6" s="94">
        <f t="shared" si="2"/>
        <v>-8.295434782</v>
      </c>
      <c r="E6" s="95">
        <f t="shared" si="3"/>
        <v>-58.06804347</v>
      </c>
      <c r="F6" s="95">
        <f t="shared" si="4"/>
        <v>-252.4922962</v>
      </c>
      <c r="G6" s="95">
        <f t="shared" si="5"/>
        <v>-3029.907554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8" width="13.13"/>
  </cols>
  <sheetData>
    <row r="1">
      <c r="A1" s="2" t="s">
        <v>32</v>
      </c>
      <c r="B1" s="98" t="s">
        <v>58</v>
      </c>
      <c r="C1" s="99" t="s">
        <v>59</v>
      </c>
      <c r="D1" s="3" t="s">
        <v>60</v>
      </c>
      <c r="E1" s="100" t="s">
        <v>60</v>
      </c>
      <c r="F1" s="101" t="s">
        <v>61</v>
      </c>
      <c r="G1" s="102" t="s">
        <v>62</v>
      </c>
      <c r="H1" s="101" t="s">
        <v>13</v>
      </c>
    </row>
    <row r="2">
      <c r="A2" s="3" t="s">
        <v>11</v>
      </c>
      <c r="B2" s="103">
        <f>SUM(OFFSET(B:B,2,0))</f>
        <v>291056.5389</v>
      </c>
      <c r="C2" s="99">
        <f>$D$2/$E$2</f>
        <v>57.72776385</v>
      </c>
      <c r="D2" s="104">
        <f t="shared" ref="D2:E2" si="1">SUM(OFFSET(D:D,2,0))</f>
        <v>289116.9507</v>
      </c>
      <c r="E2" s="105">
        <f t="shared" si="1"/>
        <v>5008.282522</v>
      </c>
      <c r="F2" s="101">
        <f>SUM(OFFSET(F:F,2,0))+FiMsData!$B$5</f>
        <v>1972.699959</v>
      </c>
      <c r="G2" s="106">
        <f>AVERAGE(OFFSET(G:G,2,0))</f>
        <v>0.007212506242</v>
      </c>
      <c r="H2" s="101">
        <f>SUM(OFFSET(H:H,2,0))</f>
        <v>379510.6871</v>
      </c>
    </row>
    <row r="3">
      <c r="A3" s="55">
        <v>45420.0</v>
      </c>
      <c r="B3" s="107">
        <v>2293.59</v>
      </c>
      <c r="C3" s="6">
        <v>138.27317789950433</v>
      </c>
      <c r="D3" s="6">
        <v>2291.293324830428</v>
      </c>
      <c r="E3" s="108">
        <f t="shared" ref="E3:E74" si="2">D3/C3</f>
        <v>16.57077215</v>
      </c>
      <c r="F3" s="109">
        <f t="shared" ref="F3:F74" si="3">ABS(B3-D3)</f>
        <v>2.29667517</v>
      </c>
      <c r="G3" s="110">
        <f t="shared" ref="G3:G74" si="4">ABS(F3/B3)</f>
        <v>0.001001345127</v>
      </c>
      <c r="H3" s="111">
        <f>$E3*HLOOKUP("*(SOL)*",Price!$A:$CE,2,0)-$D3</f>
        <v>-79.02271346</v>
      </c>
    </row>
    <row r="4">
      <c r="A4" s="55">
        <v>45389.0</v>
      </c>
      <c r="B4" s="107">
        <v>2918.39394</v>
      </c>
      <c r="C4" s="6">
        <v>166.2819767710034</v>
      </c>
      <c r="D4" s="6">
        <v>2915.48011305</v>
      </c>
      <c r="E4" s="108">
        <f t="shared" si="2"/>
        <v>17.53335009</v>
      </c>
      <c r="F4" s="109">
        <f t="shared" si="3"/>
        <v>2.91382695</v>
      </c>
      <c r="G4" s="110">
        <f t="shared" si="4"/>
        <v>0.0009984351016</v>
      </c>
      <c r="H4" s="111">
        <f>$E4*HLOOKUP("*(SOL)*",Price!$A:$CE,2,0)-$D4</f>
        <v>-574.7011324</v>
      </c>
    </row>
    <row r="5">
      <c r="A5" s="55">
        <v>45365.0</v>
      </c>
      <c r="B5" s="107">
        <v>614.51308</v>
      </c>
      <c r="C5" s="6">
        <v>158.68097342287305</v>
      </c>
      <c r="D5" s="6">
        <v>613.8985669199999</v>
      </c>
      <c r="E5" s="108">
        <f t="shared" si="2"/>
        <v>3.868759774</v>
      </c>
      <c r="F5" s="109">
        <f t="shared" si="3"/>
        <v>0.61451308</v>
      </c>
      <c r="G5" s="110">
        <f t="shared" si="4"/>
        <v>0.001</v>
      </c>
      <c r="H5" s="111">
        <f>$E5*HLOOKUP("*(SOL)*",Price!$A:$CE,2,0)-$D5</f>
        <v>-97.40220358</v>
      </c>
    </row>
    <row r="6">
      <c r="A6" s="55">
        <v>45353.0</v>
      </c>
      <c r="B6" s="112">
        <v>964.0596</v>
      </c>
      <c r="C6" s="6">
        <v>118.45955170187254</v>
      </c>
      <c r="D6" s="6">
        <v>963.0955404</v>
      </c>
      <c r="E6" s="108">
        <f t="shared" si="2"/>
        <v>8.130163643</v>
      </c>
      <c r="F6" s="109">
        <f t="shared" si="3"/>
        <v>0.9640596</v>
      </c>
      <c r="G6" s="110">
        <f t="shared" si="4"/>
        <v>0.001</v>
      </c>
      <c r="H6" s="111">
        <f>$E6*HLOOKUP("*(SOL)*",Price!$A:$CE,2,0)-$D6</f>
        <v>122.3168915</v>
      </c>
    </row>
    <row r="7">
      <c r="A7" s="55">
        <v>45342.0</v>
      </c>
      <c r="B7" s="112">
        <v>4968.851848574838</v>
      </c>
      <c r="C7" s="6">
        <v>100.66886847436928</v>
      </c>
      <c r="D7" s="6">
        <v>4963.882996726264</v>
      </c>
      <c r="E7" s="108">
        <f t="shared" si="2"/>
        <v>49.30901749</v>
      </c>
      <c r="F7" s="109">
        <f t="shared" si="3"/>
        <v>4.968851849</v>
      </c>
      <c r="G7" s="110">
        <f t="shared" si="4"/>
        <v>0.001</v>
      </c>
      <c r="H7" s="111">
        <f>$E7*HLOOKUP("*(SOL)*",Price!$A:$CE,2,0)-$D7</f>
        <v>1619.086663</v>
      </c>
    </row>
    <row r="8">
      <c r="A8" s="55">
        <v>45324.0</v>
      </c>
      <c r="B8" s="112">
        <v>1443.00849</v>
      </c>
      <c r="C8" s="6">
        <v>92.87693576638277</v>
      </c>
      <c r="D8" s="6">
        <v>1441.56548151</v>
      </c>
      <c r="E8" s="108">
        <f t="shared" si="2"/>
        <v>15.52124292</v>
      </c>
      <c r="F8" s="109">
        <f t="shared" si="3"/>
        <v>1.44300849</v>
      </c>
      <c r="G8" s="110">
        <f t="shared" si="4"/>
        <v>0.001</v>
      </c>
      <c r="H8" s="111">
        <f>$E8*HLOOKUP("*(SOL)*",Price!$A:$CE,2,0)-$D8</f>
        <v>630.5883842</v>
      </c>
    </row>
    <row r="9">
      <c r="A9" s="55">
        <v>45288.0</v>
      </c>
      <c r="B9" s="107">
        <v>10000.0</v>
      </c>
      <c r="C9" s="6">
        <v>98.0</v>
      </c>
      <c r="D9" s="6">
        <v>9996.0</v>
      </c>
      <c r="E9" s="113">
        <f t="shared" si="2"/>
        <v>102</v>
      </c>
      <c r="F9" s="109">
        <f t="shared" si="3"/>
        <v>4</v>
      </c>
      <c r="G9" s="110">
        <f t="shared" si="4"/>
        <v>0.0004</v>
      </c>
      <c r="H9" s="111">
        <f>$E9*HLOOKUP("*(SOL)*",Price!$A:$CE,2,0)-$D9</f>
        <v>3621.446452</v>
      </c>
    </row>
    <row r="10">
      <c r="A10" s="55">
        <v>45252.0</v>
      </c>
      <c r="B10" s="112">
        <v>850.64</v>
      </c>
      <c r="C10" s="6">
        <v>57.8</v>
      </c>
      <c r="D10" s="6">
        <v>849.78936</v>
      </c>
      <c r="E10" s="108">
        <f t="shared" si="2"/>
        <v>14.70223806</v>
      </c>
      <c r="F10" s="109">
        <f t="shared" si="3"/>
        <v>0.85064</v>
      </c>
      <c r="G10" s="110">
        <f t="shared" si="4"/>
        <v>0.001</v>
      </c>
      <c r="H10" s="111">
        <f>$E10*HLOOKUP("*(SOL)*",Price!$A:$CE,2,0)-$D10</f>
        <v>1113.023773</v>
      </c>
    </row>
    <row r="11">
      <c r="A11" s="55">
        <v>45241.0</v>
      </c>
      <c r="B11" s="112">
        <v>6904.961141713506</v>
      </c>
      <c r="C11" s="6">
        <v>58.39</v>
      </c>
      <c r="D11" s="6">
        <v>6898.0561805717925</v>
      </c>
      <c r="E11" s="108">
        <f t="shared" si="2"/>
        <v>118.1376294</v>
      </c>
      <c r="F11" s="109">
        <f t="shared" si="3"/>
        <v>6.904961142</v>
      </c>
      <c r="G11" s="110">
        <f t="shared" si="4"/>
        <v>0.001</v>
      </c>
      <c r="H11" s="111">
        <f>$E11*HLOOKUP("*(SOL)*",Price!$A:$CE,2,0)-$D11</f>
        <v>8873.83443</v>
      </c>
    </row>
    <row r="12">
      <c r="A12" s="55">
        <v>45230.0</v>
      </c>
      <c r="B12" s="107">
        <v>-10000.0</v>
      </c>
      <c r="C12" s="6">
        <v>47.61904761904762</v>
      </c>
      <c r="D12" s="6">
        <v>-10000.0</v>
      </c>
      <c r="E12" s="113">
        <f t="shared" si="2"/>
        <v>-210</v>
      </c>
      <c r="F12" s="109">
        <f t="shared" si="3"/>
        <v>0</v>
      </c>
      <c r="G12" s="110">
        <f t="shared" si="4"/>
        <v>0</v>
      </c>
      <c r="H12" s="111">
        <f>$E12*HLOOKUP("*(SOL)*",Price!$A:$CE,2,0)-$D12</f>
        <v>-18035.91917</v>
      </c>
    </row>
    <row r="13">
      <c r="A13" s="55">
        <v>45230.0</v>
      </c>
      <c r="B13" s="107">
        <v>-4234.470239524098</v>
      </c>
      <c r="C13" s="6">
        <v>34.734620210673626</v>
      </c>
      <c r="D13" s="6">
        <v>-4238.157973553373</v>
      </c>
      <c r="E13" s="108">
        <f t="shared" si="2"/>
        <v>-122.0153826</v>
      </c>
      <c r="F13" s="109">
        <f t="shared" si="3"/>
        <v>3.687734029</v>
      </c>
      <c r="G13" s="110">
        <f t="shared" si="4"/>
        <v>0.0008708843895</v>
      </c>
      <c r="H13" s="111">
        <f>$E13*HLOOKUP("*(SOL)*",Price!$A:$CE,2,0)-$D13</f>
        <v>-12051.42966</v>
      </c>
    </row>
    <row r="14">
      <c r="A14" s="55">
        <v>45230.0</v>
      </c>
      <c r="B14" s="107">
        <v>-1778.8253498513407</v>
      </c>
      <c r="C14" s="6">
        <v>33.17069480691403</v>
      </c>
      <c r="D14" s="6">
        <v>-1780.6692168659781</v>
      </c>
      <c r="E14" s="108">
        <f t="shared" si="2"/>
        <v>-53.68199934</v>
      </c>
      <c r="F14" s="109">
        <f t="shared" si="3"/>
        <v>1.843867015</v>
      </c>
      <c r="G14" s="110">
        <f t="shared" si="4"/>
        <v>0.001036564391</v>
      </c>
      <c r="H14" s="111">
        <f>$E14*HLOOKUP("*(SOL)*",Price!$A:$CE,2,0)-$D14</f>
        <v>-5386.112661</v>
      </c>
    </row>
    <row r="15">
      <c r="A15" s="55">
        <v>45229.0</v>
      </c>
      <c r="B15" s="112">
        <v>-7230.974</v>
      </c>
      <c r="C15" s="6">
        <v>34.96</v>
      </c>
      <c r="D15" s="6">
        <v>-7223.743026</v>
      </c>
      <c r="E15" s="108">
        <f t="shared" si="2"/>
        <v>-206.6288051</v>
      </c>
      <c r="F15" s="109">
        <f t="shared" si="3"/>
        <v>7.230974</v>
      </c>
      <c r="G15" s="110">
        <f t="shared" si="4"/>
        <v>0.001</v>
      </c>
      <c r="H15" s="111">
        <f>$E15*HLOOKUP("*(SOL)*",Price!$A:$CE,2,0)-$D15</f>
        <v>-20362.10686</v>
      </c>
    </row>
    <row r="16">
      <c r="A16" s="55">
        <v>45224.0</v>
      </c>
      <c r="B16" s="107">
        <v>-2040.1134806724644</v>
      </c>
      <c r="C16" s="6">
        <v>31.50783438044054</v>
      </c>
      <c r="D16" s="6">
        <v>-2041.958534037085</v>
      </c>
      <c r="E16" s="108">
        <f t="shared" si="2"/>
        <v>-64.80796203</v>
      </c>
      <c r="F16" s="109">
        <f t="shared" si="3"/>
        <v>1.845053365</v>
      </c>
      <c r="G16" s="110">
        <f t="shared" si="4"/>
        <v>0.0009043876148</v>
      </c>
      <c r="H16" s="111">
        <f>$E16*HLOOKUP("*(SOL)*",Price!$A:$CE,2,0)-$D16</f>
        <v>-6610.188059</v>
      </c>
    </row>
    <row r="17">
      <c r="A17" s="55">
        <v>45224.0</v>
      </c>
      <c r="B17" s="107">
        <v>-229.32104682346116</v>
      </c>
      <c r="C17" s="6">
        <v>28.905836045719475</v>
      </c>
      <c r="D17" s="6">
        <v>-229.4502005589846</v>
      </c>
      <c r="E17" s="108">
        <f t="shared" si="2"/>
        <v>-7.937850343</v>
      </c>
      <c r="F17" s="109">
        <f t="shared" si="3"/>
        <v>0.1291537355</v>
      </c>
      <c r="G17" s="110">
        <f t="shared" si="4"/>
        <v>0.0005632005318</v>
      </c>
      <c r="H17" s="111">
        <f>$E17*HLOOKUP("*(SOL)*",Price!$A:$CE,2,0)-$D17</f>
        <v>-830.287564</v>
      </c>
    </row>
    <row r="18">
      <c r="A18" s="55">
        <v>45042.0</v>
      </c>
      <c r="B18" s="112">
        <v>999.693</v>
      </c>
      <c r="C18" s="6">
        <v>21.3</v>
      </c>
      <c r="D18" s="6">
        <v>998.693307</v>
      </c>
      <c r="E18" s="108">
        <f t="shared" si="2"/>
        <v>46.88700972</v>
      </c>
      <c r="F18" s="109">
        <f t="shared" si="3"/>
        <v>0.999693</v>
      </c>
      <c r="G18" s="110">
        <f t="shared" si="4"/>
        <v>0.001</v>
      </c>
      <c r="H18" s="111">
        <f>$E18*HLOOKUP("*(SOL)*",Price!$A:$CE,2,0)-$D18</f>
        <v>5260.927714</v>
      </c>
    </row>
    <row r="19">
      <c r="A19" s="55">
        <v>45001.0</v>
      </c>
      <c r="B19" s="112">
        <v>6339.754968339521</v>
      </c>
      <c r="C19" s="6">
        <v>21.99</v>
      </c>
      <c r="D19" s="6">
        <v>6333.415213371181</v>
      </c>
      <c r="E19" s="108">
        <f t="shared" si="2"/>
        <v>288.0134249</v>
      </c>
      <c r="F19" s="109">
        <f t="shared" si="3"/>
        <v>6.339754968</v>
      </c>
      <c r="G19" s="110">
        <f t="shared" si="4"/>
        <v>0.001</v>
      </c>
      <c r="H19" s="111">
        <f>$E19*HLOOKUP("*(SOL)*",Price!$A:$CE,2,0)-$D19</f>
        <v>32117.63764</v>
      </c>
    </row>
    <row r="20">
      <c r="A20" s="55">
        <v>44971.0</v>
      </c>
      <c r="B20" s="112">
        <v>-998.4199277959884</v>
      </c>
      <c r="C20" s="6">
        <v>21.67</v>
      </c>
      <c r="D20" s="6">
        <v>-997.4215078681924</v>
      </c>
      <c r="E20" s="108">
        <f t="shared" si="2"/>
        <v>-46.02775763</v>
      </c>
      <c r="F20" s="109">
        <f t="shared" si="3"/>
        <v>0.9984199278</v>
      </c>
      <c r="G20" s="110">
        <f t="shared" si="4"/>
        <v>0.001</v>
      </c>
      <c r="H20" s="111">
        <f>$E20*HLOOKUP("*(SOL)*",Price!$A:$CE,2,0)-$D20</f>
        <v>-5147.485598</v>
      </c>
    </row>
    <row r="21">
      <c r="A21" s="55">
        <v>44943.0</v>
      </c>
      <c r="B21" s="112">
        <v>-1023.7621726129124</v>
      </c>
      <c r="C21" s="6">
        <v>23.22</v>
      </c>
      <c r="D21" s="6">
        <v>-1022.7384104402995</v>
      </c>
      <c r="E21" s="108">
        <f t="shared" si="2"/>
        <v>-44.04558184</v>
      </c>
      <c r="F21" s="109">
        <f t="shared" si="3"/>
        <v>1.023762173</v>
      </c>
      <c r="G21" s="110">
        <f t="shared" si="4"/>
        <v>0.001</v>
      </c>
      <c r="H21" s="111">
        <f>$E21*HLOOKUP("*(SOL)*",Price!$A:$CE,2,0)-$D21</f>
        <v>-4857.539552</v>
      </c>
    </row>
    <row r="22">
      <c r="A22" s="55">
        <v>44939.0</v>
      </c>
      <c r="B22" s="112">
        <v>-1004.5510668661598</v>
      </c>
      <c r="C22" s="6">
        <v>18.13</v>
      </c>
      <c r="D22" s="6">
        <v>-1003.5465157992936</v>
      </c>
      <c r="E22" s="108">
        <f t="shared" si="2"/>
        <v>-55.35281389</v>
      </c>
      <c r="F22" s="109">
        <f t="shared" si="3"/>
        <v>1.004551067</v>
      </c>
      <c r="G22" s="110">
        <f t="shared" si="4"/>
        <v>0.001</v>
      </c>
      <c r="H22" s="111">
        <f>$E22*HLOOKUP("*(SOL)*",Price!$A:$CE,2,0)-$D22</f>
        <v>-6386.296416</v>
      </c>
    </row>
    <row r="23">
      <c r="A23" s="55">
        <v>44903.0</v>
      </c>
      <c r="B23" s="112">
        <v>998.991609</v>
      </c>
      <c r="C23" s="6">
        <v>13.67</v>
      </c>
      <c r="D23" s="6">
        <v>997.9926173910001</v>
      </c>
      <c r="E23" s="108">
        <f t="shared" si="2"/>
        <v>73.0060437</v>
      </c>
      <c r="F23" s="109">
        <f t="shared" si="3"/>
        <v>0.998991609</v>
      </c>
      <c r="G23" s="110">
        <f t="shared" si="4"/>
        <v>0.001</v>
      </c>
      <c r="H23" s="111">
        <f>$E23*HLOOKUP("*(SOL)*",Price!$A:$CE,2,0)-$D23</f>
        <v>8748.633763</v>
      </c>
    </row>
    <row r="24">
      <c r="A24" s="55">
        <v>44895.0</v>
      </c>
      <c r="B24" s="112">
        <v>13.44680194159218</v>
      </c>
      <c r="C24" s="6">
        <v>13.86</v>
      </c>
      <c r="D24" s="6">
        <v>13.433355139650587</v>
      </c>
      <c r="E24" s="108">
        <f t="shared" si="2"/>
        <v>0.9692175425</v>
      </c>
      <c r="F24" s="109">
        <f t="shared" si="3"/>
        <v>0.01344680194</v>
      </c>
      <c r="G24" s="110">
        <f t="shared" si="4"/>
        <v>0.001</v>
      </c>
      <c r="H24" s="111">
        <f>$E24*HLOOKUP("*(SOL)*",Price!$A:$CE,2,0)-$D24</f>
        <v>115.961429</v>
      </c>
    </row>
    <row r="25">
      <c r="A25" s="55">
        <v>44884.0</v>
      </c>
      <c r="B25" s="112">
        <v>10.639338081694252</v>
      </c>
      <c r="C25" s="6">
        <v>12.93</v>
      </c>
      <c r="D25" s="6">
        <v>10.628698743612558</v>
      </c>
      <c r="E25" s="108">
        <f t="shared" si="2"/>
        <v>0.8220184643</v>
      </c>
      <c r="F25" s="109">
        <f t="shared" si="3"/>
        <v>0.01063933808</v>
      </c>
      <c r="G25" s="110">
        <f t="shared" si="4"/>
        <v>0.001</v>
      </c>
      <c r="H25" s="111">
        <f>$E25*HLOOKUP("*(SOL)*",Price!$A:$CE,2,0)-$D25</f>
        <v>99.1143642</v>
      </c>
    </row>
    <row r="26">
      <c r="A26" s="55">
        <v>44884.0</v>
      </c>
      <c r="B26" s="112">
        <v>-11.626359053051186</v>
      </c>
      <c r="C26" s="6">
        <v>12.93</v>
      </c>
      <c r="D26" s="6">
        <v>-11.614732693998134</v>
      </c>
      <c r="E26" s="108">
        <f t="shared" si="2"/>
        <v>-0.8982778572</v>
      </c>
      <c r="F26" s="109">
        <f t="shared" si="3"/>
        <v>0.01162635905</v>
      </c>
      <c r="G26" s="110">
        <f t="shared" si="4"/>
        <v>0.001</v>
      </c>
      <c r="H26" s="111">
        <f>$E26*HLOOKUP("*(SOL)*",Price!$A:$CE,2,0)-$D26</f>
        <v>-108.309293</v>
      </c>
    </row>
    <row r="27">
      <c r="A27" s="55">
        <v>44881.0</v>
      </c>
      <c r="B27" s="112">
        <v>14.42735899550335</v>
      </c>
      <c r="C27" s="6">
        <v>14.26</v>
      </c>
      <c r="D27" s="6">
        <v>14.412931636507848</v>
      </c>
      <c r="E27" s="108">
        <f t="shared" si="2"/>
        <v>1.010724519</v>
      </c>
      <c r="F27" s="109">
        <f t="shared" si="3"/>
        <v>0.014427359</v>
      </c>
      <c r="G27" s="110">
        <f t="shared" si="4"/>
        <v>0.001</v>
      </c>
      <c r="H27" s="111">
        <f>$E27*HLOOKUP("*(SOL)*",Price!$A:$CE,2,0)-$D27</f>
        <v>120.5232155</v>
      </c>
    </row>
    <row r="28">
      <c r="A28" s="55">
        <v>44872.0</v>
      </c>
      <c r="B28" s="29">
        <v>-171.26386690194101</v>
      </c>
      <c r="C28" s="6">
        <v>34.1007310310058</v>
      </c>
      <c r="D28" s="6">
        <v>-171.21250315099573</v>
      </c>
      <c r="E28" s="108">
        <f t="shared" si="2"/>
        <v>-5.020786886</v>
      </c>
      <c r="F28" s="109">
        <f t="shared" si="3"/>
        <v>0.05136375095</v>
      </c>
      <c r="G28" s="110">
        <f t="shared" si="4"/>
        <v>0.000299910027</v>
      </c>
      <c r="H28" s="111">
        <f>$E28*HLOOKUP("*(SOL)*",Price!$A:$CE,2,0)-$D28</f>
        <v>-499.084522</v>
      </c>
    </row>
    <row r="29">
      <c r="A29" s="55">
        <v>44869.0</v>
      </c>
      <c r="B29" s="29">
        <v>-24.516298874245198</v>
      </c>
      <c r="C29" s="6">
        <v>34.206964912458155</v>
      </c>
      <c r="D29" s="6">
        <v>-24.50404685081979</v>
      </c>
      <c r="E29" s="108">
        <f t="shared" si="2"/>
        <v>-0.7163467122</v>
      </c>
      <c r="F29" s="109">
        <f t="shared" si="3"/>
        <v>0.01225202343</v>
      </c>
      <c r="G29" s="110">
        <f t="shared" si="4"/>
        <v>0.0004997501249</v>
      </c>
      <c r="H29" s="111">
        <f>$E29*HLOOKUP("*(SOL)*",Price!$A:$CE,2,0)-$D29</f>
        <v>-71.13137467</v>
      </c>
    </row>
    <row r="30">
      <c r="A30" s="55">
        <v>44869.0</v>
      </c>
      <c r="B30" s="29">
        <v>-157.8208913747398</v>
      </c>
      <c r="C30" s="6">
        <v>34.206964912458155</v>
      </c>
      <c r="D30" s="6">
        <v>-157.7735593069477</v>
      </c>
      <c r="E30" s="108">
        <f t="shared" si="2"/>
        <v>-4.612322657</v>
      </c>
      <c r="F30" s="109">
        <f t="shared" si="3"/>
        <v>0.04733206779</v>
      </c>
      <c r="G30" s="110">
        <f t="shared" si="4"/>
        <v>0.000299910027</v>
      </c>
      <c r="H30" s="111">
        <f>$E30*HLOOKUP("*(SOL)*",Price!$A:$CE,2,0)-$D30</f>
        <v>-457.9917035</v>
      </c>
    </row>
    <row r="31">
      <c r="A31" s="55">
        <v>44869.0</v>
      </c>
      <c r="B31" s="29">
        <v>-9210.95882372278</v>
      </c>
      <c r="C31" s="6">
        <v>34.206964912458155</v>
      </c>
      <c r="D31" s="6">
        <v>-9208.196364813335</v>
      </c>
      <c r="E31" s="108">
        <f t="shared" si="2"/>
        <v>-269.1906864</v>
      </c>
      <c r="F31" s="109">
        <f t="shared" si="3"/>
        <v>2.762458909</v>
      </c>
      <c r="G31" s="110">
        <f t="shared" si="4"/>
        <v>0.000299910027</v>
      </c>
      <c r="H31" s="111">
        <f>$E31*HLOOKUP("*(SOL)*",Price!$A:$CE,2,0)-$D31</f>
        <v>-26729.93851</v>
      </c>
    </row>
    <row r="32">
      <c r="A32" s="55">
        <v>44869.0</v>
      </c>
      <c r="B32" s="29">
        <v>-725.2463182872091</v>
      </c>
      <c r="C32" s="6">
        <v>34.206964912458155</v>
      </c>
      <c r="D32" s="6">
        <v>-724.8838763490346</v>
      </c>
      <c r="E32" s="108">
        <f t="shared" si="2"/>
        <v>-21.19111936</v>
      </c>
      <c r="F32" s="109">
        <f t="shared" si="3"/>
        <v>0.3624419382</v>
      </c>
      <c r="G32" s="110">
        <f t="shared" si="4"/>
        <v>0.0004997501249</v>
      </c>
      <c r="H32" s="111">
        <f>$E32*HLOOKUP("*(SOL)*",Price!$A:$CE,2,0)-$D32</f>
        <v>-2104.223311</v>
      </c>
    </row>
    <row r="33">
      <c r="A33" s="55">
        <v>44856.0</v>
      </c>
      <c r="B33" s="112">
        <v>12.101477802381543</v>
      </c>
      <c r="C33" s="6">
        <v>28.0</v>
      </c>
      <c r="D33" s="6">
        <v>12.089376324579161</v>
      </c>
      <c r="E33" s="108">
        <f t="shared" si="2"/>
        <v>0.4317634402</v>
      </c>
      <c r="F33" s="109">
        <f t="shared" si="3"/>
        <v>0.0121014778</v>
      </c>
      <c r="G33" s="110">
        <f t="shared" si="4"/>
        <v>0.001</v>
      </c>
      <c r="H33" s="111">
        <f>$E33*HLOOKUP("*(SOL)*",Price!$A:$CE,2,0)-$D33</f>
        <v>45.55293276</v>
      </c>
    </row>
    <row r="34">
      <c r="A34" s="55">
        <v>44856.0</v>
      </c>
      <c r="B34" s="112">
        <v>-12.167829528055833</v>
      </c>
      <c r="C34" s="6">
        <v>28.0</v>
      </c>
      <c r="D34" s="6">
        <v>-12.155661698527778</v>
      </c>
      <c r="E34" s="108">
        <f t="shared" si="2"/>
        <v>-0.4341307749</v>
      </c>
      <c r="F34" s="109">
        <f t="shared" si="3"/>
        <v>0.01216782953</v>
      </c>
      <c r="G34" s="110">
        <f t="shared" si="4"/>
        <v>0.001</v>
      </c>
      <c r="H34" s="111">
        <f>$E34*HLOOKUP("*(SOL)*",Price!$A:$CE,2,0)-$D34</f>
        <v>-45.80269694</v>
      </c>
    </row>
    <row r="35">
      <c r="A35" s="55">
        <v>44856.0</v>
      </c>
      <c r="B35" s="29">
        <v>-684.4026457222545</v>
      </c>
      <c r="C35" s="6">
        <v>28.394974089586142</v>
      </c>
      <c r="D35" s="6">
        <v>-684.1973865063027</v>
      </c>
      <c r="E35" s="108">
        <f t="shared" si="2"/>
        <v>-24.09572146</v>
      </c>
      <c r="F35" s="109">
        <f t="shared" si="3"/>
        <v>0.205259216</v>
      </c>
      <c r="G35" s="110">
        <f t="shared" si="4"/>
        <v>0.000299910027</v>
      </c>
      <c r="H35" s="111">
        <f>$E35*HLOOKUP("*(SOL)*",Price!$A:$CE,2,0)-$D35</f>
        <v>-2532.686895</v>
      </c>
    </row>
    <row r="36">
      <c r="A36" s="55">
        <v>44842.0</v>
      </c>
      <c r="B36" s="29">
        <v>-0.9967367826446281</v>
      </c>
      <c r="C36" s="6">
        <v>33.76623376623377</v>
      </c>
      <c r="D36" s="6">
        <v>-0.9962386633129716</v>
      </c>
      <c r="E36" s="108">
        <f t="shared" si="2"/>
        <v>-0.02950399118</v>
      </c>
      <c r="F36" s="109">
        <f t="shared" si="3"/>
        <v>0.0004981193317</v>
      </c>
      <c r="G36" s="110">
        <f t="shared" si="4"/>
        <v>0.0004997501249</v>
      </c>
      <c r="H36" s="111">
        <f>$E36*HLOOKUP("*(SOL)*",Price!$A:$CE,2,0)-$D36</f>
        <v>-2.942673298</v>
      </c>
    </row>
    <row r="37">
      <c r="A37" s="55">
        <v>44834.0</v>
      </c>
      <c r="B37" s="112">
        <v>-389.99621427895727</v>
      </c>
      <c r="C37" s="6">
        <v>33.33</v>
      </c>
      <c r="D37" s="6">
        <v>-389.60621806467833</v>
      </c>
      <c r="E37" s="108">
        <f t="shared" si="2"/>
        <v>-11.68935548</v>
      </c>
      <c r="F37" s="109">
        <f t="shared" si="3"/>
        <v>0.3899962143</v>
      </c>
      <c r="G37" s="110">
        <f t="shared" si="4"/>
        <v>0.001</v>
      </c>
      <c r="H37" s="111">
        <f>$E37*HLOOKUP("*(SOL)*",Price!$A:$CE,2,0)-$D37</f>
        <v>-1170.973902</v>
      </c>
    </row>
    <row r="38">
      <c r="A38" s="55">
        <v>44834.0</v>
      </c>
      <c r="B38" s="112">
        <v>30.580020815051583</v>
      </c>
      <c r="C38" s="6">
        <v>33.33</v>
      </c>
      <c r="D38" s="6">
        <v>30.54944079423653</v>
      </c>
      <c r="E38" s="108">
        <f t="shared" si="2"/>
        <v>0.9165748813</v>
      </c>
      <c r="F38" s="109">
        <f t="shared" si="3"/>
        <v>0.03058002082</v>
      </c>
      <c r="G38" s="110">
        <f t="shared" si="4"/>
        <v>0.001</v>
      </c>
      <c r="H38" s="111">
        <f>$E38*HLOOKUP("*(SOL)*",Price!$A:$CE,2,0)-$D38</f>
        <v>91.81731769</v>
      </c>
    </row>
    <row r="39">
      <c r="A39" s="55">
        <v>44834.0</v>
      </c>
      <c r="B39" s="112">
        <v>-30.643581414615692</v>
      </c>
      <c r="C39" s="6">
        <v>33.33</v>
      </c>
      <c r="D39" s="6">
        <v>-30.612937833201077</v>
      </c>
      <c r="E39" s="108">
        <f t="shared" si="2"/>
        <v>-0.918479983</v>
      </c>
      <c r="F39" s="109">
        <f t="shared" si="3"/>
        <v>0.03064358141</v>
      </c>
      <c r="G39" s="110">
        <f t="shared" si="4"/>
        <v>0.001</v>
      </c>
      <c r="H39" s="111">
        <f>$E39*HLOOKUP("*(SOL)*",Price!$A:$CE,2,0)-$D39</f>
        <v>-92.00816006</v>
      </c>
    </row>
    <row r="40">
      <c r="A40" s="55">
        <v>44829.0</v>
      </c>
      <c r="B40" s="112">
        <v>38.15711281381995</v>
      </c>
      <c r="C40" s="6">
        <v>32.3</v>
      </c>
      <c r="D40" s="6">
        <v>38.11895570100613</v>
      </c>
      <c r="E40" s="108">
        <f t="shared" si="2"/>
        <v>1.180153427</v>
      </c>
      <c r="F40" s="109">
        <f t="shared" si="3"/>
        <v>0.03815711281</v>
      </c>
      <c r="G40" s="110">
        <f t="shared" si="4"/>
        <v>0.001</v>
      </c>
      <c r="H40" s="111">
        <f>$E40*HLOOKUP("*(SOL)*",Price!$A:$CE,2,0)-$D40</f>
        <v>119.4366923</v>
      </c>
    </row>
    <row r="41">
      <c r="A41" s="55">
        <v>44829.0</v>
      </c>
      <c r="B41" s="29">
        <v>-24.40841390176794</v>
      </c>
      <c r="C41" s="6">
        <v>33.316485987477954</v>
      </c>
      <c r="D41" s="6">
        <v>-24.396215793871008</v>
      </c>
      <c r="E41" s="108">
        <f t="shared" si="2"/>
        <v>-0.7322565712</v>
      </c>
      <c r="F41" s="109">
        <f t="shared" si="3"/>
        <v>0.0121981079</v>
      </c>
      <c r="G41" s="110">
        <f t="shared" si="4"/>
        <v>0.0004997501249</v>
      </c>
      <c r="H41" s="111">
        <f>$E41*HLOOKUP("*(SOL)*",Price!$A:$CE,2,0)-$D41</f>
        <v>-73.36324153</v>
      </c>
    </row>
    <row r="42">
      <c r="A42" s="55">
        <v>44829.0</v>
      </c>
      <c r="B42" s="29">
        <v>-374.78562086426575</v>
      </c>
      <c r="C42" s="6">
        <v>33.316485987477954</v>
      </c>
      <c r="D42" s="6">
        <v>-374.6732188985962</v>
      </c>
      <c r="E42" s="108">
        <f t="shared" si="2"/>
        <v>-11.24588046</v>
      </c>
      <c r="F42" s="109">
        <f t="shared" si="3"/>
        <v>0.1124019657</v>
      </c>
      <c r="G42" s="110">
        <f t="shared" si="4"/>
        <v>0.000299910027</v>
      </c>
      <c r="H42" s="111">
        <f>$E42*HLOOKUP("*(SOL)*",Price!$A:$CE,2,0)-$D42</f>
        <v>-1126.701046</v>
      </c>
    </row>
    <row r="43">
      <c r="A43" s="55">
        <v>44782.0</v>
      </c>
      <c r="B43" s="56">
        <v>-46000.0</v>
      </c>
      <c r="C43" s="6">
        <v>34.89284636281316</v>
      </c>
      <c r="D43" s="6">
        <v>-45986.467451453864</v>
      </c>
      <c r="E43" s="108">
        <f t="shared" si="2"/>
        <v>-1317.933968</v>
      </c>
      <c r="F43" s="109">
        <f t="shared" si="3"/>
        <v>13.53254855</v>
      </c>
      <c r="G43" s="110">
        <f t="shared" si="4"/>
        <v>0.000294185838</v>
      </c>
      <c r="H43" s="111">
        <f>$E43*HLOOKUP("*(SOL)*",Price!$A:$CE,2,0)-$D43</f>
        <v>-129963.4858</v>
      </c>
    </row>
    <row r="44">
      <c r="A44" s="55">
        <v>44782.0</v>
      </c>
      <c r="B44" s="56">
        <v>43000.0</v>
      </c>
      <c r="C44" s="6">
        <v>40.85841125511971</v>
      </c>
      <c r="D44" s="6">
        <v>42873.46389067096</v>
      </c>
      <c r="E44" s="113">
        <f t="shared" si="2"/>
        <v>1049.317939</v>
      </c>
      <c r="F44" s="109">
        <f t="shared" si="3"/>
        <v>126.5361093</v>
      </c>
      <c r="G44" s="110">
        <f t="shared" si="4"/>
        <v>0.002942700217</v>
      </c>
      <c r="H44" s="111">
        <f>$E44*HLOOKUP("*(SOL)*",Price!$A:$CE,2,0)-$D44</f>
        <v>97215.07381</v>
      </c>
    </row>
    <row r="45">
      <c r="A45" s="55">
        <v>44781.0</v>
      </c>
      <c r="B45" s="56">
        <v>98000.0</v>
      </c>
      <c r="C45" s="6">
        <v>37.62488804904587</v>
      </c>
      <c r="D45" s="6">
        <v>97711.12952363405</v>
      </c>
      <c r="E45" s="113">
        <f t="shared" si="2"/>
        <v>2596.981269</v>
      </c>
      <c r="F45" s="109">
        <f t="shared" si="3"/>
        <v>288.8704764</v>
      </c>
      <c r="G45" s="110">
        <f t="shared" si="4"/>
        <v>0.002947657922</v>
      </c>
      <c r="H45" s="111">
        <f>$E45*HLOOKUP("*(SOL)*",Price!$A:$CE,2,0)-$D45</f>
        <v>248997.2369</v>
      </c>
    </row>
    <row r="46">
      <c r="A46" s="55">
        <v>44756.0</v>
      </c>
      <c r="B46" s="56">
        <v>26300.0</v>
      </c>
      <c r="C46" s="6">
        <v>36.94672727455171</v>
      </c>
      <c r="D46" s="6">
        <v>26247.73078960836</v>
      </c>
      <c r="E46" s="108">
        <f t="shared" si="2"/>
        <v>710.420996</v>
      </c>
      <c r="F46" s="109">
        <f t="shared" si="3"/>
        <v>52.26921039</v>
      </c>
      <c r="G46" s="110">
        <f t="shared" si="4"/>
        <v>0.001987422448</v>
      </c>
      <c r="H46" s="111">
        <f>$E46*HLOOKUP("*(SOL)*",Price!$A:$CE,2,0)-$D46</f>
        <v>68596.58168</v>
      </c>
    </row>
    <row r="47">
      <c r="A47" s="55">
        <v>44735.0</v>
      </c>
      <c r="B47" s="56">
        <v>40000.0</v>
      </c>
      <c r="C47" s="6">
        <v>37.81030344997676</v>
      </c>
      <c r="D47" s="6">
        <v>39882.41431972757</v>
      </c>
      <c r="E47" s="108">
        <f t="shared" si="2"/>
        <v>1054.80281</v>
      </c>
      <c r="F47" s="109">
        <f t="shared" si="3"/>
        <v>117.5856803</v>
      </c>
      <c r="G47" s="110">
        <f t="shared" si="4"/>
        <v>0.002939642007</v>
      </c>
      <c r="H47" s="111">
        <f>$E47*HLOOKUP("*(SOL)*",Price!$A:$CE,2,0)-$D47</f>
        <v>100938.3776</v>
      </c>
    </row>
    <row r="48">
      <c r="A48" s="55">
        <v>44704.0</v>
      </c>
      <c r="B48" s="56">
        <v>200.0</v>
      </c>
      <c r="C48" s="6">
        <v>50.52425351468997</v>
      </c>
      <c r="D48" s="6">
        <v>200.0</v>
      </c>
      <c r="E48" s="108">
        <f t="shared" si="2"/>
        <v>3.958494903</v>
      </c>
      <c r="F48" s="109">
        <f t="shared" si="3"/>
        <v>0</v>
      </c>
      <c r="G48" s="110">
        <f t="shared" si="4"/>
        <v>0</v>
      </c>
      <c r="H48" s="111">
        <f>$E48*HLOOKUP("*(SOL)*",Price!$A:$CE,2,0)-$D48</f>
        <v>328.4763958</v>
      </c>
    </row>
    <row r="49">
      <c r="A49" s="55">
        <v>44699.0</v>
      </c>
      <c r="B49" s="56">
        <v>500.0</v>
      </c>
      <c r="C49" s="6">
        <v>49.49038461538461</v>
      </c>
      <c r="D49" s="6">
        <v>498.8173076923077</v>
      </c>
      <c r="E49" s="108">
        <f t="shared" si="2"/>
        <v>10.07907519</v>
      </c>
      <c r="F49" s="109">
        <f t="shared" si="3"/>
        <v>1.182692308</v>
      </c>
      <c r="G49" s="110">
        <f t="shared" si="4"/>
        <v>0.002365384615</v>
      </c>
      <c r="H49" s="111">
        <f>$E49*HLOOKUP("*(SOL)*",Price!$A:$CE,2,0)-$D49</f>
        <v>846.783346</v>
      </c>
    </row>
    <row r="50">
      <c r="A50" s="55">
        <v>44690.0</v>
      </c>
      <c r="B50" s="56">
        <v>2000.0</v>
      </c>
      <c r="C50" s="6">
        <v>71.074144486692</v>
      </c>
      <c r="D50" s="6">
        <v>1996.1237709125476</v>
      </c>
      <c r="E50" s="108">
        <f t="shared" si="2"/>
        <v>28.08509037</v>
      </c>
      <c r="F50" s="109">
        <f t="shared" si="3"/>
        <v>3.876229087</v>
      </c>
      <c r="G50" s="110">
        <f t="shared" si="4"/>
        <v>0.001938114544</v>
      </c>
      <c r="H50" s="111">
        <f>$E50*HLOOKUP("*(SOL)*",Price!$A:$CE,2,0)-$D50</f>
        <v>1753.358721</v>
      </c>
    </row>
    <row r="51">
      <c r="A51" s="55">
        <v>44672.0</v>
      </c>
      <c r="B51" s="56">
        <v>88500.0</v>
      </c>
      <c r="C51" s="6">
        <v>97.94729999450661</v>
      </c>
      <c r="D51" s="6">
        <v>87590.05511710096</v>
      </c>
      <c r="E51" s="108">
        <f t="shared" si="2"/>
        <v>894.2569639</v>
      </c>
      <c r="F51" s="109">
        <f t="shared" si="3"/>
        <v>909.9448829</v>
      </c>
      <c r="G51" s="110">
        <f t="shared" si="4"/>
        <v>0.01028186308</v>
      </c>
      <c r="H51" s="111">
        <f>$E51*HLOOKUP("*(SOL)*",Price!$A:$CE,2,0)-$D51</f>
        <v>31797.16371</v>
      </c>
    </row>
    <row r="52">
      <c r="A52" s="55">
        <v>44655.0</v>
      </c>
      <c r="B52" s="56">
        <v>21500.0</v>
      </c>
      <c r="C52" s="6">
        <v>123.26858528376654</v>
      </c>
      <c r="D52" s="6">
        <v>21387.395545423908</v>
      </c>
      <c r="E52" s="113">
        <f t="shared" si="2"/>
        <v>173.5024013</v>
      </c>
      <c r="F52" s="109">
        <f t="shared" si="3"/>
        <v>112.6044546</v>
      </c>
      <c r="G52" s="110">
        <f t="shared" si="4"/>
        <v>0.005237416492</v>
      </c>
      <c r="H52" s="111">
        <f>$E52*HLOOKUP("*(SOL)*",Price!$A:$CE,2,0)-$D52</f>
        <v>1775.934438</v>
      </c>
    </row>
    <row r="53">
      <c r="A53" s="55">
        <v>44654.0</v>
      </c>
      <c r="B53" s="56">
        <v>1000.0</v>
      </c>
      <c r="C53" s="6">
        <v>125.40050323117863</v>
      </c>
      <c r="D53" s="6">
        <v>996.0369644900712</v>
      </c>
      <c r="E53" s="113">
        <f t="shared" si="2"/>
        <v>7.94284663</v>
      </c>
      <c r="F53" s="109">
        <f t="shared" si="3"/>
        <v>3.96303551</v>
      </c>
      <c r="G53" s="110">
        <f t="shared" si="4"/>
        <v>0.00396303551</v>
      </c>
      <c r="H53" s="111">
        <f>$E53*HLOOKUP("*(SOL)*",Price!$A:$CE,2,0)-$D53</f>
        <v>64.36782629</v>
      </c>
    </row>
    <row r="54">
      <c r="A54" s="55">
        <v>44653.0</v>
      </c>
      <c r="B54" s="56">
        <v>1000.0</v>
      </c>
      <c r="C54" s="6">
        <v>122.84876671673393</v>
      </c>
      <c r="D54" s="6">
        <v>998.9646775410342</v>
      </c>
      <c r="E54" s="113">
        <f t="shared" si="2"/>
        <v>8.13166224</v>
      </c>
      <c r="F54" s="109">
        <f t="shared" si="3"/>
        <v>1.035322459</v>
      </c>
      <c r="G54" s="110">
        <f t="shared" si="4"/>
        <v>0.001035322459</v>
      </c>
      <c r="H54" s="111">
        <f>$E54*HLOOKUP("*(SOL)*",Price!$A:$CE,2,0)-$D54</f>
        <v>86.64782361</v>
      </c>
    </row>
    <row r="55">
      <c r="A55" s="55">
        <v>44652.0</v>
      </c>
      <c r="B55" s="56">
        <v>1000.0</v>
      </c>
      <c r="C55" s="6">
        <v>112.7825670064858</v>
      </c>
      <c r="D55" s="6">
        <v>993.805366363513</v>
      </c>
      <c r="E55" s="113">
        <f t="shared" si="2"/>
        <v>8.81169309</v>
      </c>
      <c r="F55" s="109">
        <f t="shared" si="3"/>
        <v>6.194633636</v>
      </c>
      <c r="G55" s="110">
        <f t="shared" si="4"/>
        <v>0.006194633636</v>
      </c>
      <c r="H55" s="111">
        <f>$E55*HLOOKUP("*(SOL)*",Price!$A:$CE,2,0)-$D55</f>
        <v>182.5942297</v>
      </c>
    </row>
    <row r="56">
      <c r="A56" s="55">
        <v>44651.0</v>
      </c>
      <c r="B56" s="56">
        <v>1000.0</v>
      </c>
      <c r="C56" s="6">
        <v>112.60312841690538</v>
      </c>
      <c r="D56" s="6">
        <v>999.0720878900808</v>
      </c>
      <c r="E56" s="113">
        <f t="shared" si="2"/>
        <v>8.87250738</v>
      </c>
      <c r="F56" s="109">
        <f t="shared" si="3"/>
        <v>0.9279121099</v>
      </c>
      <c r="G56" s="110">
        <f t="shared" si="4"/>
        <v>0.0009279121099</v>
      </c>
      <c r="H56" s="111">
        <f>$E56*HLOOKUP("*(SOL)*",Price!$A:$CE,2,0)-$D56</f>
        <v>185.4464821</v>
      </c>
    </row>
    <row r="57">
      <c r="A57" s="55">
        <v>44644.0</v>
      </c>
      <c r="B57" s="56">
        <v>1000.0</v>
      </c>
      <c r="C57" s="6">
        <v>90.46544839317063</v>
      </c>
      <c r="D57" s="6">
        <v>980.2150576414218</v>
      </c>
      <c r="E57" s="113">
        <f t="shared" si="2"/>
        <v>10.83524235</v>
      </c>
      <c r="F57" s="109">
        <f t="shared" si="3"/>
        <v>19.78494236</v>
      </c>
      <c r="G57" s="110">
        <f t="shared" si="4"/>
        <v>0.01978494236</v>
      </c>
      <c r="H57" s="111">
        <f>$E57*HLOOKUP("*(SOL)*",Price!$A:$CE,2,0)-$D57</f>
        <v>466.3372217</v>
      </c>
    </row>
    <row r="58">
      <c r="A58" s="55">
        <v>44643.0</v>
      </c>
      <c r="B58" s="56">
        <v>1000.0</v>
      </c>
      <c r="C58" s="6">
        <v>84.4236902050114</v>
      </c>
      <c r="D58" s="6">
        <v>975.9729266823691</v>
      </c>
      <c r="E58" s="113">
        <f t="shared" si="2"/>
        <v>11.56041538</v>
      </c>
      <c r="F58" s="109">
        <f t="shared" si="3"/>
        <v>24.02707332</v>
      </c>
      <c r="G58" s="110">
        <f t="shared" si="4"/>
        <v>0.02402707332</v>
      </c>
      <c r="H58" s="111">
        <f>$E58*HLOOKUP("*(SOL)*",Price!$A:$CE,2,0)-$D58</f>
        <v>567.3931262</v>
      </c>
    </row>
    <row r="59">
      <c r="A59" s="55">
        <v>44642.0</v>
      </c>
      <c r="B59" s="56">
        <v>1000.0</v>
      </c>
      <c r="C59" s="6">
        <v>83.96476330448351</v>
      </c>
      <c r="D59" s="6">
        <v>982.3877306624572</v>
      </c>
      <c r="E59" s="113">
        <f t="shared" si="2"/>
        <v>11.7</v>
      </c>
      <c r="F59" s="109">
        <f t="shared" si="3"/>
        <v>17.61226934</v>
      </c>
      <c r="G59" s="110">
        <f t="shared" si="4"/>
        <v>0.01761226934</v>
      </c>
      <c r="H59" s="111">
        <f>$E59*HLOOKUP("*(SOL)*",Price!$A:$CE,2,0)-$D59</f>
        <v>579.61348</v>
      </c>
    </row>
    <row r="60">
      <c r="A60" s="55">
        <v>44638.0</v>
      </c>
      <c r="B60" s="56">
        <v>1000.0</v>
      </c>
      <c r="C60" s="6">
        <v>78.26484183484246</v>
      </c>
      <c r="D60" s="6">
        <v>984.5717102823181</v>
      </c>
      <c r="E60" s="113">
        <f t="shared" si="2"/>
        <v>12.58</v>
      </c>
      <c r="F60" s="109">
        <f t="shared" si="3"/>
        <v>15.42828972</v>
      </c>
      <c r="G60" s="110">
        <f t="shared" si="4"/>
        <v>0.01542828972</v>
      </c>
      <c r="H60" s="111">
        <f>$E60*HLOOKUP("*(SOL)*",Price!$A:$CE,2,0)-$D60</f>
        <v>694.9133521</v>
      </c>
    </row>
    <row r="61">
      <c r="A61" s="55">
        <v>44637.0</v>
      </c>
      <c r="B61" s="56">
        <v>786.98</v>
      </c>
      <c r="C61" s="6">
        <v>80.50490384725384</v>
      </c>
      <c r="D61" s="6">
        <v>768.0167827028016</v>
      </c>
      <c r="E61" s="113">
        <f t="shared" si="2"/>
        <v>9.54</v>
      </c>
      <c r="F61" s="109">
        <f t="shared" si="3"/>
        <v>18.9632173</v>
      </c>
      <c r="G61" s="110">
        <f t="shared" si="4"/>
        <v>0.02409618707</v>
      </c>
      <c r="H61" s="111">
        <f>$E61*HLOOKUP("*(SOL)*",Price!$A:$CE,2,0)-$D61</f>
        <v>505.6149737</v>
      </c>
    </row>
    <row r="62">
      <c r="A62" s="55">
        <v>44636.0</v>
      </c>
      <c r="B62" s="56">
        <v>1000.0</v>
      </c>
      <c r="C62" s="6">
        <v>75.46329537295391</v>
      </c>
      <c r="D62" s="6">
        <v>972.721877357376</v>
      </c>
      <c r="E62" s="113">
        <f t="shared" si="2"/>
        <v>12.89</v>
      </c>
      <c r="F62" s="109">
        <f t="shared" si="3"/>
        <v>27.27812264</v>
      </c>
      <c r="G62" s="110">
        <f t="shared" si="4"/>
        <v>0.02727812264</v>
      </c>
      <c r="H62" s="111">
        <f>$E62*HLOOKUP("*(SOL)*",Price!$A:$CE,2,0)-$D62</f>
        <v>748.1495419</v>
      </c>
    </row>
    <row r="63">
      <c r="A63" s="55">
        <v>44634.0</v>
      </c>
      <c r="B63" s="56">
        <v>1000.0</v>
      </c>
      <c r="C63" s="6">
        <v>73.17605544136639</v>
      </c>
      <c r="D63" s="6">
        <v>971.0462557069319</v>
      </c>
      <c r="E63" s="113">
        <f t="shared" si="2"/>
        <v>13.27</v>
      </c>
      <c r="F63" s="109">
        <f t="shared" si="3"/>
        <v>28.95374429</v>
      </c>
      <c r="G63" s="110">
        <f t="shared" si="4"/>
        <v>0.02895374429</v>
      </c>
      <c r="H63" s="111">
        <f>$E63*HLOOKUP("*(SOL)*",Price!$A:$CE,2,0)-$D63</f>
        <v>800.5568268</v>
      </c>
    </row>
    <row r="64">
      <c r="A64" s="55">
        <v>44633.0</v>
      </c>
      <c r="B64" s="56">
        <v>1000.0</v>
      </c>
      <c r="C64" s="6">
        <v>73.65825940318206</v>
      </c>
      <c r="D64" s="6">
        <v>972.2890241220032</v>
      </c>
      <c r="E64" s="113">
        <f t="shared" si="2"/>
        <v>13.2</v>
      </c>
      <c r="F64" s="109">
        <f t="shared" si="3"/>
        <v>27.71097588</v>
      </c>
      <c r="G64" s="110">
        <f t="shared" si="4"/>
        <v>0.02771097588</v>
      </c>
      <c r="H64" s="111">
        <f>$E64*HLOOKUP("*(SOL)*",Price!$A:$CE,2,0)-$D64</f>
        <v>789.968752</v>
      </c>
    </row>
    <row r="65">
      <c r="A65" s="55">
        <v>44632.0</v>
      </c>
      <c r="B65" s="56">
        <v>1000.0</v>
      </c>
      <c r="C65" s="6">
        <v>76.04043514521642</v>
      </c>
      <c r="D65" s="6">
        <v>995.3692960508828</v>
      </c>
      <c r="E65" s="113">
        <f t="shared" si="2"/>
        <v>13.09</v>
      </c>
      <c r="F65" s="109">
        <f t="shared" si="3"/>
        <v>4.630703949</v>
      </c>
      <c r="G65" s="110">
        <f t="shared" si="4"/>
        <v>0.004630703949</v>
      </c>
      <c r="H65" s="111">
        <f>$E65*HLOOKUP("*(SOL)*",Price!$A:$CE,2,0)-$D65</f>
        <v>752.2029986</v>
      </c>
    </row>
    <row r="66">
      <c r="A66" s="55">
        <v>44631.0</v>
      </c>
      <c r="B66" s="56">
        <v>1000.0</v>
      </c>
      <c r="C66" s="6">
        <v>74.73582391911377</v>
      </c>
      <c r="D66" s="6">
        <v>976.0498603836259</v>
      </c>
      <c r="E66" s="113">
        <f t="shared" si="2"/>
        <v>13.06</v>
      </c>
      <c r="F66" s="109">
        <f t="shared" si="3"/>
        <v>23.95013962</v>
      </c>
      <c r="G66" s="110">
        <f t="shared" si="4"/>
        <v>0.02395013962</v>
      </c>
      <c r="H66" s="111">
        <f>$E66*HLOOKUP("*(SOL)*",Price!$A:$CE,2,0)-$D66</f>
        <v>767.517303</v>
      </c>
    </row>
    <row r="67">
      <c r="A67" s="55">
        <v>44629.0</v>
      </c>
      <c r="B67" s="56">
        <v>1000.0</v>
      </c>
      <c r="C67" s="6">
        <v>80.72313333454952</v>
      </c>
      <c r="D67" s="6">
        <v>975.9426820147036</v>
      </c>
      <c r="E67" s="113">
        <f t="shared" si="2"/>
        <v>12.09</v>
      </c>
      <c r="F67" s="109">
        <f t="shared" si="3"/>
        <v>24.05731799</v>
      </c>
      <c r="G67" s="110">
        <f t="shared" si="4"/>
        <v>0.02405731799</v>
      </c>
      <c r="H67" s="111">
        <f>$E67*HLOOKUP("*(SOL)*",Price!$A:$CE,2,0)-$D67</f>
        <v>638.1252357</v>
      </c>
    </row>
    <row r="68">
      <c r="A68" s="55">
        <v>44628.0</v>
      </c>
      <c r="B68" s="56">
        <v>1000.0</v>
      </c>
      <c r="C68" s="6">
        <v>77.07778492056202</v>
      </c>
      <c r="D68" s="6">
        <v>983.5125355863715</v>
      </c>
      <c r="E68" s="113">
        <f t="shared" si="2"/>
        <v>12.76</v>
      </c>
      <c r="F68" s="109">
        <f t="shared" si="3"/>
        <v>16.48746441</v>
      </c>
      <c r="G68" s="110">
        <f t="shared" si="4"/>
        <v>0.01648746441</v>
      </c>
      <c r="H68" s="111">
        <f>$E68*HLOOKUP("*(SOL)*",Price!$A:$CE,2,0)-$D68</f>
        <v>720.0033147</v>
      </c>
    </row>
    <row r="69">
      <c r="A69" s="55">
        <v>44626.0</v>
      </c>
      <c r="B69" s="56">
        <v>1000.0</v>
      </c>
      <c r="C69" s="6">
        <v>79.70365768991851</v>
      </c>
      <c r="D69" s="6">
        <v>977.9638798553</v>
      </c>
      <c r="E69" s="113">
        <f t="shared" si="2"/>
        <v>12.27</v>
      </c>
      <c r="F69" s="109">
        <f t="shared" si="3"/>
        <v>22.03612014</v>
      </c>
      <c r="G69" s="110">
        <f t="shared" si="4"/>
        <v>0.02203612014</v>
      </c>
      <c r="H69" s="111">
        <f>$E69*HLOOKUP("*(SOL)*",Price!$A:$CE,2,0)-$D69</f>
        <v>660.1348257</v>
      </c>
    </row>
    <row r="70">
      <c r="A70" s="55">
        <v>44625.0</v>
      </c>
      <c r="B70" s="56">
        <v>1000.0</v>
      </c>
      <c r="C70" s="6">
        <v>81.32056856798333</v>
      </c>
      <c r="D70" s="6">
        <v>976.6600285014796</v>
      </c>
      <c r="E70" s="113">
        <f t="shared" si="2"/>
        <v>12.01</v>
      </c>
      <c r="F70" s="109">
        <f t="shared" si="3"/>
        <v>23.3399715</v>
      </c>
      <c r="G70" s="110">
        <f t="shared" si="4"/>
        <v>0.0233399715</v>
      </c>
      <c r="H70" s="111">
        <f>$E70*HLOOKUP("*(SOL)*",Price!$A:$CE,2,0)-$D70</f>
        <v>626.727539</v>
      </c>
    </row>
    <row r="71">
      <c r="A71" s="55">
        <v>44614.0</v>
      </c>
      <c r="B71" s="56">
        <v>55.0</v>
      </c>
      <c r="C71" s="6">
        <v>75.12518054886856</v>
      </c>
      <c r="D71" s="6">
        <v>54.090129995185364</v>
      </c>
      <c r="E71" s="113">
        <f t="shared" si="2"/>
        <v>0.72</v>
      </c>
      <c r="F71" s="109">
        <f t="shared" si="3"/>
        <v>0.9098700048</v>
      </c>
      <c r="G71" s="110">
        <f t="shared" si="4"/>
        <v>0.016543091</v>
      </c>
      <c r="H71" s="111">
        <f>$E71*HLOOKUP("*(SOL)*",Price!$A:$CE,2,0)-$D71</f>
        <v>42.03302143</v>
      </c>
    </row>
    <row r="72">
      <c r="A72" s="55">
        <v>44614.0</v>
      </c>
      <c r="B72" s="56">
        <v>5.55</v>
      </c>
      <c r="C72" s="6">
        <v>74.19148089171975</v>
      </c>
      <c r="D72" s="6">
        <v>5.193403662420383</v>
      </c>
      <c r="E72" s="113">
        <f t="shared" si="2"/>
        <v>0.07</v>
      </c>
      <c r="F72" s="109">
        <f t="shared" si="3"/>
        <v>0.3565963376</v>
      </c>
      <c r="G72" s="110">
        <f t="shared" si="4"/>
        <v>0.06425159236</v>
      </c>
      <c r="H72" s="111">
        <f>$E72*HLOOKUP("*(SOL)*",Price!$A:$CE,2,0)-$D72</f>
        <v>4.151902726</v>
      </c>
    </row>
    <row r="73">
      <c r="A73" s="55">
        <v>44613.0</v>
      </c>
      <c r="B73" s="56">
        <v>40.0</v>
      </c>
      <c r="C73" s="6">
        <v>81.92781690140845</v>
      </c>
      <c r="D73" s="6">
        <v>39.32535211267606</v>
      </c>
      <c r="E73" s="113">
        <f t="shared" si="2"/>
        <v>0.48</v>
      </c>
      <c r="F73" s="109">
        <f t="shared" si="3"/>
        <v>0.6746478873</v>
      </c>
      <c r="G73" s="110">
        <f t="shared" si="4"/>
        <v>0.01686619718</v>
      </c>
      <c r="H73" s="111">
        <f>$E73*HLOOKUP("*(SOL)*",Price!$A:$CE,2,0)-$D73</f>
        <v>24.75674884</v>
      </c>
    </row>
    <row r="74">
      <c r="A74" s="55">
        <v>44607.0</v>
      </c>
      <c r="B74" s="56">
        <v>112.47</v>
      </c>
      <c r="C74" s="6">
        <v>90.07830157609973</v>
      </c>
      <c r="D74" s="6">
        <v>107.19317887555867</v>
      </c>
      <c r="E74" s="113">
        <f t="shared" si="2"/>
        <v>1.19</v>
      </c>
      <c r="F74" s="109">
        <f t="shared" si="3"/>
        <v>5.276821124</v>
      </c>
      <c r="G74" s="110">
        <f t="shared" si="4"/>
        <v>0.04691758802</v>
      </c>
      <c r="H74" s="111">
        <f>$E74*HLOOKUP("*(SOL)*",Price!$A:$CE,2,0)-$D74</f>
        <v>51.67702973</v>
      </c>
    </row>
  </sheetData>
  <conditionalFormatting sqref="H3:H74">
    <cfRule type="cellIs" dxfId="1" priority="1" operator="greaterThan">
      <formula>0</formula>
    </cfRule>
  </conditionalFormatting>
  <conditionalFormatting sqref="H3:H7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75"/>
  </cols>
  <sheetData>
    <row r="1">
      <c r="A1" s="114" t="s">
        <v>63</v>
      </c>
      <c r="B1" s="115" t="s">
        <v>64</v>
      </c>
      <c r="C1" s="115" t="s">
        <v>65</v>
      </c>
      <c r="D1" s="114" t="s">
        <v>19</v>
      </c>
      <c r="E1" s="116" t="s">
        <v>66</v>
      </c>
      <c r="F1" s="117" t="s">
        <v>67</v>
      </c>
      <c r="G1" s="117" t="s">
        <v>68</v>
      </c>
      <c r="H1" s="118" t="s">
        <v>69</v>
      </c>
      <c r="I1" s="117" t="s">
        <v>70</v>
      </c>
      <c r="J1" s="117" t="s">
        <v>71</v>
      </c>
      <c r="K1" s="119" t="s">
        <v>72</v>
      </c>
    </row>
    <row r="2">
      <c r="A2" s="26" t="s">
        <v>25</v>
      </c>
      <c r="B2" s="26" t="s">
        <v>73</v>
      </c>
      <c r="C2" s="27" t="s">
        <v>74</v>
      </c>
      <c r="D2" s="120">
        <f>MAXIFS(PriceCache!B:B,PriceCache!A:A,$B2&amp;" ("&amp;$A2&amp;")")</f>
        <v>152.0599739</v>
      </c>
      <c r="E2" s="121">
        <v>-1711.47</v>
      </c>
      <c r="F2" s="7">
        <f t="shared" ref="F2:F10" si="1">IF($I2&lt;&gt;"",$G2/$I2*365.25,0)</f>
        <v>1.97888953</v>
      </c>
      <c r="G2" s="57">
        <f t="shared" ref="G2:G10" si="2">IF($H2&lt;&gt;"",$D2/$H2-1,)</f>
        <v>3.456622917</v>
      </c>
      <c r="H2" s="122">
        <f>MAXIFS(Evolution!E:E,Evolution!A:A,"&gt;="&amp;DATE(2022,10,4), Evolution!A:A,"&lt;"&amp;DATE(2022,10,5))</f>
        <v>34.12</v>
      </c>
      <c r="I2" s="123">
        <f t="shared" ref="I2:I3" si="3">TODAY()-DATE(2022,10,4)</f>
        <v>638</v>
      </c>
      <c r="J2" s="124" t="str">
        <f t="shared" ref="J2:J10" si="4">IF($A2="€","Pay",IF($A2="SOL","Main",IF(ISERROR(FIND("FiMs",$B2)),IF($E2&lt;&gt;0,"Invest","Token"),"FiMs")))</f>
        <v>FiMs</v>
      </c>
      <c r="K2" s="121">
        <f>SUMIFS(Wallet!$F:$F,Wallet!$A:$A,$A2)-FiMsData!$B1</f>
        <v>-1711.47</v>
      </c>
    </row>
    <row r="3">
      <c r="A3" s="26" t="s">
        <v>75</v>
      </c>
      <c r="B3" s="26" t="s">
        <v>76</v>
      </c>
      <c r="C3" s="125" t="s">
        <v>77</v>
      </c>
      <c r="D3" s="126">
        <f>MAXIFS(PriceCache!B:B,PriceCache!A:A,$B3&amp;" ("&amp;$A3&amp;")")</f>
        <v>1.081867496</v>
      </c>
      <c r="E3" s="121">
        <v>-59755.0</v>
      </c>
      <c r="F3" s="7">
        <f t="shared" si="1"/>
        <v>0.04686849998</v>
      </c>
      <c r="G3" s="57">
        <f t="shared" si="2"/>
        <v>0.08186749619</v>
      </c>
      <c r="H3" s="122">
        <v>1.0</v>
      </c>
      <c r="I3" s="123">
        <f t="shared" si="3"/>
        <v>638</v>
      </c>
      <c r="J3" s="124" t="str">
        <f t="shared" si="4"/>
        <v>FiMs</v>
      </c>
      <c r="K3" s="121">
        <f>SUMIFS(Wallet!$F:$F,Wallet!$A:$A,$A3)-FiMsData!$B2</f>
        <v>-59755</v>
      </c>
    </row>
    <row r="4">
      <c r="A4" s="26" t="s">
        <v>78</v>
      </c>
      <c r="B4" s="26" t="s">
        <v>79</v>
      </c>
      <c r="C4" s="27" t="s">
        <v>80</v>
      </c>
      <c r="D4" s="122">
        <f>MAXIFS(PriceCache!B:B,PriceCache!A:A,$B4&amp;" ("&amp;$A4&amp;")")</f>
        <v>1</v>
      </c>
      <c r="E4" s="121">
        <v>-170.0</v>
      </c>
      <c r="F4" s="7">
        <f t="shared" si="1"/>
        <v>0</v>
      </c>
      <c r="G4" s="57" t="str">
        <f t="shared" si="2"/>
        <v/>
      </c>
      <c r="H4" s="122"/>
      <c r="I4" s="123"/>
      <c r="J4" s="124" t="str">
        <f t="shared" si="4"/>
        <v>Pay</v>
      </c>
      <c r="K4" s="121">
        <f>SUMIFS(Wallet!$F:$F,Wallet!$A:$A,$A4)-FiMsData!$B3</f>
        <v>-170</v>
      </c>
    </row>
    <row r="5">
      <c r="A5" s="127" t="s">
        <v>31</v>
      </c>
      <c r="B5" s="127" t="s">
        <v>81</v>
      </c>
      <c r="C5" s="128" t="s">
        <v>82</v>
      </c>
      <c r="D5" s="120">
        <f>MAXIFS(PriceCache!B:B,PriceCache!A:A,$B5&amp;" ("&amp;$A5&amp;")")</f>
        <v>1.067441167</v>
      </c>
      <c r="E5" s="121">
        <v>4569.54098297</v>
      </c>
      <c r="F5" s="7">
        <f t="shared" si="1"/>
        <v>0.1115617899</v>
      </c>
      <c r="G5" s="57">
        <f t="shared" si="2"/>
        <v>0.1948704229</v>
      </c>
      <c r="H5" s="122">
        <f>0.877902*1.0176        </f>
        <v>0.8933530752</v>
      </c>
      <c r="I5" s="123">
        <f t="shared" ref="I5:I6" si="5">$I$3</f>
        <v>638</v>
      </c>
      <c r="J5" s="124" t="str">
        <f t="shared" si="4"/>
        <v>Invest</v>
      </c>
      <c r="K5" s="121">
        <f>SUMIFS(Wallet!$F:$F,Wallet!$A:$A,$A5)</f>
        <v>4569.540983</v>
      </c>
    </row>
    <row r="6">
      <c r="A6" s="127" t="s">
        <v>30</v>
      </c>
      <c r="B6" s="127" t="s">
        <v>83</v>
      </c>
      <c r="C6" s="125" t="s">
        <v>84</v>
      </c>
      <c r="D6" s="120">
        <f>MAXIFS(PriceCache!B:B,PriceCache!A:A,$B6&amp;" ("&amp;$A6&amp;")")</f>
        <v>56069.99255</v>
      </c>
      <c r="E6" s="129">
        <v>0.69777475</v>
      </c>
      <c r="F6" s="7">
        <f t="shared" si="1"/>
        <v>1.035231212</v>
      </c>
      <c r="G6" s="57">
        <f t="shared" si="2"/>
        <v>1.808288879</v>
      </c>
      <c r="H6" s="122">
        <f>19620.57*1.0176     </f>
        <v>19965.89203</v>
      </c>
      <c r="I6" s="123">
        <f t="shared" si="5"/>
        <v>638</v>
      </c>
      <c r="J6" s="124" t="str">
        <f t="shared" si="4"/>
        <v>Invest</v>
      </c>
      <c r="K6" s="129">
        <f>SUMIFS(Wallet!$F:$F,Wallet!$A:$A,$A6)</f>
        <v>0.69777475</v>
      </c>
    </row>
    <row r="7">
      <c r="A7" s="127" t="s">
        <v>1</v>
      </c>
      <c r="B7" s="127" t="s">
        <v>85</v>
      </c>
      <c r="C7" s="27" t="s">
        <v>86</v>
      </c>
      <c r="D7" s="120">
        <f>MAXIFS(PriceCache!B:B,PriceCache!A:A,$B7&amp;" ("&amp;$A7&amp;")")</f>
        <v>133.504377</v>
      </c>
      <c r="E7" s="121">
        <v>6389.35578028454</v>
      </c>
      <c r="F7" s="7">
        <f t="shared" si="1"/>
        <v>1.667549148</v>
      </c>
      <c r="G7" s="57">
        <f t="shared" si="2"/>
        <v>2.912789478</v>
      </c>
      <c r="H7" s="122">
        <f>MAXIFS(Evolution!E:E,Evolution!A:A,"&gt;="&amp;DATE(2022,10,4), Evolution!A:A,"&lt;"&amp;DATE(2022,10,5))</f>
        <v>34.12</v>
      </c>
      <c r="I7" s="123">
        <f>TODAY()-DATE(2022,10,4)</f>
        <v>638</v>
      </c>
      <c r="J7" s="124" t="str">
        <f t="shared" si="4"/>
        <v>Main</v>
      </c>
      <c r="K7" s="121">
        <f>SUMIFS(Wallet!$F:$F,Wallet!$A:$A,$A7)</f>
        <v>6387.162903</v>
      </c>
    </row>
    <row r="8">
      <c r="A8" s="127" t="s">
        <v>28</v>
      </c>
      <c r="B8" s="127" t="s">
        <v>87</v>
      </c>
      <c r="C8" s="27" t="s">
        <v>88</v>
      </c>
      <c r="D8" s="120">
        <f>MAXIFS(PriceCache!B:B,PriceCache!A:A,$B8&amp;" ("&amp;$A8&amp;")")</f>
        <v>0.7459489663</v>
      </c>
      <c r="E8" s="121">
        <v>0.0</v>
      </c>
      <c r="F8" s="7">
        <f t="shared" si="1"/>
        <v>0.5258162858</v>
      </c>
      <c r="G8" s="57">
        <f t="shared" si="2"/>
        <v>0.2216994059</v>
      </c>
      <c r="H8" s="122">
        <v>0.610583063780376</v>
      </c>
      <c r="I8" s="123">
        <f>TODAY()-DATE(2024,1,31)</f>
        <v>154</v>
      </c>
      <c r="J8" s="124" t="str">
        <f t="shared" si="4"/>
        <v>Token</v>
      </c>
      <c r="K8" s="121">
        <f>SUMIFS(Wallet!$F:$F,Wallet!$A:$A,$A8)</f>
        <v>0</v>
      </c>
    </row>
    <row r="9">
      <c r="A9" s="127" t="s">
        <v>27</v>
      </c>
      <c r="B9" s="127" t="s">
        <v>89</v>
      </c>
      <c r="C9" s="128" t="s">
        <v>90</v>
      </c>
      <c r="D9" s="130">
        <f>MAXIFS(PriceCache!B:B,PriceCache!A:A,$B9&amp;" ("&amp;$A9&amp;")")</f>
        <v>0.0009312721177</v>
      </c>
      <c r="E9" s="121">
        <v>0.0</v>
      </c>
      <c r="F9" s="7">
        <f t="shared" si="1"/>
        <v>9.478970367</v>
      </c>
      <c r="G9" s="57">
        <f t="shared" si="2"/>
        <v>8.278690067</v>
      </c>
      <c r="H9" s="131">
        <v>1.00366766320827E-4</v>
      </c>
      <c r="I9" s="123">
        <f>TODAY()-DATE(2023,8,19)</f>
        <v>319</v>
      </c>
      <c r="J9" s="124" t="str">
        <f t="shared" si="4"/>
        <v>Token</v>
      </c>
      <c r="K9" s="121">
        <f>SUMIFS(Wallet!$F:$F,Wallet!$A:$A,$A9)</f>
        <v>0</v>
      </c>
    </row>
    <row r="10">
      <c r="A10" s="127" t="s">
        <v>29</v>
      </c>
      <c r="B10" s="127" t="s">
        <v>91</v>
      </c>
      <c r="C10" s="128" t="s">
        <v>92</v>
      </c>
      <c r="D10" s="120">
        <f>MAXIFS(PriceCache!B:B,PriceCache!A:A,$B10&amp;" ("&amp;$A10&amp;")")</f>
        <v>136.6101695</v>
      </c>
      <c r="E10" s="121">
        <v>0.0</v>
      </c>
      <c r="F10" s="7">
        <f t="shared" si="1"/>
        <v>-0.4337526546</v>
      </c>
      <c r="G10" s="57">
        <f t="shared" si="2"/>
        <v>-0.08550360338</v>
      </c>
      <c r="H10" s="132">
        <v>149.38295</v>
      </c>
      <c r="I10" s="123">
        <f>TODAY()-DATE(2024,4,22)</f>
        <v>72</v>
      </c>
      <c r="J10" s="124" t="str">
        <f t="shared" si="4"/>
        <v>Token</v>
      </c>
      <c r="K10" s="121">
        <f>SUMIFS(Wallet!$F:$F,Wallet!$A:$A,$A10)</f>
        <v>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2.63"/>
  </cols>
  <sheetData>
    <row r="1">
      <c r="A1" s="133" t="s">
        <v>32</v>
      </c>
      <c r="B1" s="134" t="s">
        <v>93</v>
      </c>
      <c r="C1" s="134" t="str">
        <f t="array" ref="C1:K1">TRANSPOSE(Token!$B2:$B396&amp;" ("&amp;Token!$A2:$A396&amp;")")</f>
        <v>FiMs SOL (FSOL)</v>
      </c>
      <c r="D1" s="133" t="s">
        <v>57</v>
      </c>
      <c r="E1" s="134" t="s">
        <v>94</v>
      </c>
      <c r="F1" s="135" t="s">
        <v>56</v>
      </c>
      <c r="G1" s="134" t="s">
        <v>55</v>
      </c>
      <c r="H1" s="134" t="s">
        <v>95</v>
      </c>
      <c r="I1" s="134" t="s">
        <v>96</v>
      </c>
      <c r="J1" s="134" t="s">
        <v>97</v>
      </c>
      <c r="K1" s="134" t="s">
        <v>98</v>
      </c>
    </row>
    <row r="2">
      <c r="A2" s="47">
        <f>NOW()-TIME(1,0,0)</f>
        <v>45476.53489</v>
      </c>
      <c r="B2" s="136">
        <f t="array" ref="B2:K2">TRANSPOSE(OFFSET(PriceCache!$B:$B,1,0))</f>
        <v>1.0738</v>
      </c>
      <c r="C2" s="137">
        <v>152.05997392438073</v>
      </c>
      <c r="D2" s="137">
        <v>1.081867496194904</v>
      </c>
      <c r="E2" s="137">
        <v>1.0</v>
      </c>
      <c r="F2" s="137">
        <v>1.067441166772863</v>
      </c>
      <c r="G2" s="137">
        <v>56069.992549823066</v>
      </c>
      <c r="H2" s="137">
        <v>133.50437697895327</v>
      </c>
      <c r="I2" s="137">
        <v>0.7459489662879495</v>
      </c>
      <c r="J2" s="138">
        <v>9.312721177127958E-4</v>
      </c>
      <c r="K2" s="137">
        <v>136.61016949152545</v>
      </c>
    </row>
    <row r="3">
      <c r="A3" s="55">
        <v>45475.9597037037</v>
      </c>
      <c r="B3" s="139">
        <v>1.0727200000000001</v>
      </c>
      <c r="C3" s="140">
        <v>162.96610485494816</v>
      </c>
      <c r="D3" s="140">
        <v>1.085613767694137</v>
      </c>
      <c r="E3" s="140">
        <v>1.0</v>
      </c>
      <c r="F3" s="140">
        <v>1.119165603829909</v>
      </c>
      <c r="G3" s="140">
        <v>57867.43791483331</v>
      </c>
      <c r="H3" s="140">
        <v>143.08113953314935</v>
      </c>
      <c r="I3" s="140">
        <v>0.8147512864493995</v>
      </c>
      <c r="J3" s="141">
        <v>9.322097098963381E-4</v>
      </c>
      <c r="K3" s="140">
        <v>146.42031471399807</v>
      </c>
    </row>
    <row r="4">
      <c r="A4" s="55">
        <v>45474.95969978009</v>
      </c>
      <c r="B4" s="139">
        <v>1.07235</v>
      </c>
      <c r="C4" s="140">
        <v>156.4964796941297</v>
      </c>
      <c r="D4" s="140">
        <v>1.0864408506887984</v>
      </c>
      <c r="E4" s="140">
        <v>1.0</v>
      </c>
      <c r="F4" s="140">
        <v>1.137353568161468</v>
      </c>
      <c r="G4" s="140">
        <v>58851.12323401875</v>
      </c>
      <c r="H4" s="140">
        <v>137.4420664894857</v>
      </c>
      <c r="I4" s="140">
        <v>0.7973143096936635</v>
      </c>
      <c r="J4" s="141">
        <v>9.325313563668579E-4</v>
      </c>
      <c r="K4" s="140">
        <v>140.59495500536207</v>
      </c>
    </row>
    <row r="5">
      <c r="A5" s="55">
        <v>45473.95974034722</v>
      </c>
      <c r="B5" s="139">
        <v>1.07055</v>
      </c>
      <c r="C5" s="140">
        <v>153.28195787212184</v>
      </c>
      <c r="D5" s="140">
        <v>1.0821764093182515</v>
      </c>
      <c r="E5" s="140">
        <v>1.0</v>
      </c>
      <c r="F5" s="140">
        <v>1.08</v>
      </c>
      <c r="G5" s="140">
        <v>57844.33795712485</v>
      </c>
      <c r="H5" s="140">
        <v>134.77278034655086</v>
      </c>
      <c r="I5" s="140">
        <v>0.7510158329830462</v>
      </c>
      <c r="J5" s="141">
        <v>9.340992947550325E-4</v>
      </c>
      <c r="K5" s="140">
        <v>137.7189295222082</v>
      </c>
    </row>
    <row r="6">
      <c r="A6" s="55">
        <v>45472.959714490746</v>
      </c>
      <c r="B6" s="139">
        <v>1.07134</v>
      </c>
      <c r="C6" s="140">
        <v>149.33354490637893</v>
      </c>
      <c r="D6" s="140">
        <v>1.0821764093182515</v>
      </c>
      <c r="E6" s="140">
        <v>1.0</v>
      </c>
      <c r="F6" s="140">
        <v>1.08</v>
      </c>
      <c r="G6" s="140">
        <v>57086.18459125955</v>
      </c>
      <c r="H6" s="140">
        <v>131.16377620549966</v>
      </c>
      <c r="I6" s="140">
        <v>0.7429947542330166</v>
      </c>
      <c r="J6" s="141">
        <v>9.334104952676088E-4</v>
      </c>
      <c r="K6" s="140">
        <v>134.16375753728977</v>
      </c>
    </row>
    <row r="7">
      <c r="A7" s="55">
        <v>45471.95975121528</v>
      </c>
      <c r="B7" s="139">
        <v>1.07133</v>
      </c>
      <c r="C7" s="140">
        <v>148.86449553358912</v>
      </c>
      <c r="D7" s="140">
        <v>1.0821764093182515</v>
      </c>
      <c r="E7" s="140">
        <v>1.0</v>
      </c>
      <c r="F7" s="140">
        <v>1.08</v>
      </c>
      <c r="G7" s="140">
        <v>56423.817124508794</v>
      </c>
      <c r="H7" s="140">
        <v>130.78883257259668</v>
      </c>
      <c r="I7" s="140">
        <v>0.740201431865065</v>
      </c>
      <c r="J7" s="141">
        <v>9.334192079004603E-4</v>
      </c>
      <c r="K7" s="140">
        <v>133.76550642659126</v>
      </c>
    </row>
    <row r="8">
      <c r="A8" s="55">
        <v>45470.959732557865</v>
      </c>
      <c r="B8" s="139">
        <v>1.07074</v>
      </c>
      <c r="C8" s="140">
        <v>159.2375366568915</v>
      </c>
      <c r="D8" s="140">
        <v>1.0821764093182515</v>
      </c>
      <c r="E8" s="140">
        <v>1.0</v>
      </c>
      <c r="F8" s="140">
        <v>1.08</v>
      </c>
      <c r="G8" s="140">
        <v>57696.875058370846</v>
      </c>
      <c r="H8" s="140">
        <v>139.90044268449856</v>
      </c>
      <c r="I8" s="140">
        <v>0.8013149784261352</v>
      </c>
      <c r="J8" s="141">
        <v>9.339335412892019E-4</v>
      </c>
      <c r="K8" s="140">
        <v>143.03192184844127</v>
      </c>
    </row>
    <row r="9">
      <c r="A9" s="55">
        <v>45469.959721203704</v>
      </c>
      <c r="B9" s="139">
        <v>1.06827</v>
      </c>
      <c r="C9" s="140">
        <v>146.53411590702726</v>
      </c>
      <c r="D9" s="140">
        <v>1.0821764093182515</v>
      </c>
      <c r="E9" s="140">
        <v>1.0</v>
      </c>
      <c r="F9" s="140">
        <v>1.08</v>
      </c>
      <c r="G9" s="140">
        <v>57300.001872185865</v>
      </c>
      <c r="H9" s="140">
        <v>128.80451571231993</v>
      </c>
      <c r="I9" s="140">
        <v>0.7413856047628409</v>
      </c>
      <c r="J9" s="141">
        <v>9.360929353066172E-4</v>
      </c>
      <c r="K9" s="140">
        <v>131.63151637694588</v>
      </c>
    </row>
    <row r="10">
      <c r="A10" s="55">
        <v>45468.95973826389</v>
      </c>
      <c r="B10" s="139">
        <v>1.07174</v>
      </c>
      <c r="C10" s="140">
        <v>145.9206523970366</v>
      </c>
      <c r="D10" s="140">
        <v>1.0903434084672168</v>
      </c>
      <c r="E10" s="140">
        <v>1.0</v>
      </c>
      <c r="F10" s="140">
        <v>1.192349855724148</v>
      </c>
      <c r="G10" s="140">
        <v>57765.444977326595</v>
      </c>
      <c r="H10" s="140">
        <v>128.1691455017075</v>
      </c>
      <c r="I10" s="140">
        <v>0.7585795062235243</v>
      </c>
      <c r="J10" s="141">
        <v>9.330621232761678E-4</v>
      </c>
      <c r="K10" s="140">
        <v>130.9534028775636</v>
      </c>
    </row>
    <row r="11">
      <c r="A11" s="55">
        <v>45467.95972663195</v>
      </c>
      <c r="B11" s="139">
        <v>1.07358</v>
      </c>
      <c r="C11" s="140">
        <v>138.55232027422272</v>
      </c>
      <c r="D11" s="140">
        <v>1.0903434084672168</v>
      </c>
      <c r="E11" s="140">
        <v>1.0</v>
      </c>
      <c r="F11" s="140">
        <v>1.192349855724148</v>
      </c>
      <c r="G11" s="140">
        <v>56157.89694293858</v>
      </c>
      <c r="H11" s="140">
        <v>121.83442314499153</v>
      </c>
      <c r="I11" s="140">
        <v>0.7069803833901526</v>
      </c>
      <c r="J11" s="141">
        <v>9.314629557182512E-4</v>
      </c>
      <c r="K11" s="140">
        <v>124.45090258760409</v>
      </c>
    </row>
    <row r="12">
      <c r="A12" s="55">
        <v>45466.95972854167</v>
      </c>
      <c r="B12" s="139">
        <v>1.0691400000000002</v>
      </c>
      <c r="C12" s="140">
        <v>138.73580634902817</v>
      </c>
      <c r="D12" s="140">
        <v>1.0903434084672168</v>
      </c>
      <c r="E12" s="140">
        <v>1.0</v>
      </c>
      <c r="F12" s="140">
        <v>1.192349855724148</v>
      </c>
      <c r="G12" s="140">
        <v>59772.82862861738</v>
      </c>
      <c r="H12" s="140">
        <v>122.00740782311016</v>
      </c>
      <c r="I12" s="140">
        <v>0.6977570757805337</v>
      </c>
      <c r="J12" s="141">
        <v>9.353312007781954E-4</v>
      </c>
      <c r="K12" s="140">
        <v>124.6132405484782</v>
      </c>
    </row>
    <row r="13">
      <c r="A13" s="55">
        <v>45465.959733483796</v>
      </c>
      <c r="B13" s="139">
        <v>1.06955</v>
      </c>
      <c r="C13" s="140">
        <v>142.88439063157404</v>
      </c>
      <c r="D13" s="140">
        <v>1.0903434084672168</v>
      </c>
      <c r="E13" s="140">
        <v>1.0</v>
      </c>
      <c r="F13" s="140">
        <v>1.192349855724148</v>
      </c>
      <c r="G13" s="140">
        <v>60330.54742648777</v>
      </c>
      <c r="H13" s="140">
        <v>125.7023982048525</v>
      </c>
      <c r="I13" s="140">
        <v>0.7283436959468936</v>
      </c>
      <c r="J13" s="141">
        <v>9.349726520499276E-4</v>
      </c>
      <c r="K13" s="140">
        <v>128.37735496236735</v>
      </c>
    </row>
    <row r="14">
      <c r="A14" s="55">
        <v>45464.959740555554</v>
      </c>
      <c r="B14" s="139">
        <v>1.06957</v>
      </c>
      <c r="C14" s="140">
        <v>142.05241358676852</v>
      </c>
      <c r="D14" s="140">
        <v>1.0900654482977032</v>
      </c>
      <c r="E14" s="140">
        <v>1.0</v>
      </c>
      <c r="F14" s="140">
        <v>1.192349855724148</v>
      </c>
      <c r="G14" s="140">
        <v>60094.045270529285</v>
      </c>
      <c r="H14" s="140">
        <v>124.93992913039821</v>
      </c>
      <c r="I14" s="140">
        <v>0.7143057490393336</v>
      </c>
      <c r="J14" s="141">
        <v>9.349551688996513E-4</v>
      </c>
      <c r="K14" s="140">
        <v>127.52881999308136</v>
      </c>
    </row>
    <row r="15">
      <c r="A15" s="55">
        <v>45463.95972903935</v>
      </c>
      <c r="B15" s="139">
        <v>1.0706</v>
      </c>
      <c r="C15" s="140">
        <v>141.84849617037176</v>
      </c>
      <c r="D15" s="140">
        <v>1.0894862984302238</v>
      </c>
      <c r="E15" s="140">
        <v>1.0</v>
      </c>
      <c r="F15" s="140">
        <v>1.192349855724148</v>
      </c>
      <c r="G15" s="140">
        <v>60808.93611059219</v>
      </c>
      <c r="H15" s="140">
        <v>124.7861012516346</v>
      </c>
      <c r="I15" s="140">
        <v>0.7266953110405381</v>
      </c>
      <c r="J15" s="141">
        <v>9.340556697179152E-4</v>
      </c>
      <c r="K15" s="140">
        <v>127.38090790211096</v>
      </c>
    </row>
    <row r="16">
      <c r="A16" s="55">
        <v>45462.95973524306</v>
      </c>
      <c r="B16" s="139">
        <v>1.0743800000000001</v>
      </c>
      <c r="C16" s="140">
        <v>143.5041605391016</v>
      </c>
      <c r="D16" s="140">
        <v>1.0894862984302238</v>
      </c>
      <c r="E16" s="140">
        <v>1.0</v>
      </c>
      <c r="F16" s="140">
        <v>1.192349855724148</v>
      </c>
      <c r="G16" s="140">
        <v>60690.212029263384</v>
      </c>
      <c r="H16" s="140">
        <v>126.29795789199352</v>
      </c>
      <c r="I16" s="140">
        <v>0.7204154954485377</v>
      </c>
      <c r="J16" s="141">
        <v>9.30769373964519E-4</v>
      </c>
      <c r="K16" s="140">
        <v>128.84268136041248</v>
      </c>
    </row>
    <row r="17">
      <c r="A17" s="55">
        <v>45461.95972240741</v>
      </c>
      <c r="B17" s="139">
        <v>1.07623</v>
      </c>
      <c r="C17" s="140">
        <v>145.20873790918296</v>
      </c>
      <c r="D17" s="140">
        <v>1.0894862984302238</v>
      </c>
      <c r="E17" s="140">
        <v>1.0</v>
      </c>
      <c r="F17" s="140">
        <v>1.192349855724148</v>
      </c>
      <c r="G17" s="140">
        <v>60632.935339100375</v>
      </c>
      <c r="H17" s="140">
        <v>127.81933229885804</v>
      </c>
      <c r="I17" s="140">
        <v>0.6931603839328024</v>
      </c>
      <c r="J17" s="141">
        <v>9.291694154595207E-4</v>
      </c>
      <c r="K17" s="140">
        <v>130.3884857326036</v>
      </c>
    </row>
    <row r="18">
      <c r="A18" s="55">
        <v>45460.95971685185</v>
      </c>
      <c r="B18" s="139">
        <v>1.07623</v>
      </c>
      <c r="C18" s="140">
        <v>151.03184263586778</v>
      </c>
      <c r="D18" s="140">
        <v>1.09209377052298</v>
      </c>
      <c r="E18" s="140">
        <v>1.0</v>
      </c>
      <c r="F18" s="140">
        <v>1.227177565072243</v>
      </c>
      <c r="G18" s="140">
        <v>62042.24097079621</v>
      </c>
      <c r="H18" s="140">
        <v>132.8935264766825</v>
      </c>
      <c r="I18" s="140">
        <v>0.8000148667106474</v>
      </c>
      <c r="J18" s="141">
        <v>9.291694154595207E-4</v>
      </c>
      <c r="K18" s="140">
        <v>135.63457625228807</v>
      </c>
    </row>
    <row r="19">
      <c r="A19" s="55">
        <v>45459.95974951389</v>
      </c>
      <c r="B19" s="139">
        <v>1.07623</v>
      </c>
      <c r="C19" s="140">
        <v>157.39572396235005</v>
      </c>
      <c r="D19" s="140">
        <v>1.0937472432447244</v>
      </c>
      <c r="E19" s="140">
        <v>1.0</v>
      </c>
      <c r="F19" s="140">
        <v>1.2491243231447644</v>
      </c>
      <c r="G19" s="140">
        <v>61931.00266671622</v>
      </c>
      <c r="H19" s="140">
        <v>138.5558848944928</v>
      </c>
      <c r="I19" s="140">
        <v>0.8474025068990829</v>
      </c>
      <c r="J19" s="141">
        <v>9.291694154595207E-4</v>
      </c>
      <c r="K19" s="140">
        <v>141.40100164462987</v>
      </c>
    </row>
    <row r="20">
      <c r="A20" s="55">
        <v>45458.95973377315</v>
      </c>
      <c r="B20" s="139">
        <v>1.07623</v>
      </c>
      <c r="C20" s="140">
        <v>153.17729481616385</v>
      </c>
      <c r="D20" s="140">
        <v>1.0935532549265818</v>
      </c>
      <c r="E20" s="140">
        <v>1.0</v>
      </c>
      <c r="F20" s="140">
        <v>1.257698129670368</v>
      </c>
      <c r="G20" s="140">
        <v>61684.320266114126</v>
      </c>
      <c r="H20" s="140">
        <v>134.9088949388142</v>
      </c>
      <c r="I20" s="140">
        <v>0.806519052618864</v>
      </c>
      <c r="J20" s="141">
        <v>9.291694154595207E-4</v>
      </c>
      <c r="K20" s="140">
        <v>137.52636518216366</v>
      </c>
    </row>
    <row r="21">
      <c r="A21" s="55">
        <v>45457.95972615741</v>
      </c>
      <c r="B21" s="139">
        <v>1.07623</v>
      </c>
      <c r="C21" s="140">
        <v>151.7268613586315</v>
      </c>
      <c r="D21" s="140">
        <v>1.0934544308115457</v>
      </c>
      <c r="E21" s="140">
        <v>1.0</v>
      </c>
      <c r="F21" s="140">
        <v>1.256362124045938</v>
      </c>
      <c r="G21" s="140">
        <v>61708.48982094906</v>
      </c>
      <c r="H21" s="140">
        <v>133.6535870585284</v>
      </c>
      <c r="I21" s="140">
        <v>0.8102357302807021</v>
      </c>
      <c r="J21" s="141">
        <v>9.291694154595207E-4</v>
      </c>
      <c r="K21" s="140">
        <v>136.18836122390195</v>
      </c>
    </row>
    <row r="22">
      <c r="A22" s="55">
        <v>45456.95974508102</v>
      </c>
      <c r="B22" s="139">
        <v>1.07623</v>
      </c>
      <c r="C22" s="140">
        <v>155.78919004302054</v>
      </c>
      <c r="D22" s="140">
        <v>1.0942051207883823</v>
      </c>
      <c r="E22" s="140">
        <v>1.0</v>
      </c>
      <c r="F22" s="140">
        <v>1.2664725956434963</v>
      </c>
      <c r="G22" s="140">
        <v>62262.99954470699</v>
      </c>
      <c r="H22" s="140">
        <v>137.28756864239054</v>
      </c>
      <c r="I22" s="140">
        <v>0.8455441680681639</v>
      </c>
      <c r="J22" s="141">
        <v>9.291694154595207E-4</v>
      </c>
      <c r="K22" s="140">
        <v>139.92455144346468</v>
      </c>
    </row>
    <row r="23">
      <c r="A23" s="55">
        <v>45455.95971945602</v>
      </c>
      <c r="B23" s="139">
        <v>1.0847</v>
      </c>
      <c r="C23" s="140">
        <v>162.354568083341</v>
      </c>
      <c r="D23" s="140">
        <v>1.096433501581483</v>
      </c>
      <c r="E23" s="140">
        <v>1.0</v>
      </c>
      <c r="F23" s="140">
        <v>1.2957301964065087</v>
      </c>
      <c r="G23" s="140">
        <v>63170.74767216742</v>
      </c>
      <c r="H23" s="140">
        <v>143.0395501060201</v>
      </c>
      <c r="I23" s="140">
        <v>0.8933345625518576</v>
      </c>
      <c r="J23" s="141">
        <v>9.219138932423711E-4</v>
      </c>
      <c r="K23" s="140">
        <v>145.80068221628102</v>
      </c>
    </row>
    <row r="24">
      <c r="A24" s="55">
        <v>45454.95973861111</v>
      </c>
      <c r="B24" s="139">
        <v>1.07346</v>
      </c>
      <c r="C24" s="140">
        <v>156.79764499841633</v>
      </c>
      <c r="D24" s="140">
        <v>1.096903187593021</v>
      </c>
      <c r="E24" s="140">
        <v>1.0</v>
      </c>
      <c r="F24" s="140">
        <v>1.3029240244938516</v>
      </c>
      <c r="G24" s="140">
        <v>62572.935181562425</v>
      </c>
      <c r="H24" s="140">
        <v>138.18866096547612</v>
      </c>
      <c r="I24" s="140">
        <v>0.8616995509846663</v>
      </c>
      <c r="J24" s="141">
        <v>9.315670821455853E-4</v>
      </c>
      <c r="K24" s="140">
        <v>140.74953887429433</v>
      </c>
    </row>
    <row r="25">
      <c r="A25" s="55">
        <v>45453.959715902776</v>
      </c>
      <c r="B25" s="139">
        <v>1.07528</v>
      </c>
      <c r="C25" s="140">
        <v>168.27802990848895</v>
      </c>
      <c r="D25" s="140">
        <v>6.791880062260244</v>
      </c>
      <c r="E25" s="140">
        <v>1.0</v>
      </c>
      <c r="F25" s="140">
        <v>1.3610724061303197</v>
      </c>
      <c r="G25" s="140">
        <v>64746.77665352281</v>
      </c>
      <c r="H25" s="140">
        <v>148.34089725466856</v>
      </c>
      <c r="I25" s="140">
        <v>0.9067405698980731</v>
      </c>
      <c r="J25" s="141">
        <v>9.299903281005877E-4</v>
      </c>
      <c r="K25" s="140">
        <v>153.3325</v>
      </c>
    </row>
    <row r="26">
      <c r="A26" s="55">
        <v>45452.95970398148</v>
      </c>
      <c r="B26" s="139">
        <v>1.08121</v>
      </c>
      <c r="C26" s="140">
        <v>169.82732309172133</v>
      </c>
      <c r="D26" s="140">
        <v>1.0990895098263689</v>
      </c>
      <c r="E26" s="140">
        <v>1.0</v>
      </c>
      <c r="F26" s="140">
        <v>1.3373136047571423</v>
      </c>
      <c r="G26" s="140">
        <v>64626.53323591162</v>
      </c>
      <c r="H26" s="140">
        <v>149.70819729747228</v>
      </c>
      <c r="I26" s="140">
        <v>0.9359883833852813</v>
      </c>
      <c r="J26" s="141">
        <v>9.248897069024519E-4</v>
      </c>
      <c r="K26" s="140">
        <v>148.53753</v>
      </c>
    </row>
    <row r="27">
      <c r="A27" s="55">
        <v>45451.95969471065</v>
      </c>
      <c r="B27" s="139">
        <v>1.08102</v>
      </c>
      <c r="C27" s="140">
        <v>166.52513367005233</v>
      </c>
      <c r="D27" s="140">
        <v>1.098093637380928</v>
      </c>
      <c r="E27" s="140">
        <v>1.0</v>
      </c>
      <c r="F27" s="140">
        <v>1.326069993587371</v>
      </c>
      <c r="G27" s="140">
        <v>64104.85374923683</v>
      </c>
      <c r="H27" s="140">
        <v>146.8955245971397</v>
      </c>
      <c r="I27" s="140">
        <v>0.909326376940297</v>
      </c>
      <c r="J27" s="141">
        <v>9.25052265452998E-4</v>
      </c>
      <c r="K27" s="140">
        <v>152.84612</v>
      </c>
    </row>
    <row r="28">
      <c r="A28" s="55">
        <v>45450.959764652776</v>
      </c>
      <c r="B28" s="139">
        <v>1.08073</v>
      </c>
      <c r="C28" s="140">
        <v>170.3755794694327</v>
      </c>
      <c r="D28" s="140">
        <v>1.0993509018609628</v>
      </c>
      <c r="E28" s="140">
        <v>1.0</v>
      </c>
      <c r="F28" s="140">
        <v>1.344293223445449</v>
      </c>
      <c r="G28" s="140">
        <v>64188.7779556411</v>
      </c>
      <c r="H28" s="140">
        <v>150.27620219666335</v>
      </c>
      <c r="I28" s="140">
        <v>0.9530595060745978</v>
      </c>
      <c r="J28" s="141">
        <v>9.253004913345609E-4</v>
      </c>
      <c r="K28" s="140">
        <v>160.09975</v>
      </c>
    </row>
    <row r="29">
      <c r="A29" s="55">
        <v>45449.959702962966</v>
      </c>
      <c r="B29" s="139">
        <v>1.08782</v>
      </c>
      <c r="C29" s="140">
        <v>177.20486845250133</v>
      </c>
      <c r="D29" s="140">
        <v>1.100266075708533</v>
      </c>
      <c r="E29" s="140">
        <v>1.0</v>
      </c>
      <c r="F29" s="140">
        <v>1.3598611927920978</v>
      </c>
      <c r="G29" s="140">
        <v>65230.669596072876</v>
      </c>
      <c r="H29" s="140">
        <v>156.3576694673751</v>
      </c>
      <c r="I29" s="140">
        <v>1.025905021051277</v>
      </c>
      <c r="J29" s="141">
        <v>9.192697321248E-4</v>
      </c>
      <c r="K29" s="140">
        <v>162.13913</v>
      </c>
    </row>
    <row r="30">
      <c r="A30" s="55">
        <v>45448.95968972222</v>
      </c>
      <c r="B30" s="139">
        <v>1.08691</v>
      </c>
      <c r="C30" s="140">
        <v>180.5742885795512</v>
      </c>
      <c r="D30" s="140">
        <v>1.1006400376574714</v>
      </c>
      <c r="E30" s="140">
        <v>1.0</v>
      </c>
      <c r="F30" s="140">
        <v>1.364587302334149</v>
      </c>
      <c r="G30" s="140">
        <v>65507.9408598688</v>
      </c>
      <c r="H30" s="140">
        <v>159.33517954568455</v>
      </c>
      <c r="I30" s="140">
        <v>1.0580452843381696</v>
      </c>
      <c r="J30" s="141">
        <v>9.20039377685365E-4</v>
      </c>
      <c r="K30" s="140">
        <v>160.73912</v>
      </c>
    </row>
    <row r="31">
      <c r="A31" s="55">
        <v>45447.959694502315</v>
      </c>
      <c r="B31" s="139">
        <v>1.08717</v>
      </c>
      <c r="C31" s="140">
        <v>176.84722720457702</v>
      </c>
      <c r="D31" s="140">
        <v>1.0981427905243966</v>
      </c>
      <c r="E31" s="140">
        <v>1.0</v>
      </c>
      <c r="F31" s="140">
        <v>1.3382039523239053</v>
      </c>
      <c r="G31" s="140">
        <v>65161.01069749902</v>
      </c>
      <c r="H31" s="140">
        <v>156.05379103544067</v>
      </c>
      <c r="I31" s="140">
        <v>1.038476043305095</v>
      </c>
      <c r="J31" s="141">
        <v>9.198193474801549E-4</v>
      </c>
      <c r="K31" s="140">
        <v>154.26913</v>
      </c>
    </row>
    <row r="32">
      <c r="A32" s="55">
        <v>45446.959710104165</v>
      </c>
      <c r="B32" s="139">
        <v>1.0882</v>
      </c>
      <c r="C32" s="140">
        <v>172.17423267781658</v>
      </c>
      <c r="D32" s="140">
        <v>1.0973864023452113</v>
      </c>
      <c r="E32" s="140">
        <v>1.0</v>
      </c>
      <c r="F32" s="140">
        <v>1.3255026866772193</v>
      </c>
      <c r="G32" s="140">
        <v>63538.344054401765</v>
      </c>
      <c r="H32" s="140">
        <v>152.097040985113</v>
      </c>
      <c r="I32" s="140">
        <v>1.0062488513140966</v>
      </c>
      <c r="J32" s="141">
        <v>9.189487226612755E-4</v>
      </c>
      <c r="K32" s="140">
        <v>152.03782</v>
      </c>
    </row>
    <row r="33">
      <c r="A33" s="55">
        <v>45445.95969243055</v>
      </c>
      <c r="B33" s="139">
        <v>1.08497</v>
      </c>
      <c r="C33" s="140">
        <v>169.6673640745827</v>
      </c>
      <c r="D33" s="140">
        <v>1.0945415547964263</v>
      </c>
      <c r="E33" s="140">
        <v>1.0</v>
      </c>
      <c r="F33" s="140">
        <v>1.2898266997539196</v>
      </c>
      <c r="G33" s="140">
        <v>62591.8974718195</v>
      </c>
      <c r="H33" s="140">
        <v>149.83455763753838</v>
      </c>
      <c r="I33" s="140">
        <v>0.9797505921822722</v>
      </c>
      <c r="J33" s="141">
        <v>9.21684470538356E-4</v>
      </c>
      <c r="K33" s="140">
        <v>156.47864</v>
      </c>
    </row>
    <row r="34">
      <c r="A34" s="55">
        <v>45444.95969236111</v>
      </c>
      <c r="B34" s="139">
        <v>1.0850899999999999</v>
      </c>
      <c r="C34" s="140">
        <v>174.14131546691982</v>
      </c>
      <c r="D34" s="140">
        <v>6.551355499975778</v>
      </c>
      <c r="E34" s="140">
        <v>1.0</v>
      </c>
      <c r="F34" s="140">
        <v>1.312459078450147</v>
      </c>
      <c r="G34" s="140">
        <v>62558.21083965386</v>
      </c>
      <c r="H34" s="140">
        <v>153.7476154051738</v>
      </c>
      <c r="I34" s="140">
        <v>1.0137407956943665</v>
      </c>
      <c r="J34" s="141">
        <v>9.215825415403332E-4</v>
      </c>
      <c r="K34" s="140">
        <v>155.26351</v>
      </c>
    </row>
    <row r="35">
      <c r="A35" s="55">
        <v>45443.95970040509</v>
      </c>
      <c r="B35" s="139">
        <v>1.0844200000000002</v>
      </c>
      <c r="C35" s="140">
        <v>173.65227494882055</v>
      </c>
      <c r="D35" s="140">
        <v>1.0968955839780548</v>
      </c>
      <c r="E35" s="140">
        <v>1.0</v>
      </c>
      <c r="F35" s="140">
        <v>1.33978887575361</v>
      </c>
      <c r="G35" s="140">
        <v>62482.34447907637</v>
      </c>
      <c r="H35" s="140">
        <v>153.36862101399825</v>
      </c>
      <c r="I35" s="140">
        <v>1.0143671271278656</v>
      </c>
      <c r="J35" s="141">
        <v>9.221519337526049E-4</v>
      </c>
      <c r="K35" s="140">
        <v>156.69633</v>
      </c>
    </row>
    <row r="36">
      <c r="A36" s="55">
        <v>45442.95970677084</v>
      </c>
      <c r="B36" s="139">
        <v>1.08385</v>
      </c>
      <c r="C36" s="140">
        <v>174.16801217880703</v>
      </c>
      <c r="D36" s="140">
        <v>1.0973989263585773</v>
      </c>
      <c r="E36" s="140">
        <v>1.0</v>
      </c>
      <c r="F36" s="140">
        <v>1.3467930609437928</v>
      </c>
      <c r="G36" s="140">
        <v>63050.93232458366</v>
      </c>
      <c r="H36" s="140">
        <v>153.85523827097845</v>
      </c>
      <c r="I36" s="140">
        <v>1.018591133459427</v>
      </c>
      <c r="J36" s="141">
        <v>9.226368962494811E-4</v>
      </c>
      <c r="K36" s="140">
        <v>158.67346</v>
      </c>
    </row>
    <row r="37">
      <c r="A37" s="55">
        <v>45441.95849975695</v>
      </c>
      <c r="B37" s="139">
        <v>1.0811</v>
      </c>
      <c r="C37" s="140">
        <v>177.0863009897327</v>
      </c>
      <c r="D37" s="140">
        <v>1.0964015263203013</v>
      </c>
      <c r="E37" s="140">
        <v>1.0</v>
      </c>
      <c r="F37" s="140">
        <v>1.3317350487183333</v>
      </c>
      <c r="G37" s="140">
        <v>62522.56313014522</v>
      </c>
      <c r="H37" s="140">
        <v>156.4665618351679</v>
      </c>
      <c r="I37" s="140">
        <v>1.0600314494496346</v>
      </c>
      <c r="J37" s="141">
        <v>9.249838127832763E-4</v>
      </c>
      <c r="K37" s="140">
        <v>158.43468</v>
      </c>
    </row>
    <row r="38">
      <c r="A38" s="55">
        <v>45440.95969377315</v>
      </c>
      <c r="B38" s="139">
        <v>1.08628</v>
      </c>
      <c r="C38" s="140">
        <v>175.85060941930257</v>
      </c>
      <c r="D38" s="140">
        <v>1.0970001993500709</v>
      </c>
      <c r="E38" s="140">
        <v>1.0</v>
      </c>
      <c r="F38" s="140">
        <v>1.3397682062281826</v>
      </c>
      <c r="G38" s="140">
        <v>62969.27127444121</v>
      </c>
      <c r="H38" s="140">
        <v>155.3153882976765</v>
      </c>
      <c r="I38" s="140">
        <v>1.066023493022057</v>
      </c>
      <c r="J38" s="141">
        <v>9.205729646131753E-4</v>
      </c>
      <c r="K38" s="140">
        <v>159.52347</v>
      </c>
    </row>
    <row r="39">
      <c r="A39" s="55">
        <v>45439.95969913194</v>
      </c>
      <c r="B39" s="139">
        <v>1.08578</v>
      </c>
      <c r="C39" s="140">
        <v>177.2449299121369</v>
      </c>
      <c r="D39" s="140">
        <v>1.0971213100608983</v>
      </c>
      <c r="E39" s="140">
        <v>1.0</v>
      </c>
      <c r="F39" s="140">
        <v>1.3414447518776365</v>
      </c>
      <c r="G39" s="140">
        <v>63935.91703660042</v>
      </c>
      <c r="H39" s="140">
        <v>156.59525870802557</v>
      </c>
      <c r="I39" s="140">
        <v>1.0794083515997717</v>
      </c>
      <c r="J39" s="141">
        <v>9.209968870305218E-4</v>
      </c>
      <c r="K39" s="140">
        <v>152.95507</v>
      </c>
    </row>
    <row r="40">
      <c r="A40" s="55">
        <v>45438.95969724537</v>
      </c>
      <c r="B40" s="139">
        <v>1.0846900000000002</v>
      </c>
      <c r="C40" s="140">
        <v>169.82363624630077</v>
      </c>
      <c r="D40" s="140">
        <v>1.0955650951221456</v>
      </c>
      <c r="E40" s="140">
        <v>1.0</v>
      </c>
      <c r="F40" s="140">
        <v>1.3217380439813677</v>
      </c>
      <c r="G40" s="140">
        <v>63370.20346827203</v>
      </c>
      <c r="H40" s="140">
        <v>150.34802570319627</v>
      </c>
      <c r="I40" s="140">
        <v>1.0270215453263143</v>
      </c>
      <c r="J40" s="141">
        <v>9.219223925729931E-4</v>
      </c>
      <c r="K40" s="140">
        <v>157.02307</v>
      </c>
    </row>
    <row r="41">
      <c r="A41" s="55">
        <v>45437.95972034722</v>
      </c>
      <c r="B41" s="139">
        <v>1.0848</v>
      </c>
      <c r="C41" s="140">
        <v>174.58333333333334</v>
      </c>
      <c r="D41" s="140">
        <v>1.0938043887683861</v>
      </c>
      <c r="E41" s="140">
        <v>1.0</v>
      </c>
      <c r="F41" s="140">
        <v>1.3036942782861909</v>
      </c>
      <c r="G41" s="140">
        <v>63897.419800884956</v>
      </c>
      <c r="H41" s="140">
        <v>154.30862831858408</v>
      </c>
      <c r="I41" s="140">
        <v>1.0693215339233038</v>
      </c>
      <c r="J41" s="141">
        <v>9.218289085545723E-4</v>
      </c>
      <c r="K41" s="140">
        <v>156.49048</v>
      </c>
    </row>
    <row r="42">
      <c r="A42" s="55">
        <v>45436.95968693287</v>
      </c>
      <c r="B42" s="139">
        <v>1.08521</v>
      </c>
      <c r="C42" s="140">
        <v>174.14417486016532</v>
      </c>
      <c r="D42" s="140">
        <v>1.0933087137406623</v>
      </c>
      <c r="E42" s="140">
        <v>1.0</v>
      </c>
      <c r="F42" s="140">
        <v>1.3044596364545205</v>
      </c>
      <c r="G42" s="140">
        <v>63583.71559421678</v>
      </c>
      <c r="H42" s="140">
        <v>154.00521558039458</v>
      </c>
      <c r="I42" s="140">
        <v>1.0385086757401794</v>
      </c>
      <c r="J42" s="141">
        <v>9.214806350844537E-4</v>
      </c>
      <c r="K42" s="140">
        <v>164.51914</v>
      </c>
    </row>
    <row r="43">
      <c r="A43" s="55">
        <v>45435.95969011574</v>
      </c>
      <c r="B43" s="139">
        <v>1.0816400000000002</v>
      </c>
      <c r="C43" s="140">
        <v>186.74512776894343</v>
      </c>
      <c r="D43" s="140">
        <v>1.0940708206889884</v>
      </c>
      <c r="E43" s="140">
        <v>1.0</v>
      </c>
      <c r="F43" s="140">
        <v>1.325395282999593</v>
      </c>
      <c r="G43" s="140">
        <v>62926.4718390592</v>
      </c>
      <c r="H43" s="140">
        <v>165.19451943345288</v>
      </c>
      <c r="I43" s="140">
        <v>1.0983321622721052</v>
      </c>
      <c r="J43" s="141">
        <v>9.245220221145667E-4</v>
      </c>
      <c r="K43" s="140">
        <v>165.87091</v>
      </c>
    </row>
    <row r="44">
      <c r="A44" s="55">
        <v>45434.959709965275</v>
      </c>
      <c r="B44" s="139">
        <v>1.0843900000000002</v>
      </c>
      <c r="C44" s="140">
        <v>187.66218795820689</v>
      </c>
      <c r="D44" s="140">
        <v>1.093821282845225</v>
      </c>
      <c r="E44" s="140">
        <v>1.0</v>
      </c>
      <c r="F44" s="140">
        <v>1.316750947698042</v>
      </c>
      <c r="G44" s="140">
        <v>64286.97977664861</v>
      </c>
      <c r="H44" s="140">
        <v>166.11366759191802</v>
      </c>
      <c r="I44" s="140">
        <v>1.1204455961416095</v>
      </c>
      <c r="J44" s="141">
        <v>9.221774453840407E-4</v>
      </c>
      <c r="K44" s="140">
        <v>166.49652</v>
      </c>
    </row>
    <row r="45">
      <c r="A45" s="55">
        <v>45433.95977231482</v>
      </c>
      <c r="B45" s="139">
        <v>1.08519</v>
      </c>
      <c r="C45" s="140">
        <v>185.53525189137386</v>
      </c>
      <c r="D45" s="140">
        <v>1.0706250639876593</v>
      </c>
      <c r="E45" s="140">
        <v>1.0</v>
      </c>
      <c r="F45" s="140">
        <v>1.3278967549260035</v>
      </c>
      <c r="G45" s="140">
        <v>64477.8167878436</v>
      </c>
      <c r="H45" s="140">
        <v>164.27445885052387</v>
      </c>
      <c r="I45" s="140">
        <v>1.105797141514389</v>
      </c>
      <c r="J45" s="141">
        <v>9.214976179286576E-4</v>
      </c>
      <c r="K45" s="140">
        <v>173.73142</v>
      </c>
    </row>
    <row r="46">
      <c r="A46" s="55">
        <v>45432.959695983795</v>
      </c>
      <c r="B46" s="139">
        <v>1.0865799999999999</v>
      </c>
      <c r="C46" s="140">
        <v>192.29693165712604</v>
      </c>
      <c r="D46" s="140">
        <v>1.0696180914450328</v>
      </c>
      <c r="E46" s="140">
        <v>1.0</v>
      </c>
      <c r="F46" s="140">
        <v>1.3118876574910823</v>
      </c>
      <c r="G46" s="140">
        <v>64297.70656555431</v>
      </c>
      <c r="H46" s="140">
        <v>166.565738371772</v>
      </c>
      <c r="I46" s="140">
        <v>1.1513188168381527</v>
      </c>
      <c r="J46" s="141">
        <v>9.203187984317769E-4</v>
      </c>
      <c r="K46" s="140">
        <v>159.97093</v>
      </c>
    </row>
    <row r="47">
      <c r="A47" s="55">
        <v>45431.95973969907</v>
      </c>
      <c r="B47" s="139">
        <v>1.08674</v>
      </c>
      <c r="C47" s="140">
        <v>176.80308482344174</v>
      </c>
      <c r="D47" s="140">
        <v>1.0639595817278387</v>
      </c>
      <c r="E47" s="140">
        <v>1.0</v>
      </c>
      <c r="F47" s="140">
        <v>1.1975038502867819</v>
      </c>
      <c r="G47" s="140">
        <v>61085.338806011365</v>
      </c>
      <c r="H47" s="140">
        <v>156.50049235696343</v>
      </c>
      <c r="I47" s="140">
        <v>1.0804244393112525</v>
      </c>
      <c r="J47" s="141">
        <v>0.0018405867790651663</v>
      </c>
      <c r="K47" s="140">
        <v>160.61976</v>
      </c>
    </row>
    <row r="48">
      <c r="A48" s="55">
        <v>45430.959697384256</v>
      </c>
      <c r="B48" s="139">
        <v>1.0876</v>
      </c>
      <c r="C48" s="140">
        <v>179.06401676717167</v>
      </c>
      <c r="D48" s="140">
        <v>1.065179403039949</v>
      </c>
      <c r="E48" s="140">
        <v>1.0</v>
      </c>
      <c r="F48" s="140">
        <v>1.218698397428712</v>
      </c>
      <c r="G48" s="140">
        <v>61628.22933519636</v>
      </c>
      <c r="H48" s="140">
        <v>158.50584644800708</v>
      </c>
      <c r="I48" s="140">
        <v>1.1380350051478159</v>
      </c>
      <c r="J48" s="141">
        <v>9.192528312987205E-4</v>
      </c>
      <c r="K48" s="140">
        <v>157.68798</v>
      </c>
    </row>
    <row r="49">
      <c r="A49" s="55">
        <v>45429.959708124996</v>
      </c>
      <c r="B49" s="139">
        <v>1.0884800000000001</v>
      </c>
      <c r="C49" s="140">
        <v>173.95266794061442</v>
      </c>
      <c r="D49" s="140">
        <v>1.0651904348229975</v>
      </c>
      <c r="E49" s="140">
        <v>1.0</v>
      </c>
      <c r="F49" s="140">
        <v>1.2198815009587864</v>
      </c>
      <c r="G49" s="140">
        <v>61471.65588710862</v>
      </c>
      <c r="H49" s="140">
        <v>154.09653829193002</v>
      </c>
      <c r="I49" s="140">
        <v>1.108885785682787</v>
      </c>
      <c r="J49" s="141">
        <v>0.0018374246655887107</v>
      </c>
      <c r="K49" s="140">
        <v>147.94919</v>
      </c>
    </row>
    <row r="50">
      <c r="A50" s="55">
        <v>45428.959705914356</v>
      </c>
      <c r="B50" s="139">
        <v>1.08677</v>
      </c>
      <c r="C50" s="140">
        <v>165.16466225604313</v>
      </c>
      <c r="D50" s="140">
        <v>1.0619498201895743</v>
      </c>
      <c r="E50" s="140">
        <v>1.0</v>
      </c>
      <c r="F50" s="140">
        <v>1.1610201460680825</v>
      </c>
      <c r="G50" s="140">
        <v>60214.63511138511</v>
      </c>
      <c r="H50" s="140">
        <v>146.26461900862188</v>
      </c>
      <c r="I50" s="140">
        <v>1.0397784259778977</v>
      </c>
      <c r="J50" s="141">
        <v>9.201578990954848E-4</v>
      </c>
      <c r="K50" s="140">
        <v>143.05868</v>
      </c>
    </row>
    <row r="51">
      <c r="A51" s="55">
        <v>45427.95970702547</v>
      </c>
      <c r="B51" s="139">
        <v>1.08619</v>
      </c>
      <c r="C51" s="140">
        <v>161.4337951563706</v>
      </c>
      <c r="D51" s="140">
        <v>1.0630957484424628</v>
      </c>
      <c r="E51" s="140">
        <v>1.0</v>
      </c>
      <c r="F51" s="140">
        <v>1.1784654050420784</v>
      </c>
      <c r="G51" s="140">
        <v>60425.53562897358</v>
      </c>
      <c r="H51" s="140">
        <v>143.07724817169526</v>
      </c>
      <c r="I51" s="140">
        <v>1.0482892947704971</v>
      </c>
      <c r="J51" s="141">
        <v>9.187460953290948E-4</v>
      </c>
      <c r="K51" s="140">
        <v>133.1212</v>
      </c>
    </row>
    <row r="52">
      <c r="A52" s="55">
        <v>45426.95969979167</v>
      </c>
      <c r="B52" s="139">
        <v>1.08198</v>
      </c>
      <c r="C52" s="140">
        <v>149.46394572912624</v>
      </c>
      <c r="D52" s="140">
        <v>1.0601339489390122</v>
      </c>
      <c r="E52" s="140">
        <v>1.0</v>
      </c>
      <c r="F52" s="140">
        <v>1.1190331117589511</v>
      </c>
      <c r="G52" s="140">
        <v>56988.35838000703</v>
      </c>
      <c r="H52" s="140">
        <v>132.43498031386903</v>
      </c>
      <c r="I52" s="140">
        <v>0.9436403630381338</v>
      </c>
      <c r="J52" s="141">
        <v>9.242315015064974E-4</v>
      </c>
      <c r="K52" s="140">
        <v>137.72324</v>
      </c>
    </row>
    <row r="53">
      <c r="A53" s="55">
        <v>45425.95969133102</v>
      </c>
      <c r="B53" s="139">
        <v>1.0789600000000001</v>
      </c>
      <c r="C53" s="140">
        <v>154.15121969303772</v>
      </c>
      <c r="D53" s="140">
        <v>1.061228587325237</v>
      </c>
      <c r="E53" s="140">
        <v>1.0</v>
      </c>
      <c r="F53" s="140">
        <v>1.146381572625176</v>
      </c>
      <c r="G53" s="140">
        <v>57956.57855712908</v>
      </c>
      <c r="H53" s="140">
        <v>136.14777192852375</v>
      </c>
      <c r="I53" s="140">
        <v>0.9907688885593533</v>
      </c>
      <c r="J53" s="141">
        <v>9.268184177355971E-4</v>
      </c>
      <c r="K53" s="140">
        <v>134.85536</v>
      </c>
    </row>
    <row r="54">
      <c r="A54" s="55">
        <v>45424.95970699074</v>
      </c>
      <c r="B54" s="139">
        <v>1.07734</v>
      </c>
      <c r="C54" s="140">
        <v>150.56064009504894</v>
      </c>
      <c r="D54" s="140">
        <v>1.0585918388565343</v>
      </c>
      <c r="E54" s="140">
        <v>1.0</v>
      </c>
      <c r="F54" s="140">
        <v>1.147303394734912</v>
      </c>
      <c r="G54" s="140">
        <v>56914.101397887396</v>
      </c>
      <c r="H54" s="140">
        <v>133.43512725787588</v>
      </c>
      <c r="I54" s="140">
        <v>0.9829765904913954</v>
      </c>
      <c r="J54" s="141">
        <v>0.0018564241557911152</v>
      </c>
      <c r="K54" s="140">
        <v>136.92206</v>
      </c>
    </row>
    <row r="55">
      <c r="A55" s="55">
        <v>45423.95972658564</v>
      </c>
      <c r="B55" s="139">
        <v>1.0778699999999999</v>
      </c>
      <c r="C55" s="140">
        <v>152.26047668086133</v>
      </c>
      <c r="D55" s="140">
        <v>1.0586826577601292</v>
      </c>
      <c r="E55" s="140">
        <v>1.0</v>
      </c>
      <c r="F55" s="140">
        <v>1.149441070333352</v>
      </c>
      <c r="G55" s="140">
        <v>56685.56690509988</v>
      </c>
      <c r="H55" s="140">
        <v>134.9995825099502</v>
      </c>
      <c r="I55" s="140">
        <v>0.9824932505775279</v>
      </c>
      <c r="J55" s="141">
        <v>9.277556662677319E-4</v>
      </c>
      <c r="K55" s="140">
        <v>136.8318</v>
      </c>
    </row>
    <row r="56">
      <c r="A56" s="55">
        <v>45422.95969822917</v>
      </c>
      <c r="B56" s="139">
        <v>1.07724</v>
      </c>
      <c r="C56" s="140">
        <v>153.25182874754</v>
      </c>
      <c r="D56" s="140">
        <v>1.058193286919481</v>
      </c>
      <c r="E56" s="140">
        <v>1.0</v>
      </c>
      <c r="F56" s="140">
        <v>1.1411261185479373</v>
      </c>
      <c r="G56" s="140">
        <v>56362.293453640785</v>
      </c>
      <c r="H56" s="140">
        <v>135.92328543314397</v>
      </c>
      <c r="I56" s="140">
        <v>0.9672867698934314</v>
      </c>
      <c r="J56" s="141">
        <v>9.282982436597231E-4</v>
      </c>
      <c r="K56" s="140">
        <v>142.54498</v>
      </c>
    </row>
    <row r="57">
      <c r="A57" s="55">
        <v>45421.95970061343</v>
      </c>
      <c r="B57" s="139">
        <v>1.07823</v>
      </c>
      <c r="C57" s="140">
        <v>156.9915509677898</v>
      </c>
      <c r="D57" s="140">
        <v>1.0600407749172225</v>
      </c>
      <c r="E57" s="140">
        <v>1.0</v>
      </c>
      <c r="F57" s="140">
        <v>1.1767280315687099</v>
      </c>
      <c r="G57" s="140">
        <v>58023.39296810514</v>
      </c>
      <c r="H57" s="140">
        <v>139.3329809038888</v>
      </c>
      <c r="I57" s="140">
        <v>1.0062788087884773</v>
      </c>
      <c r="J57" s="141">
        <v>9.274459067174907E-4</v>
      </c>
      <c r="K57" s="140">
        <v>133.0344</v>
      </c>
    </row>
    <row r="58">
      <c r="A58" s="55">
        <v>45420.959704340275</v>
      </c>
      <c r="B58" s="139">
        <v>1.0743900000000002</v>
      </c>
      <c r="C58" s="140">
        <v>147.72568620333396</v>
      </c>
      <c r="D58" s="140">
        <v>1.0589674596568588</v>
      </c>
      <c r="E58" s="140">
        <v>1.0</v>
      </c>
      <c r="F58" s="140">
        <v>1.1521630294155658</v>
      </c>
      <c r="G58" s="140">
        <v>57411.48372564896</v>
      </c>
      <c r="H58" s="140">
        <v>131.29775965896926</v>
      </c>
      <c r="I58" s="140">
        <v>0.950306685654185</v>
      </c>
      <c r="J58" s="141">
        <v>9.307607107288786E-4</v>
      </c>
      <c r="K58" s="140">
        <v>140.03687</v>
      </c>
    </row>
    <row r="59">
      <c r="A59" s="55">
        <v>45419.95969797454</v>
      </c>
      <c r="B59" s="139">
        <v>1.07527</v>
      </c>
      <c r="C59" s="140">
        <v>158.1081960809843</v>
      </c>
      <c r="D59" s="140">
        <v>1.0488875729789806</v>
      </c>
      <c r="E59" s="140">
        <v>1.0</v>
      </c>
      <c r="F59" s="140">
        <v>1.1839369789649483</v>
      </c>
      <c r="G59" s="140">
        <v>58592.94688775842</v>
      </c>
      <c r="H59" s="140">
        <v>140.2457057297237</v>
      </c>
      <c r="I59" s="140">
        <v>1.0378788583332559</v>
      </c>
      <c r="J59" s="141">
        <v>9.299989770011253E-4</v>
      </c>
      <c r="K59" s="140">
        <v>144.06313</v>
      </c>
    </row>
    <row r="60">
      <c r="A60" s="55">
        <v>45418.95970091435</v>
      </c>
      <c r="B60" s="139">
        <v>1.07679</v>
      </c>
      <c r="C60" s="140">
        <v>162.78290102991298</v>
      </c>
      <c r="D60" s="140">
        <v>1.049529607674626</v>
      </c>
      <c r="E60" s="140">
        <v>1.0</v>
      </c>
      <c r="F60" s="140">
        <v>1.201418223719667</v>
      </c>
      <c r="G60" s="140">
        <v>59164.04498555893</v>
      </c>
      <c r="H60" s="140">
        <v>144.40420137631293</v>
      </c>
      <c r="I60" s="140">
        <v>1.0587022539213775</v>
      </c>
      <c r="J60" s="141">
        <v>9.286861876503312E-4</v>
      </c>
      <c r="K60" s="140">
        <v>136.72093</v>
      </c>
    </row>
    <row r="61">
      <c r="A61" s="55">
        <v>45417.959699803236</v>
      </c>
      <c r="B61" s="139">
        <v>1.07627</v>
      </c>
      <c r="C61" s="140">
        <v>152.32516004348352</v>
      </c>
      <c r="D61" s="140">
        <v>4.035910976965767</v>
      </c>
      <c r="E61" s="140">
        <v>1.0</v>
      </c>
      <c r="F61" s="140">
        <v>1.2032988104533622</v>
      </c>
      <c r="G61" s="140">
        <v>59146.283925037395</v>
      </c>
      <c r="H61" s="140">
        <v>135.3275665028292</v>
      </c>
      <c r="I61" s="140">
        <v>0.9839538405790368</v>
      </c>
      <c r="J61" s="141">
        <v>9.291348825108941E-4</v>
      </c>
      <c r="K61" s="140">
        <v>137.53697</v>
      </c>
    </row>
    <row r="62">
      <c r="A62" s="55">
        <v>45416.95969826389</v>
      </c>
      <c r="B62" s="139">
        <v>1.07641</v>
      </c>
      <c r="C62" s="140">
        <v>153.37928856105015</v>
      </c>
      <c r="D62" s="140">
        <v>1.0498582085262163</v>
      </c>
      <c r="E62" s="140">
        <v>1.0</v>
      </c>
      <c r="F62" s="140">
        <v>1.2097489798692411</v>
      </c>
      <c r="G62" s="140">
        <v>59390.76095539803</v>
      </c>
      <c r="H62" s="140">
        <v>136.17116154625094</v>
      </c>
      <c r="I62" s="140">
        <v>0.9996191042446652</v>
      </c>
      <c r="J62" s="141">
        <v>9.290140374021051E-4</v>
      </c>
      <c r="K62" s="140">
        <v>135.17873</v>
      </c>
    </row>
    <row r="63">
      <c r="A63" s="55">
        <v>45415.95969923611</v>
      </c>
      <c r="B63" s="139">
        <v>1.07667</v>
      </c>
      <c r="C63" s="140">
        <v>149.97724465249334</v>
      </c>
      <c r="D63" s="140">
        <v>1.0496474406925043</v>
      </c>
      <c r="E63" s="140">
        <v>1.0</v>
      </c>
      <c r="F63" s="140">
        <v>1.2043208815202802</v>
      </c>
      <c r="G63" s="140">
        <v>58206.14858777527</v>
      </c>
      <c r="H63" s="140">
        <v>133.06212674264168</v>
      </c>
      <c r="I63" s="140">
        <v>0.9882322345751252</v>
      </c>
      <c r="J63" s="141">
        <v>9.287896941495538E-4</v>
      </c>
      <c r="K63" s="140">
        <v>130.46202</v>
      </c>
    </row>
    <row r="64">
      <c r="A64" s="55">
        <v>45414.95971609953</v>
      </c>
      <c r="B64" s="139">
        <v>1.07248</v>
      </c>
      <c r="C64" s="140">
        <v>145.5542294495002</v>
      </c>
      <c r="D64" s="140">
        <v>1.0475168765541272</v>
      </c>
      <c r="E64" s="140">
        <v>1.0</v>
      </c>
      <c r="F64" s="140">
        <v>1.1536620626725627</v>
      </c>
      <c r="G64" s="140">
        <v>55277.348761748464</v>
      </c>
      <c r="H64" s="140">
        <v>127.8214978367895</v>
      </c>
      <c r="I64" s="140">
        <v>0.9454721766373265</v>
      </c>
      <c r="J64" s="141">
        <v>9.324183201551543E-4</v>
      </c>
      <c r="K64" s="140">
        <v>126.32242</v>
      </c>
    </row>
    <row r="65">
      <c r="A65" s="55">
        <v>45413.95969517361</v>
      </c>
      <c r="B65" s="139">
        <v>1.06984</v>
      </c>
      <c r="C65" s="140">
        <v>140.2405967247439</v>
      </c>
      <c r="D65" s="140">
        <v>1.045827169979354</v>
      </c>
      <c r="E65" s="140">
        <v>1.0</v>
      </c>
      <c r="F65" s="140">
        <v>1.112797988935542</v>
      </c>
      <c r="G65" s="140">
        <v>54085.035145442314</v>
      </c>
      <c r="H65" s="140">
        <v>124.55226949824274</v>
      </c>
      <c r="I65" s="140">
        <v>0.8870485306214013</v>
      </c>
      <c r="J65" s="141">
        <v>9.347192103492112E-4</v>
      </c>
      <c r="K65" s="140">
        <v>119.946</v>
      </c>
    </row>
    <row r="66">
      <c r="A66" s="55">
        <v>45412.95971059028</v>
      </c>
      <c r="B66" s="139">
        <v>1.06725</v>
      </c>
      <c r="C66" s="140">
        <v>132.45631295385337</v>
      </c>
      <c r="D66" s="140">
        <v>1.0458564758533377</v>
      </c>
      <c r="E66" s="140">
        <v>1.0</v>
      </c>
      <c r="F66" s="140">
        <v>1.1103935996444225</v>
      </c>
      <c r="G66" s="140">
        <v>56365.57976106816</v>
      </c>
      <c r="H66" s="140">
        <v>117.6228624970719</v>
      </c>
      <c r="I66" s="140">
        <v>0.8460997891777934</v>
      </c>
      <c r="J66" s="141">
        <v>9.369875849144999E-4</v>
      </c>
      <c r="K66" s="140">
        <v>130.73279</v>
      </c>
    </row>
    <row r="67">
      <c r="A67" s="55">
        <v>45411.959696527774</v>
      </c>
      <c r="B67" s="139">
        <v>1.0720399999999999</v>
      </c>
      <c r="C67" s="140">
        <v>141.47233312189843</v>
      </c>
      <c r="D67" s="140">
        <v>1.048106751510589</v>
      </c>
      <c r="E67" s="140">
        <v>1.0</v>
      </c>
      <c r="F67" s="140">
        <v>1.1682927429152645</v>
      </c>
      <c r="G67" s="140">
        <v>58848.08589231746</v>
      </c>
      <c r="H67" s="140">
        <v>125.73598000074627</v>
      </c>
      <c r="I67" s="140">
        <v>0.9076153874855417</v>
      </c>
      <c r="J67" s="141">
        <v>0.0018656020297750087</v>
      </c>
      <c r="K67" s="140">
        <v>129.6479</v>
      </c>
    </row>
    <row r="68">
      <c r="A68" s="55">
        <v>45410.95970349537</v>
      </c>
      <c r="B68" s="139">
        <v>1.06941</v>
      </c>
      <c r="C68" s="140">
        <v>148.61652686995632</v>
      </c>
      <c r="D68" s="140">
        <v>1.0485530215841015</v>
      </c>
      <c r="E68" s="140">
        <v>1.0</v>
      </c>
      <c r="F68" s="140">
        <v>1.17644128441507</v>
      </c>
      <c r="G68" s="140">
        <v>59420.15971423495</v>
      </c>
      <c r="H68" s="140">
        <v>132.0831112482584</v>
      </c>
      <c r="I68" s="140">
        <v>0.9603426188272037</v>
      </c>
      <c r="J68" s="141">
        <v>9.350950524120778E-4</v>
      </c>
      <c r="K68" s="140">
        <v>133.36536</v>
      </c>
    </row>
    <row r="69">
      <c r="A69" s="55">
        <v>45409.9597</v>
      </c>
      <c r="B69" s="139">
        <v>1.0699</v>
      </c>
      <c r="C69" s="140">
        <v>147.58388634451816</v>
      </c>
      <c r="D69" s="140">
        <v>1.0480738675688048</v>
      </c>
      <c r="E69" s="140">
        <v>1.0</v>
      </c>
      <c r="F69" s="140">
        <v>1.1678948558800635</v>
      </c>
      <c r="G69" s="140">
        <v>58902.249742966625</v>
      </c>
      <c r="H69" s="140">
        <v>118.2559117674549</v>
      </c>
      <c r="I69" s="140">
        <v>0.9384054584540611</v>
      </c>
      <c r="J69" s="141">
        <v>9.346667912889055E-4</v>
      </c>
      <c r="K69" s="140">
        <v>131.5469</v>
      </c>
    </row>
    <row r="70">
      <c r="A70" s="55">
        <v>45408.95970490741</v>
      </c>
      <c r="B70" s="139">
        <v>1.07055</v>
      </c>
      <c r="C70" s="140">
        <v>149.10186352809305</v>
      </c>
      <c r="D70" s="140">
        <v>1.047738454110342</v>
      </c>
      <c r="E70" s="140">
        <v>1.0</v>
      </c>
      <c r="F70" s="140">
        <v>1.158978284635001</v>
      </c>
      <c r="G70" s="140">
        <v>59540.762225024526</v>
      </c>
      <c r="H70" s="140">
        <v>132.5636355144552</v>
      </c>
      <c r="I70" s="140">
        <v>0.916351408154687</v>
      </c>
      <c r="J70" s="141">
        <v>0.001868198589510065</v>
      </c>
      <c r="K70" s="140">
        <v>136.86748</v>
      </c>
    </row>
    <row r="71">
      <c r="A71" s="55">
        <v>45407.95969855324</v>
      </c>
      <c r="B71" s="139">
        <v>1.07276</v>
      </c>
      <c r="C71" s="140">
        <v>153.56370483612363</v>
      </c>
      <c r="D71" s="140">
        <v>1.0483210523381585</v>
      </c>
      <c r="E71" s="140">
        <v>1.0</v>
      </c>
      <c r="F71" s="140">
        <v>1.1714793628837112</v>
      </c>
      <c r="G71" s="140">
        <v>59971.239606249306</v>
      </c>
      <c r="H71" s="140">
        <v>137.14996830605168</v>
      </c>
      <c r="I71" s="140">
        <v>0.9881054476304114</v>
      </c>
      <c r="J71" s="141">
        <v>0.0018643499011894555</v>
      </c>
      <c r="K71" s="140">
        <v>138.42265</v>
      </c>
    </row>
    <row r="72">
      <c r="A72" s="55">
        <v>45406.95969638889</v>
      </c>
      <c r="B72" s="139">
        <v>1.06918</v>
      </c>
      <c r="C72" s="140">
        <v>157.4533754840158</v>
      </c>
      <c r="D72" s="140">
        <v>1.0482394048239332</v>
      </c>
      <c r="E72" s="140">
        <v>1.0</v>
      </c>
      <c r="F72" s="140">
        <v>1.1709204677797191</v>
      </c>
      <c r="G72" s="140">
        <v>60180.56267419892</v>
      </c>
      <c r="H72" s="140">
        <v>140.04283656634055</v>
      </c>
      <c r="I72" s="140">
        <v>1.0297611253483978</v>
      </c>
      <c r="J72" s="141">
        <v>0.001870592416618343</v>
      </c>
      <c r="K72" s="140">
        <v>146.38875</v>
      </c>
    </row>
    <row r="73">
      <c r="A73" s="55">
        <v>45405.95968979166</v>
      </c>
      <c r="B73" s="139">
        <v>1.07054</v>
      </c>
      <c r="C73" s="140">
        <v>164.06112802884525</v>
      </c>
      <c r="D73" s="140">
        <v>1.0468166433381736</v>
      </c>
      <c r="E73" s="140">
        <v>1.0</v>
      </c>
      <c r="F73" s="140">
        <v>1.1863304088957254</v>
      </c>
      <c r="G73" s="140">
        <v>61949.25364769181</v>
      </c>
      <c r="H73" s="140">
        <v>145.9431688680479</v>
      </c>
      <c r="I73" s="140">
        <v>1.093840491714462</v>
      </c>
      <c r="J73" s="141">
        <v>0.0018682160405029237</v>
      </c>
      <c r="K73" s="140">
        <v>148.69502</v>
      </c>
    </row>
    <row r="74">
      <c r="A74" s="55">
        <v>45404.95969679398</v>
      </c>
      <c r="B74" s="139">
        <v>1.06561</v>
      </c>
      <c r="C74" s="140">
        <v>164.13603475943358</v>
      </c>
      <c r="D74" s="140">
        <v>1.074589532260215</v>
      </c>
      <c r="E74" s="140">
        <v>1.0</v>
      </c>
      <c r="F74" s="140">
        <v>1.189049254999221</v>
      </c>
      <c r="G74" s="140">
        <v>62603.29388800781</v>
      </c>
      <c r="H74" s="140">
        <v>145.96991394600278</v>
      </c>
      <c r="I74" s="140">
        <v>1.1054701063240773</v>
      </c>
      <c r="J74" s="141">
        <v>0.001876859263708111</v>
      </c>
      <c r="K74" s="140">
        <v>149.38295</v>
      </c>
    </row>
    <row r="75">
      <c r="A75" s="55">
        <v>45403.95970252315</v>
      </c>
      <c r="B75" s="139">
        <v>1.06494</v>
      </c>
      <c r="C75" s="140">
        <v>157.24078351832028</v>
      </c>
      <c r="D75" s="140">
        <v>1.046755456692186</v>
      </c>
      <c r="E75" s="140">
        <v>1.0</v>
      </c>
      <c r="F75" s="140">
        <v>1.1828793050585291</v>
      </c>
      <c r="G75" s="140">
        <v>60382.86945743422</v>
      </c>
      <c r="H75" s="140">
        <v>137.94486074332826</v>
      </c>
      <c r="I75" s="140">
        <v>1.0798730444907694</v>
      </c>
      <c r="J75" s="141">
        <v>0.0018780400773752513</v>
      </c>
      <c r="K75" s="140">
        <v>0.0</v>
      </c>
    </row>
    <row r="76">
      <c r="A76" s="55">
        <v>45402.959792256945</v>
      </c>
      <c r="B76" s="139">
        <v>1.0658800000000002</v>
      </c>
      <c r="C76" s="140">
        <v>158.61353998573944</v>
      </c>
      <c r="D76" s="140">
        <v>1.047417329423599</v>
      </c>
      <c r="E76" s="140">
        <v>1.0</v>
      </c>
      <c r="F76" s="140">
        <v>1.1996558005306224</v>
      </c>
      <c r="G76" s="140">
        <v>60594.57818891431</v>
      </c>
      <c r="H76" s="140">
        <v>141.1453446917101</v>
      </c>
      <c r="I76" s="140">
        <v>1.1033136938492136</v>
      </c>
      <c r="J76" s="141">
        <v>0.001876383833076894</v>
      </c>
      <c r="K76" s="140">
        <v>0.0</v>
      </c>
    </row>
    <row r="77">
      <c r="A77" s="55">
        <v>45401.959698715276</v>
      </c>
      <c r="B77" s="139">
        <v>1.06424</v>
      </c>
      <c r="C77" s="140">
        <v>152.3321807111178</v>
      </c>
      <c r="D77" s="140">
        <v>1.0450473507627274</v>
      </c>
      <c r="E77" s="140">
        <v>1.0</v>
      </c>
      <c r="F77" s="140">
        <v>1.145084492024111</v>
      </c>
      <c r="G77" s="140">
        <v>60404.329850409675</v>
      </c>
      <c r="H77" s="140">
        <v>135.62260392392693</v>
      </c>
      <c r="I77" s="140">
        <v>0.999774486957829</v>
      </c>
      <c r="J77" s="141">
        <v>9.396376757122453E-4</v>
      </c>
      <c r="K77" s="140">
        <v>0.0</v>
      </c>
    </row>
    <row r="78">
      <c r="A78" s="55">
        <v>45400.95975115741</v>
      </c>
      <c r="B78" s="139">
        <v>1.06597</v>
      </c>
      <c r="C78" s="140">
        <v>147.4187828925767</v>
      </c>
      <c r="D78" s="140">
        <v>1.045371905299148</v>
      </c>
      <c r="E78" s="140">
        <v>1.0</v>
      </c>
      <c r="F78" s="140">
        <v>1.1497118043088173</v>
      </c>
      <c r="G78" s="140">
        <v>59293.16303460697</v>
      </c>
      <c r="H78" s="140">
        <v>130.38734673583684</v>
      </c>
      <c r="I78" s="140">
        <v>0.9418651556798033</v>
      </c>
      <c r="J78" s="141">
        <v>9.381127048603619E-4</v>
      </c>
      <c r="K78" s="140">
        <v>0.0</v>
      </c>
    </row>
    <row r="79">
      <c r="A79" s="55">
        <v>45399.959697893515</v>
      </c>
      <c r="B79" s="139">
        <v>1.06722</v>
      </c>
      <c r="C79" s="140">
        <v>141.69711961919754</v>
      </c>
      <c r="D79" s="140">
        <v>1.0447089154411844</v>
      </c>
      <c r="E79" s="140">
        <v>1.0</v>
      </c>
      <c r="F79" s="140">
        <v>1.1312918083330616</v>
      </c>
      <c r="G79" s="140">
        <v>57160.089765933924</v>
      </c>
      <c r="H79" s="140">
        <v>126.15393264743912</v>
      </c>
      <c r="I79" s="140">
        <v>0.8985963531418076</v>
      </c>
      <c r="J79" s="141">
        <v>9.37013924026911E-4</v>
      </c>
      <c r="K79" s="140">
        <v>0.0</v>
      </c>
    </row>
    <row r="80">
      <c r="A80" s="55">
        <v>45398.95974569445</v>
      </c>
      <c r="B80" s="139">
        <v>1.06192</v>
      </c>
      <c r="C80" s="140">
        <v>126.78732861232486</v>
      </c>
      <c r="D80" s="140">
        <v>1.0472450533128388</v>
      </c>
      <c r="E80" s="140">
        <v>1.0</v>
      </c>
      <c r="F80" s="140">
        <v>1.1969778280042942</v>
      </c>
      <c r="G80" s="140">
        <v>60351.23643965647</v>
      </c>
      <c r="H80" s="140">
        <v>129.457962935061</v>
      </c>
      <c r="I80" s="140">
        <v>0.9172065692330872</v>
      </c>
      <c r="J80" s="141">
        <v>9.416905228265783E-4</v>
      </c>
      <c r="K80" s="140">
        <v>0.0</v>
      </c>
    </row>
    <row r="81">
      <c r="A81" s="55">
        <v>45397.95970703704</v>
      </c>
      <c r="B81" s="139">
        <v>1.06223</v>
      </c>
      <c r="C81" s="140">
        <v>145.8130536701091</v>
      </c>
      <c r="D81" s="140">
        <v>1.0457063448124042</v>
      </c>
      <c r="E81" s="140">
        <v>1.0</v>
      </c>
      <c r="F81" s="140">
        <v>1.1677067560804628</v>
      </c>
      <c r="G81" s="140">
        <v>59703.435225892696</v>
      </c>
      <c r="H81" s="140">
        <v>129.94172636811237</v>
      </c>
      <c r="I81" s="140">
        <v>0.9555369364450259</v>
      </c>
      <c r="J81" s="141">
        <v>0.0018828314018621204</v>
      </c>
      <c r="K81" s="140">
        <v>0.0</v>
      </c>
    </row>
    <row r="82">
      <c r="A82" s="55">
        <v>45396.95969416667</v>
      </c>
      <c r="B82" s="139">
        <v>1.06481</v>
      </c>
      <c r="C82" s="140">
        <v>149.0040476704764</v>
      </c>
      <c r="D82" s="140">
        <v>1.0467338025969029</v>
      </c>
      <c r="E82" s="140">
        <v>1.0</v>
      </c>
      <c r="F82" s="140">
        <v>1.1874538583139151</v>
      </c>
      <c r="G82" s="140">
        <v>60000.17092251199</v>
      </c>
      <c r="H82" s="140">
        <v>132.77580037753214</v>
      </c>
      <c r="I82" s="140">
        <v>0.943830354711169</v>
      </c>
      <c r="J82" s="141">
        <v>0.0018782693626092917</v>
      </c>
      <c r="K82" s="140">
        <v>0.0</v>
      </c>
    </row>
    <row r="83">
      <c r="A83" s="55">
        <v>45395.959698819446</v>
      </c>
      <c r="B83" s="139">
        <v>1.06522</v>
      </c>
      <c r="C83" s="140">
        <v>136.92195039522352</v>
      </c>
      <c r="D83" s="140">
        <v>1.0449269104421095</v>
      </c>
      <c r="E83" s="140">
        <v>1.0</v>
      </c>
      <c r="F83" s="140">
        <v>1.1424292411959782</v>
      </c>
      <c r="G83" s="140">
        <v>58461.76752220198</v>
      </c>
      <c r="H83" s="140">
        <v>116.30085803871499</v>
      </c>
      <c r="I83" s="140">
        <v>0.8148551472935168</v>
      </c>
      <c r="J83" s="141">
        <v>9.38773211167646E-4</v>
      </c>
      <c r="K83" s="140">
        <v>0.0</v>
      </c>
    </row>
    <row r="84">
      <c r="A84" s="55">
        <v>45394.95970920139</v>
      </c>
      <c r="B84" s="139">
        <v>1.06423</v>
      </c>
      <c r="C84" s="140">
        <v>159.7032596337258</v>
      </c>
      <c r="D84" s="140">
        <v>1.0486908076132506</v>
      </c>
      <c r="E84" s="140">
        <v>1.0</v>
      </c>
      <c r="F84" s="140">
        <v>1.2374317241351211</v>
      </c>
      <c r="G84" s="140">
        <v>63076.64696541161</v>
      </c>
      <c r="H84" s="140">
        <v>142.09710306982512</v>
      </c>
      <c r="I84" s="140">
        <v>0.99132706275899</v>
      </c>
      <c r="J84" s="141">
        <v>0.0018792930099696494</v>
      </c>
      <c r="K84" s="140">
        <v>0.0</v>
      </c>
    </row>
    <row r="85">
      <c r="A85" s="55">
        <v>45393.95970064815</v>
      </c>
      <c r="B85" s="139">
        <v>1.07178</v>
      </c>
      <c r="C85" s="140">
        <v>180.1610405120454</v>
      </c>
      <c r="D85" s="140">
        <v>4.426999693363223</v>
      </c>
      <c r="E85" s="140">
        <v>1.0</v>
      </c>
      <c r="F85" s="140">
        <v>1.3313892252037451</v>
      </c>
      <c r="G85" s="140">
        <v>65086.90589486648</v>
      </c>
      <c r="H85" s="140">
        <v>160.5105525387673</v>
      </c>
      <c r="I85" s="140">
        <v>1.172815316576163</v>
      </c>
      <c r="J85" s="141">
        <v>0.0018660546007576184</v>
      </c>
      <c r="K85" s="140">
        <v>0.0</v>
      </c>
    </row>
    <row r="86">
      <c r="A86" s="55">
        <v>45392.959699687504</v>
      </c>
      <c r="B86" s="139">
        <v>1.0731</v>
      </c>
      <c r="C86" s="140">
        <v>180.0027956388035</v>
      </c>
      <c r="D86" s="140">
        <v>1.0519655375697163</v>
      </c>
      <c r="E86" s="140">
        <v>1.0</v>
      </c>
      <c r="F86" s="140">
        <v>1.3244754244223094</v>
      </c>
      <c r="G86" s="140">
        <v>64970.58522038953</v>
      </c>
      <c r="H86" s="140">
        <v>160.7082284968782</v>
      </c>
      <c r="I86" s="140">
        <v>1.2626968595657442</v>
      </c>
      <c r="J86" s="141">
        <v>0.0018637592023110616</v>
      </c>
      <c r="K86" s="140">
        <v>0.0</v>
      </c>
    </row>
    <row r="87">
      <c r="A87" s="55">
        <v>45391.95969701389</v>
      </c>
      <c r="B87" s="139">
        <v>1.08587</v>
      </c>
      <c r="C87" s="140">
        <v>179.660548684465</v>
      </c>
      <c r="D87" s="140">
        <v>1.0504110760723882</v>
      </c>
      <c r="E87" s="140">
        <v>1.0</v>
      </c>
      <c r="F87" s="140">
        <v>1.2841651770755986</v>
      </c>
      <c r="G87" s="140">
        <v>63586.75071601574</v>
      </c>
      <c r="H87" s="140">
        <v>160.22452043062248</v>
      </c>
      <c r="I87" s="140">
        <v>1.2414009043439824</v>
      </c>
      <c r="J87" s="141">
        <v>0.0018418411043679265</v>
      </c>
      <c r="K87" s="140">
        <v>0.0</v>
      </c>
    </row>
    <row r="88">
      <c r="A88" s="55">
        <v>45390.95969769676</v>
      </c>
      <c r="B88" s="139">
        <v>1.08596</v>
      </c>
      <c r="C88" s="140">
        <v>187.08147629746952</v>
      </c>
      <c r="D88" s="140">
        <v>1.0514662689805077</v>
      </c>
      <c r="E88" s="140">
        <v>1.0</v>
      </c>
      <c r="F88" s="140">
        <v>1.3103848178314579</v>
      </c>
      <c r="G88" s="140">
        <v>65905.9293159969</v>
      </c>
      <c r="H88" s="140">
        <v>166.2298795535747</v>
      </c>
      <c r="I88" s="140">
        <v>1.3315407565656192</v>
      </c>
      <c r="J88" s="141">
        <v>0.0018416884599801097</v>
      </c>
      <c r="K88" s="140">
        <v>0.0</v>
      </c>
    </row>
    <row r="89">
      <c r="A89" s="55">
        <v>45389.959697997685</v>
      </c>
      <c r="B89" s="139">
        <v>1.0838299999999998</v>
      </c>
      <c r="C89" s="140">
        <v>183.7834346714891</v>
      </c>
      <c r="D89" s="140">
        <v>1.0492105370902354</v>
      </c>
      <c r="E89" s="140">
        <v>1.0</v>
      </c>
      <c r="F89" s="140">
        <v>1.2486131956140263</v>
      </c>
      <c r="G89" s="140">
        <v>63861.6471217811</v>
      </c>
      <c r="H89" s="140">
        <v>162.38801288024877</v>
      </c>
      <c r="I89" s="140">
        <v>1.2732624120018823</v>
      </c>
      <c r="J89" s="141">
        <v>0.001845307843480989</v>
      </c>
      <c r="K89" s="140">
        <v>0.0</v>
      </c>
    </row>
    <row r="90">
      <c r="A90" s="55">
        <v>45388.959708344904</v>
      </c>
      <c r="B90" s="139">
        <v>1.08414</v>
      </c>
      <c r="C90" s="140">
        <v>183.65709225745752</v>
      </c>
      <c r="D90" s="140">
        <v>3.3606071463988445</v>
      </c>
      <c r="E90" s="140">
        <v>1.0</v>
      </c>
      <c r="F90" s="140">
        <v>1.2269218418112513</v>
      </c>
      <c r="G90" s="140">
        <v>63061.64701975758</v>
      </c>
      <c r="H90" s="140">
        <v>163.93823675909013</v>
      </c>
      <c r="I90" s="140">
        <v>1.307949157857841</v>
      </c>
      <c r="J90" s="141">
        <v>0.0018447801944398324</v>
      </c>
      <c r="K90" s="140">
        <v>0.0</v>
      </c>
    </row>
    <row r="91">
      <c r="A91" s="55">
        <v>45387.959696261576</v>
      </c>
      <c r="B91" s="139">
        <v>1.0837999999999999</v>
      </c>
      <c r="C91" s="140">
        <v>180.4530356154272</v>
      </c>
      <c r="D91" s="140">
        <v>3.348045121373544</v>
      </c>
      <c r="E91" s="140">
        <v>1.0</v>
      </c>
      <c r="F91" s="140">
        <v>1.2260709366606202</v>
      </c>
      <c r="G91" s="140">
        <v>62217.93042996864</v>
      </c>
      <c r="H91" s="140">
        <v>161.5445654179738</v>
      </c>
      <c r="I91" s="140">
        <v>1.2566894260933754</v>
      </c>
      <c r="J91" s="141">
        <v>0.0018453589223103896</v>
      </c>
      <c r="K91" s="140">
        <v>0.0</v>
      </c>
    </row>
    <row r="92">
      <c r="A92" s="55">
        <v>45386.95973177083</v>
      </c>
      <c r="B92" s="139">
        <v>1.08566</v>
      </c>
      <c r="C92" s="140">
        <v>187.70609583110732</v>
      </c>
      <c r="D92" s="140">
        <v>1.0479403970498502</v>
      </c>
      <c r="E92" s="140">
        <v>1.0</v>
      </c>
      <c r="F92" s="140">
        <v>1.225861180750548</v>
      </c>
      <c r="G92" s="140">
        <v>62263.32277140173</v>
      </c>
      <c r="H92" s="140">
        <v>167.35349925391006</v>
      </c>
      <c r="I92" s="140">
        <v>1.342961884936352</v>
      </c>
      <c r="J92" s="141">
        <v>0.001842197373026546</v>
      </c>
      <c r="K92" s="140">
        <v>0.0</v>
      </c>
    </row>
    <row r="93">
      <c r="A93" s="55">
        <v>45385.959702106484</v>
      </c>
      <c r="B93" s="139">
        <v>1.0830499999999998</v>
      </c>
      <c r="C93" s="140">
        <v>191.29587738331566</v>
      </c>
      <c r="D93" s="140">
        <v>1.0472608207732428</v>
      </c>
      <c r="E93" s="140">
        <v>1.0</v>
      </c>
      <c r="F93" s="140">
        <v>1.2111537142675317</v>
      </c>
      <c r="G93" s="140">
        <v>61126.269331979136</v>
      </c>
      <c r="H93" s="140">
        <v>170.32177646461386</v>
      </c>
      <c r="I93" s="140">
        <v>1.4708462213194222</v>
      </c>
      <c r="J93" s="141">
        <v>0.0018466368127048615</v>
      </c>
      <c r="K93" s="140">
        <v>0.0</v>
      </c>
    </row>
    <row r="94">
      <c r="A94" s="55">
        <v>45384.95937534722</v>
      </c>
      <c r="B94" s="139">
        <v>1.07781</v>
      </c>
      <c r="C94" s="140">
        <v>190.95295089115893</v>
      </c>
      <c r="D94" s="140">
        <v>1.0460459603202634</v>
      </c>
      <c r="E94" s="140">
        <v>1.0</v>
      </c>
      <c r="F94" s="140">
        <v>1.1871727427832086</v>
      </c>
      <c r="G94" s="140">
        <v>61000.22452936975</v>
      </c>
      <c r="H94" s="140">
        <v>170.45397611823978</v>
      </c>
      <c r="I94" s="140">
        <v>1.4817082788246538</v>
      </c>
      <c r="J94" s="141">
        <v>0.0018556146259544818</v>
      </c>
      <c r="K94" s="140">
        <v>0.0</v>
      </c>
    </row>
    <row r="95">
      <c r="A95" s="55">
        <v>45383.95972571759</v>
      </c>
      <c r="B95" s="139">
        <v>1.0745799999999999</v>
      </c>
      <c r="C95" s="140">
        <v>200.80682685328222</v>
      </c>
      <c r="D95" s="140">
        <v>3.4668604827038734</v>
      </c>
      <c r="E95" s="140">
        <v>1.0</v>
      </c>
      <c r="F95" s="140">
        <v>1.214925036173947</v>
      </c>
      <c r="G95" s="140">
        <v>65042.085279830266</v>
      </c>
      <c r="H95" s="140">
        <v>179.4301029239331</v>
      </c>
      <c r="I95" s="140">
        <v>1.5447895922127717</v>
      </c>
      <c r="J95" s="141">
        <v>0.0027917884196616356</v>
      </c>
      <c r="K95" s="140">
        <v>0.0</v>
      </c>
    </row>
    <row r="96">
      <c r="A96" s="55">
        <v>45382.95970521991</v>
      </c>
      <c r="B96" s="139">
        <v>1.0809300000000002</v>
      </c>
      <c r="C96" s="140">
        <v>206.83022952457603</v>
      </c>
      <c r="D96" s="140">
        <v>3.5107538903520132</v>
      </c>
      <c r="E96" s="140">
        <v>1.0</v>
      </c>
      <c r="F96" s="140">
        <v>1.2429522516424558</v>
      </c>
      <c r="G96" s="140">
        <v>65708.00514371882</v>
      </c>
      <c r="H96" s="140">
        <v>183.97306023516782</v>
      </c>
      <c r="I96" s="140">
        <v>1.519062288954881</v>
      </c>
      <c r="J96" s="141">
        <v>0.002775387860453498</v>
      </c>
      <c r="K96" s="140">
        <v>0.0</v>
      </c>
    </row>
    <row r="97">
      <c r="A97" s="55">
        <v>45381.959697893515</v>
      </c>
      <c r="B97" s="139">
        <v>1.0794300000000001</v>
      </c>
      <c r="C97" s="140">
        <v>203.26098033221237</v>
      </c>
      <c r="D97" s="140">
        <v>1.0467003396093653</v>
      </c>
      <c r="E97" s="140">
        <v>1.0</v>
      </c>
      <c r="F97" s="140">
        <v>1.2125697903324901</v>
      </c>
      <c r="G97" s="140">
        <v>64830.04548696997</v>
      </c>
      <c r="H97" s="140">
        <v>181.6958950557238</v>
      </c>
      <c r="I97" s="140">
        <v>1.3988864493297386</v>
      </c>
      <c r="J97" s="141">
        <v>0.0027792446013173615</v>
      </c>
      <c r="K97" s="140">
        <v>0.0</v>
      </c>
    </row>
    <row r="98">
      <c r="A98" s="55">
        <v>45380.95970049768</v>
      </c>
      <c r="B98" s="139">
        <v>1.07996</v>
      </c>
      <c r="C98" s="140">
        <v>199.22311937479165</v>
      </c>
      <c r="D98" s="140">
        <v>1.0468129606458343</v>
      </c>
      <c r="E98" s="140">
        <v>1.0</v>
      </c>
      <c r="F98" s="140">
        <v>1.214390720348772</v>
      </c>
      <c r="G98" s="140">
        <v>64820.45631319678</v>
      </c>
      <c r="H98" s="140">
        <v>177.97696210970776</v>
      </c>
      <c r="I98" s="140">
        <v>1.2352309344790549</v>
      </c>
      <c r="J98" s="141">
        <v>0.0018519204414978333</v>
      </c>
      <c r="K98" s="140">
        <v>0.0</v>
      </c>
    </row>
    <row r="99">
      <c r="A99" s="55">
        <v>45379.95969923611</v>
      </c>
      <c r="B99" s="139">
        <v>1.0788900000000001</v>
      </c>
      <c r="C99" s="140">
        <v>196.9162750604788</v>
      </c>
      <c r="D99" s="140">
        <v>1.0481538899458696</v>
      </c>
      <c r="E99" s="140">
        <v>1.0</v>
      </c>
      <c r="F99" s="140">
        <v>1.2493089582605084</v>
      </c>
      <c r="G99" s="140">
        <v>65903.86508355809</v>
      </c>
      <c r="H99" s="140">
        <v>175.9280371492923</v>
      </c>
      <c r="I99" s="140">
        <v>1.2206990518032421</v>
      </c>
      <c r="J99" s="141">
        <v>0.0018537571022068976</v>
      </c>
      <c r="K99" s="140">
        <v>0.0</v>
      </c>
    </row>
    <row r="100">
      <c r="A100" s="55">
        <v>45378.95971149305</v>
      </c>
      <c r="B100" s="139">
        <v>1.0826900000000002</v>
      </c>
      <c r="C100" s="140">
        <v>193.06911488976527</v>
      </c>
      <c r="D100" s="140">
        <v>1.047427274772014</v>
      </c>
      <c r="E100" s="140">
        <v>1.0</v>
      </c>
      <c r="F100" s="140">
        <v>1.2318399958589992</v>
      </c>
      <c r="G100" s="140">
        <v>64254.88459300445</v>
      </c>
      <c r="H100" s="140">
        <v>172.4972060331212</v>
      </c>
      <c r="I100" s="140">
        <v>1.2182619216950372</v>
      </c>
      <c r="J100" s="141">
        <v>0.0018472508289538092</v>
      </c>
      <c r="K100" s="140">
        <v>0.0</v>
      </c>
    </row>
    <row r="101">
      <c r="A101" s="55">
        <v>45377.95971855324</v>
      </c>
      <c r="B101" s="139">
        <v>1.08317</v>
      </c>
      <c r="C101" s="140">
        <v>198.52377743105885</v>
      </c>
      <c r="D101" s="140">
        <v>1.0493289319570291</v>
      </c>
      <c r="E101" s="140">
        <v>1.0</v>
      </c>
      <c r="F101" s="140">
        <v>1.283735545555813</v>
      </c>
      <c r="G101" s="140">
        <v>64913.73468615268</v>
      </c>
      <c r="H101" s="140">
        <v>177.39782305639926</v>
      </c>
      <c r="I101" s="140">
        <v>1.2518810528356583</v>
      </c>
      <c r="J101" s="141">
        <v>0.00184643223132103</v>
      </c>
      <c r="K101" s="140">
        <v>0.0</v>
      </c>
    </row>
    <row r="102">
      <c r="A102" s="55">
        <v>45376.95969960648</v>
      </c>
      <c r="B102" s="139">
        <v>1.08395</v>
      </c>
      <c r="C102" s="140">
        <v>196.97403016744315</v>
      </c>
      <c r="D102" s="140">
        <v>1.0485785218964838</v>
      </c>
      <c r="E102" s="140">
        <v>1.0</v>
      </c>
      <c r="F102" s="140">
        <v>1.2690890559066008</v>
      </c>
      <c r="G102" s="140">
        <v>65116.09299321925</v>
      </c>
      <c r="H102" s="140">
        <v>174.21836800590432</v>
      </c>
      <c r="I102" s="140">
        <v>1.237141934591079</v>
      </c>
      <c r="J102" s="141">
        <v>0.0018451035564371052</v>
      </c>
      <c r="K102" s="140">
        <v>0.0</v>
      </c>
    </row>
    <row r="103">
      <c r="A103" s="55">
        <v>45375.95975462963</v>
      </c>
      <c r="B103" s="139">
        <v>1.08083</v>
      </c>
      <c r="C103" s="140">
        <v>191.08092854565476</v>
      </c>
      <c r="D103" s="140">
        <v>1.04925610091784</v>
      </c>
      <c r="E103" s="140">
        <v>1.0</v>
      </c>
      <c r="F103" s="140">
        <v>1.2861114203669775</v>
      </c>
      <c r="G103" s="140">
        <v>62033.341043457345</v>
      </c>
      <c r="H103" s="140">
        <v>170.55318597744326</v>
      </c>
      <c r="I103" s="140">
        <v>1.2092558496710861</v>
      </c>
      <c r="J103" s="141">
        <v>0.001850429762312297</v>
      </c>
      <c r="K103" s="140">
        <v>0.0</v>
      </c>
    </row>
    <row r="104">
      <c r="A104" s="55">
        <v>45374.95969052083</v>
      </c>
      <c r="B104" s="139">
        <v>1.08211</v>
      </c>
      <c r="C104" s="140">
        <v>180.50105811793628</v>
      </c>
      <c r="D104" s="140">
        <v>1.047544976699816</v>
      </c>
      <c r="E104" s="140">
        <v>1.0</v>
      </c>
      <c r="F104" s="140">
        <v>1.2390047540355789</v>
      </c>
      <c r="G104" s="140">
        <v>60051.49661309848</v>
      </c>
      <c r="H104" s="140">
        <v>161.53256138470212</v>
      </c>
      <c r="I104" s="140">
        <v>1.0913862731145634</v>
      </c>
      <c r="J104" s="141">
        <v>0.0027723614050327605</v>
      </c>
      <c r="K104" s="140">
        <v>0.0</v>
      </c>
    </row>
    <row r="105">
      <c r="A105" s="55">
        <v>45373.95970439815</v>
      </c>
      <c r="B105" s="139">
        <v>1.08035</v>
      </c>
      <c r="C105" s="140">
        <v>176.06331281529137</v>
      </c>
      <c r="D105" s="140">
        <v>1.0456771194008103</v>
      </c>
      <c r="E105" s="140">
        <v>1.0</v>
      </c>
      <c r="F105" s="140">
        <v>1.1911537817454252</v>
      </c>
      <c r="G105" s="140">
        <v>58493.9593650206</v>
      </c>
      <c r="H105" s="140">
        <v>157.58504188457448</v>
      </c>
      <c r="I105" s="140">
        <v>1.1070486416439118</v>
      </c>
      <c r="J105" s="141">
        <v>0.0018512519091035315</v>
      </c>
      <c r="K105" s="140">
        <v>0.0</v>
      </c>
    </row>
    <row r="106">
      <c r="A106" s="55">
        <v>45372.959698692124</v>
      </c>
      <c r="B106" s="139">
        <v>1.08596</v>
      </c>
      <c r="C106" s="140">
        <v>182.92846882021436</v>
      </c>
      <c r="D106" s="140">
        <v>1.0471037421339298</v>
      </c>
      <c r="E106" s="140">
        <v>1.0</v>
      </c>
      <c r="F106" s="140">
        <v>1.2291456872268407</v>
      </c>
      <c r="G106" s="140">
        <v>60179.99742163615</v>
      </c>
      <c r="H106" s="140">
        <v>164.11470035728757</v>
      </c>
      <c r="I106" s="140">
        <v>1.1298758701977973</v>
      </c>
      <c r="J106" s="141">
        <v>0.0018416884599801097</v>
      </c>
      <c r="K106" s="140">
        <v>0.0</v>
      </c>
    </row>
    <row r="107">
      <c r="A107" s="55">
        <v>45371.95972625</v>
      </c>
      <c r="B107" s="139">
        <v>1.0911199999999999</v>
      </c>
      <c r="C107" s="140">
        <v>194.19495564190925</v>
      </c>
      <c r="D107" s="140">
        <v>1.0472467228882265</v>
      </c>
      <c r="E107" s="140">
        <v>1.0</v>
      </c>
      <c r="F107" s="140">
        <v>1.2374021534729913</v>
      </c>
      <c r="G107" s="140">
        <v>61805.11309480168</v>
      </c>
      <c r="H107" s="140">
        <v>173.95795146271723</v>
      </c>
      <c r="I107" s="140">
        <v>1.2170980277146421</v>
      </c>
      <c r="J107" s="141">
        <v>0.0018329789574015693</v>
      </c>
      <c r="K107" s="140">
        <v>0.0</v>
      </c>
    </row>
    <row r="108">
      <c r="A108" s="55">
        <v>45370.95973466436</v>
      </c>
      <c r="B108" s="139">
        <v>1.0863</v>
      </c>
      <c r="C108" s="140">
        <v>172.97707815520573</v>
      </c>
      <c r="D108" s="140">
        <v>1.0429716336793668</v>
      </c>
      <c r="E108" s="140">
        <v>1.0</v>
      </c>
      <c r="F108" s="140">
        <v>1.1171009696678726</v>
      </c>
      <c r="G108" s="140">
        <v>57727.415999263554</v>
      </c>
      <c r="H108" s="140">
        <v>155.13025867624043</v>
      </c>
      <c r="I108" s="140">
        <v>1.0475927460185952</v>
      </c>
      <c r="J108" s="141">
        <v>0.0018411120316671268</v>
      </c>
      <c r="K108" s="140">
        <v>0.0</v>
      </c>
    </row>
    <row r="109">
      <c r="A109" s="55">
        <v>45369.95970075231</v>
      </c>
      <c r="B109" s="139">
        <v>1.08698</v>
      </c>
      <c r="C109" s="140">
        <v>201.42964911957898</v>
      </c>
      <c r="D109" s="140">
        <v>1.0464185681644165</v>
      </c>
      <c r="E109" s="140">
        <v>1.0</v>
      </c>
      <c r="F109" s="140">
        <v>1.2095881385845462</v>
      </c>
      <c r="G109" s="140">
        <v>62275.69320502677</v>
      </c>
      <c r="H109" s="140">
        <v>180.52034076063956</v>
      </c>
      <c r="I109" s="140">
        <v>1.2658926567186146</v>
      </c>
      <c r="J109" s="141">
        <v>0.001839960256858452</v>
      </c>
      <c r="K109" s="140">
        <v>0.0</v>
      </c>
    </row>
    <row r="110">
      <c r="A110" s="55">
        <v>45368.95970363426</v>
      </c>
      <c r="B110" s="139">
        <v>1.08854</v>
      </c>
      <c r="C110" s="140">
        <v>204.75315560291767</v>
      </c>
      <c r="D110" s="140">
        <v>1.0495650822764606</v>
      </c>
      <c r="E110" s="140">
        <v>1.0</v>
      </c>
      <c r="F110" s="140">
        <v>1.3069750753039118</v>
      </c>
      <c r="G110" s="140">
        <v>62929.7921987249</v>
      </c>
      <c r="H110" s="140">
        <v>184.36897128263547</v>
      </c>
      <c r="I110" s="140">
        <v>1.248461241663145</v>
      </c>
      <c r="J110" s="141">
        <v>0.0018373233872893968</v>
      </c>
      <c r="K110" s="140">
        <v>0.0</v>
      </c>
    </row>
    <row r="111">
      <c r="A111" s="55">
        <v>45367.95969657408</v>
      </c>
      <c r="B111" s="139">
        <v>1.08933</v>
      </c>
      <c r="C111" s="140">
        <v>183.85337776431385</v>
      </c>
      <c r="D111" s="140">
        <v>1.0476314754196139</v>
      </c>
      <c r="E111" s="140">
        <v>1.0</v>
      </c>
      <c r="F111" s="140">
        <v>1.2567556641477513</v>
      </c>
      <c r="G111" s="140">
        <v>59876.42863044257</v>
      </c>
      <c r="H111" s="140">
        <v>162.93685109195562</v>
      </c>
      <c r="I111" s="140">
        <v>1.156674286029027</v>
      </c>
      <c r="J111" s="141">
        <v>9.179954651024025E-4</v>
      </c>
      <c r="K111" s="140">
        <v>0.0</v>
      </c>
    </row>
    <row r="112">
      <c r="A112" s="55">
        <v>45366.95971256944</v>
      </c>
      <c r="B112" s="139">
        <v>1.0884800000000001</v>
      </c>
      <c r="C112" s="140">
        <v>187.21703660149933</v>
      </c>
      <c r="D112" s="140">
        <v>1.0498940221190016</v>
      </c>
      <c r="E112" s="140">
        <v>1.0</v>
      </c>
      <c r="F112" s="140">
        <v>1.3224077957062323</v>
      </c>
      <c r="G112" s="140">
        <v>63836.70531383213</v>
      </c>
      <c r="H112" s="140">
        <v>167.81291342054973</v>
      </c>
      <c r="I112" s="140">
        <v>1.0813244156989563</v>
      </c>
      <c r="J112" s="141">
        <v>0.0018374246655887107</v>
      </c>
      <c r="K112" s="140">
        <v>0.0</v>
      </c>
    </row>
    <row r="113">
      <c r="A113" s="55">
        <v>45365.95975041667</v>
      </c>
      <c r="B113" s="139">
        <v>1.08853</v>
      </c>
      <c r="C113" s="140">
        <v>177.29690500032154</v>
      </c>
      <c r="D113" s="140">
        <v>1.0512960297353702</v>
      </c>
      <c r="E113" s="140">
        <v>1.0</v>
      </c>
      <c r="F113" s="140">
        <v>1.3530943183407806</v>
      </c>
      <c r="G113" s="140">
        <v>65748.91459123773</v>
      </c>
      <c r="H113" s="140">
        <v>158.68097342287305</v>
      </c>
      <c r="I113" s="140">
        <v>0.8470138627323087</v>
      </c>
      <c r="J113" s="141">
        <v>0.0018373402662306046</v>
      </c>
      <c r="K113" s="140">
        <v>0.0</v>
      </c>
    </row>
    <row r="114">
      <c r="A114" s="55">
        <v>45364.95970479166</v>
      </c>
      <c r="B114" s="139">
        <v>1.09578</v>
      </c>
      <c r="C114" s="140">
        <v>166.05705524831626</v>
      </c>
      <c r="D114" s="140">
        <v>1.0542274127688873</v>
      </c>
      <c r="E114" s="140">
        <v>1.0</v>
      </c>
      <c r="F114" s="140">
        <v>1.428865543034131</v>
      </c>
      <c r="G114" s="140">
        <v>66642.71021555421</v>
      </c>
      <c r="H114" s="140">
        <v>149.04269105112343</v>
      </c>
      <c r="I114" s="140">
        <v>0.8450601398090858</v>
      </c>
      <c r="J114" s="141">
        <v>0.0018251838872766432</v>
      </c>
      <c r="K114" s="140">
        <v>0.0</v>
      </c>
    </row>
    <row r="115">
      <c r="A115" s="55">
        <v>45363.95970003473</v>
      </c>
      <c r="B115" s="139">
        <v>1.09178</v>
      </c>
      <c r="C115" s="140">
        <v>150.8847936397443</v>
      </c>
      <c r="D115" s="140">
        <v>1.0513140487312709</v>
      </c>
      <c r="E115" s="140">
        <v>1.0</v>
      </c>
      <c r="F115" s="140">
        <v>1.3592823611834162</v>
      </c>
      <c r="G115" s="140">
        <v>65228.74022238912</v>
      </c>
      <c r="H115" s="140">
        <v>135.9486343402517</v>
      </c>
      <c r="I115" s="140">
        <v>0.741907710344575</v>
      </c>
      <c r="J115" s="141">
        <v>0.0018318708897396912</v>
      </c>
      <c r="K115" s="140">
        <v>0.0</v>
      </c>
    </row>
    <row r="116">
      <c r="A116" s="55">
        <v>45362.95974736111</v>
      </c>
      <c r="B116" s="139">
        <v>1.09256</v>
      </c>
      <c r="C116" s="140">
        <v>150.68096946620778</v>
      </c>
      <c r="D116" s="140">
        <v>1.0510509373568586</v>
      </c>
      <c r="E116" s="140">
        <v>1.0</v>
      </c>
      <c r="F116" s="140">
        <v>1.34913748194782</v>
      </c>
      <c r="G116" s="140">
        <v>66416.1922457348</v>
      </c>
      <c r="H116" s="140">
        <v>135.0799956066486</v>
      </c>
      <c r="I116" s="140">
        <v>0.6946986893168339</v>
      </c>
      <c r="J116" s="141">
        <v>0.0018305630812037784</v>
      </c>
      <c r="K116" s="140">
        <v>0.0</v>
      </c>
    </row>
    <row r="117">
      <c r="A117" s="55">
        <v>45361.959702430555</v>
      </c>
      <c r="B117" s="139">
        <v>1.0924200000000002</v>
      </c>
      <c r="C117" s="140">
        <v>144.90489006059937</v>
      </c>
      <c r="D117" s="140">
        <v>1.0472890169162552</v>
      </c>
      <c r="E117" s="140">
        <v>1.0</v>
      </c>
      <c r="F117" s="140">
        <v>1.2973108275872098</v>
      </c>
      <c r="G117" s="140">
        <v>63735.34171838669</v>
      </c>
      <c r="H117" s="140">
        <v>129.99487376650004</v>
      </c>
      <c r="I117" s="140">
        <v>0.5849398582962596</v>
      </c>
      <c r="J117" s="141">
        <v>0.0018307976785485434</v>
      </c>
      <c r="K117" s="140">
        <v>0.0</v>
      </c>
    </row>
    <row r="118">
      <c r="A118" s="55">
        <v>45360.959720011575</v>
      </c>
      <c r="B118" s="139">
        <v>1.09403</v>
      </c>
      <c r="C118" s="140">
        <v>148.03707393764338</v>
      </c>
      <c r="D118" s="140">
        <v>1.0479049676540013</v>
      </c>
      <c r="E118" s="140">
        <v>1.0</v>
      </c>
      <c r="F118" s="140">
        <v>1.3138816786640677</v>
      </c>
      <c r="G118" s="140">
        <v>62669.380181530665</v>
      </c>
      <c r="H118" s="140">
        <v>132.73676224600786</v>
      </c>
      <c r="I118" s="140">
        <v>0.6699999085948283</v>
      </c>
      <c r="J118" s="141">
        <v>0.001828103434092301</v>
      </c>
      <c r="K118" s="140">
        <v>0.0</v>
      </c>
    </row>
    <row r="119">
      <c r="A119" s="55">
        <v>45359.95970622685</v>
      </c>
      <c r="B119" s="139">
        <v>1.09608</v>
      </c>
      <c r="C119" s="140">
        <v>146.93270564192397</v>
      </c>
      <c r="D119" s="140">
        <v>1.047764939784672</v>
      </c>
      <c r="E119" s="140">
        <v>1.0</v>
      </c>
      <c r="F119" s="140">
        <v>1.3139463680046986</v>
      </c>
      <c r="G119" s="140">
        <v>62534.16265236115</v>
      </c>
      <c r="H119" s="140">
        <v>131.85077731552443</v>
      </c>
      <c r="I119" s="140">
        <v>0.6568863586599518</v>
      </c>
      <c r="J119" s="141">
        <v>0.0018246843296109774</v>
      </c>
      <c r="K119" s="140">
        <v>0.0</v>
      </c>
    </row>
    <row r="120">
      <c r="A120" s="55">
        <v>45358.959756157405</v>
      </c>
      <c r="B120" s="139">
        <v>1.0929200000000001</v>
      </c>
      <c r="C120" s="140">
        <v>147.7912381510083</v>
      </c>
      <c r="D120" s="140">
        <v>1.0477655011077447</v>
      </c>
      <c r="E120" s="140">
        <v>1.0</v>
      </c>
      <c r="F120" s="140">
        <v>1.3153454843992605</v>
      </c>
      <c r="G120" s="140">
        <v>61891.14024814258</v>
      </c>
      <c r="H120" s="140">
        <v>131.4039453939904</v>
      </c>
      <c r="I120" s="140">
        <v>0.6908099403433005</v>
      </c>
      <c r="J120" s="141">
        <v>0.0027449401603045053</v>
      </c>
      <c r="K120" s="140">
        <v>0.0</v>
      </c>
    </row>
    <row r="121">
      <c r="A121" s="55">
        <v>45357.959692731485</v>
      </c>
      <c r="B121" s="139">
        <v>1.0886600000000002</v>
      </c>
      <c r="C121" s="140">
        <v>129.05039222530448</v>
      </c>
      <c r="D121" s="140">
        <v>1.0481621790794788</v>
      </c>
      <c r="E121" s="140">
        <v>1.0</v>
      </c>
      <c r="F121" s="140">
        <v>1.3200716197219056</v>
      </c>
      <c r="G121" s="140">
        <v>60866.48264839342</v>
      </c>
      <c r="H121" s="140">
        <v>115.8809913104183</v>
      </c>
      <c r="I121" s="140">
        <v>0.5171495232671356</v>
      </c>
      <c r="J121" s="141">
        <v>0.0018371208641816542</v>
      </c>
      <c r="K121" s="140">
        <v>0.0</v>
      </c>
    </row>
    <row r="122">
      <c r="A122" s="55">
        <v>45356.95970025463</v>
      </c>
      <c r="B122" s="139">
        <v>1.0866300000000002</v>
      </c>
      <c r="C122" s="140">
        <v>124.95881762881567</v>
      </c>
      <c r="D122" s="140">
        <v>1.0444166699375974</v>
      </c>
      <c r="E122" s="140">
        <v>1.0</v>
      </c>
      <c r="F122" s="140">
        <v>1.2351449291225713</v>
      </c>
      <c r="G122" s="140">
        <v>58505.65785962102</v>
      </c>
      <c r="H122" s="140">
        <v>112.27280675114802</v>
      </c>
      <c r="I122" s="140">
        <v>0.5107534303304713</v>
      </c>
      <c r="J122" s="141">
        <v>0.001840552902091788</v>
      </c>
      <c r="K122" s="140">
        <v>0.0</v>
      </c>
    </row>
    <row r="123">
      <c r="A123" s="55">
        <v>45355.959706423615</v>
      </c>
      <c r="B123" s="139">
        <v>1.08534</v>
      </c>
      <c r="C123" s="140">
        <v>134.1469032745499</v>
      </c>
      <c r="D123" s="140">
        <v>1.0490961534147367</v>
      </c>
      <c r="E123" s="140">
        <v>1.0</v>
      </c>
      <c r="F123" s="140">
        <v>1.3636921526463044</v>
      </c>
      <c r="G123" s="140">
        <v>62678.67580665967</v>
      </c>
      <c r="H123" s="140">
        <v>120.47284721838318</v>
      </c>
      <c r="I123" s="140">
        <v>0.5491366760646433</v>
      </c>
      <c r="J123" s="141">
        <v>0.0027641107855602854</v>
      </c>
      <c r="K123" s="140">
        <v>0.0</v>
      </c>
    </row>
    <row r="124">
      <c r="A124" s="55">
        <v>45354.95969021991</v>
      </c>
      <c r="B124" s="139">
        <v>1.08398</v>
      </c>
      <c r="C124" s="140">
        <v>134.5781287477629</v>
      </c>
      <c r="D124" s="140">
        <v>1.0464965322284272</v>
      </c>
      <c r="E124" s="140">
        <v>1.0</v>
      </c>
      <c r="F124" s="140">
        <v>1.2764264655532667</v>
      </c>
      <c r="G124" s="140">
        <v>58282.60669016034</v>
      </c>
      <c r="H124" s="140">
        <v>120.68765106367277</v>
      </c>
      <c r="I124" s="140">
        <v>0.5848816398826547</v>
      </c>
      <c r="J124" s="141">
        <v>0.0027675787376150855</v>
      </c>
      <c r="K124" s="140">
        <v>0.0</v>
      </c>
    </row>
    <row r="125">
      <c r="A125" s="55">
        <v>45353.959955266204</v>
      </c>
      <c r="B125" s="139">
        <v>1.0840999999999998</v>
      </c>
      <c r="C125" s="140">
        <v>131.88082280232453</v>
      </c>
      <c r="D125" s="140">
        <v>1.04633333677489</v>
      </c>
      <c r="E125" s="140">
        <v>1.0</v>
      </c>
      <c r="F125" s="140">
        <v>1.2809781963458724</v>
      </c>
      <c r="G125" s="140">
        <v>57303.0338529656</v>
      </c>
      <c r="H125" s="140">
        <v>118.45955170187254</v>
      </c>
      <c r="I125" s="140">
        <v>0.5497647818466932</v>
      </c>
      <c r="J125" s="141">
        <v>0.002767272391845771</v>
      </c>
      <c r="K125" s="140">
        <v>0.0</v>
      </c>
    </row>
    <row r="126">
      <c r="A126" s="55">
        <v>45352.95970101852</v>
      </c>
      <c r="B126" s="139">
        <v>1.0836199999999998</v>
      </c>
      <c r="C126" s="140">
        <v>134.2795444897658</v>
      </c>
      <c r="D126" s="140">
        <v>1.0471843912765435</v>
      </c>
      <c r="E126" s="140">
        <v>1.0</v>
      </c>
      <c r="F126" s="140">
        <v>1.3059324555068477</v>
      </c>
      <c r="G126" s="140">
        <v>57835.369409940766</v>
      </c>
      <c r="H126" s="140">
        <v>120.57270999058713</v>
      </c>
      <c r="I126" s="140">
        <v>0.5656964618593234</v>
      </c>
      <c r="J126" s="141">
        <v>0.002768498182019528</v>
      </c>
      <c r="K126" s="140">
        <v>0.0</v>
      </c>
    </row>
    <row r="127">
      <c r="A127" s="55">
        <v>45351.95969280093</v>
      </c>
      <c r="B127" s="139">
        <v>1.08055</v>
      </c>
      <c r="C127" s="140">
        <v>127.10286428207858</v>
      </c>
      <c r="D127" s="140">
        <v>1.04530335860211</v>
      </c>
      <c r="E127" s="140">
        <v>1.0</v>
      </c>
      <c r="F127" s="140">
        <v>1.2711718717223452</v>
      </c>
      <c r="G127" s="140">
        <v>56633.90403035492</v>
      </c>
      <c r="H127" s="140">
        <v>114.41488131044376</v>
      </c>
      <c r="I127" s="140">
        <v>0.49974549997686374</v>
      </c>
      <c r="J127" s="141">
        <v>0.002776363888760354</v>
      </c>
      <c r="K127" s="140">
        <v>0.0</v>
      </c>
    </row>
    <row r="128">
      <c r="A128" s="55">
        <v>45350.9597046875</v>
      </c>
      <c r="B128" s="139">
        <v>1.08389</v>
      </c>
      <c r="C128" s="140">
        <v>118.97240494884167</v>
      </c>
      <c r="D128" s="140">
        <v>1.0432441265183685</v>
      </c>
      <c r="E128" s="140">
        <v>1.0</v>
      </c>
      <c r="F128" s="140">
        <v>1.2044330163429868</v>
      </c>
      <c r="G128" s="140">
        <v>56501.57027004585</v>
      </c>
      <c r="H128" s="140">
        <v>106.91490833940713</v>
      </c>
      <c r="I128" s="140">
        <v>0.46775964350625987</v>
      </c>
      <c r="J128" s="141">
        <v>0.002767808541457159</v>
      </c>
      <c r="K128" s="140">
        <v>0.0</v>
      </c>
    </row>
    <row r="129">
      <c r="A129" s="55">
        <v>45349.95969034723</v>
      </c>
      <c r="B129" s="139">
        <v>1.0844200000000002</v>
      </c>
      <c r="C129" s="140">
        <v>111.33601372162076</v>
      </c>
      <c r="D129" s="140">
        <v>1.0404416305459114</v>
      </c>
      <c r="E129" s="140">
        <v>1.0</v>
      </c>
      <c r="F129" s="140">
        <v>1.1263027310441986</v>
      </c>
      <c r="G129" s="140">
        <v>52589.817598347494</v>
      </c>
      <c r="H129" s="140">
        <v>100.06547278729643</v>
      </c>
      <c r="I129" s="140">
        <v>0.4647645746113129</v>
      </c>
      <c r="J129" s="141">
        <v>0.002766455801257815</v>
      </c>
      <c r="K129" s="140">
        <v>0.0</v>
      </c>
    </row>
    <row r="130">
      <c r="A130" s="55">
        <v>45348.959953784724</v>
      </c>
      <c r="B130" s="139">
        <v>1.0850799999999998</v>
      </c>
      <c r="C130" s="140">
        <v>112.4857153389612</v>
      </c>
      <c r="D130" s="140">
        <v>1.039896428821927</v>
      </c>
      <c r="E130" s="140">
        <v>1.0</v>
      </c>
      <c r="F130" s="140">
        <v>1.1206908277612437</v>
      </c>
      <c r="G130" s="140">
        <v>50355.21251889262</v>
      </c>
      <c r="H130" s="140">
        <v>101.16304788587018</v>
      </c>
      <c r="I130" s="140">
        <v>0.460795517381207</v>
      </c>
      <c r="J130" s="141">
        <v>0.002764773104287242</v>
      </c>
      <c r="K130" s="140">
        <v>0.0</v>
      </c>
    </row>
    <row r="131">
      <c r="A131" s="55">
        <v>45347.9597955787</v>
      </c>
      <c r="B131" s="139">
        <v>1.08252</v>
      </c>
      <c r="C131" s="140">
        <v>106.24468831984629</v>
      </c>
      <c r="D131" s="140">
        <v>1.0395561278538827</v>
      </c>
      <c r="E131" s="140">
        <v>1.0</v>
      </c>
      <c r="F131" s="140">
        <v>1.0673754298257492</v>
      </c>
      <c r="G131" s="140">
        <v>47919.122048553385</v>
      </c>
      <c r="H131" s="140">
        <v>95.65088866718398</v>
      </c>
      <c r="I131" s="140">
        <v>0.45819014891179843</v>
      </c>
      <c r="J131" s="141">
        <v>0.002771311384547168</v>
      </c>
      <c r="K131" s="140">
        <v>0.0</v>
      </c>
    </row>
    <row r="132">
      <c r="A132" s="55">
        <v>45346.959759502315</v>
      </c>
      <c r="B132" s="139">
        <v>1.0826</v>
      </c>
      <c r="C132" s="140">
        <v>106.85294661001294</v>
      </c>
      <c r="D132" s="140">
        <v>1.0389165387223807</v>
      </c>
      <c r="E132" s="140">
        <v>1.0</v>
      </c>
      <c r="F132" s="140">
        <v>1.0533212657283761</v>
      </c>
      <c r="G132" s="140">
        <v>47711.64418991317</v>
      </c>
      <c r="H132" s="140">
        <v>96.17217808978386</v>
      </c>
      <c r="I132" s="140">
        <v>0.4544614816183262</v>
      </c>
      <c r="J132" s="141">
        <v>0.0027711065952336967</v>
      </c>
      <c r="K132" s="140">
        <v>0.0</v>
      </c>
    </row>
    <row r="133">
      <c r="A133" s="55">
        <v>45345.95976909722</v>
      </c>
      <c r="B133" s="139">
        <v>1.08195</v>
      </c>
      <c r="C133" s="140">
        <v>102.54540413142936</v>
      </c>
      <c r="D133" s="140">
        <v>1.038618064975893</v>
      </c>
      <c r="E133" s="140">
        <v>1.0</v>
      </c>
      <c r="F133" s="140">
        <v>1.046447987344406</v>
      </c>
      <c r="G133" s="140">
        <v>46960.944590785155</v>
      </c>
      <c r="H133" s="140">
        <v>92.2824529784186</v>
      </c>
      <c r="I133" s="140">
        <v>0.44271916447155596</v>
      </c>
      <c r="J133" s="141">
        <v>0.002772771384999307</v>
      </c>
      <c r="K133" s="140">
        <v>0.0</v>
      </c>
    </row>
    <row r="134">
      <c r="A134" s="55">
        <v>45344.95995923611</v>
      </c>
      <c r="B134" s="139">
        <v>1.08216</v>
      </c>
      <c r="C134" s="140">
        <v>105.69971168773564</v>
      </c>
      <c r="D134" s="140">
        <v>1.0394109946695318</v>
      </c>
      <c r="E134" s="140">
        <v>1.0</v>
      </c>
      <c r="F134" s="140">
        <v>1.0695082223949137</v>
      </c>
      <c r="G134" s="140">
        <v>47697.044799290314</v>
      </c>
      <c r="H134" s="140">
        <v>95.11255267243291</v>
      </c>
      <c r="I134" s="140">
        <v>0.4389369409329489</v>
      </c>
      <c r="J134" s="141">
        <v>0.0027722333111554667</v>
      </c>
      <c r="K134" s="140">
        <v>0.0</v>
      </c>
    </row>
    <row r="135">
      <c r="A135" s="55">
        <v>45343.959699687504</v>
      </c>
      <c r="B135" s="139">
        <v>1.08138</v>
      </c>
      <c r="C135" s="140">
        <v>107.47470824317077</v>
      </c>
      <c r="D135" s="140">
        <v>1.038239696336972</v>
      </c>
      <c r="E135" s="140">
        <v>1.0</v>
      </c>
      <c r="F135" s="140">
        <v>1.0376281061858181</v>
      </c>
      <c r="G135" s="140">
        <v>47610.05104588581</v>
      </c>
      <c r="H135" s="140">
        <v>96.73102887051729</v>
      </c>
      <c r="I135" s="140">
        <v>0.4374040577780243</v>
      </c>
      <c r="J135" s="141">
        <v>0.0027742329245963493</v>
      </c>
      <c r="K135" s="140">
        <v>0.0</v>
      </c>
    </row>
    <row r="136">
      <c r="A136" s="55">
        <v>45342.95994688658</v>
      </c>
      <c r="B136" s="139">
        <v>1.0809300000000002</v>
      </c>
      <c r="C136" s="140">
        <v>111.86293284486504</v>
      </c>
      <c r="D136" s="140">
        <v>1.0381516221715246</v>
      </c>
      <c r="E136" s="140">
        <v>1.0</v>
      </c>
      <c r="F136" s="140">
        <v>1.070051438764323</v>
      </c>
      <c r="G136" s="140">
        <v>48453.59273958535</v>
      </c>
      <c r="H136" s="140">
        <v>100.66886847436928</v>
      </c>
      <c r="I136" s="140">
        <v>0.46904054841664117</v>
      </c>
      <c r="J136" s="141">
        <v>0.002775387860453498</v>
      </c>
      <c r="K136" s="140">
        <v>0.0</v>
      </c>
    </row>
    <row r="137">
      <c r="A137" s="55">
        <v>45341.95968810185</v>
      </c>
      <c r="B137" s="139">
        <v>1.07819</v>
      </c>
      <c r="C137" s="140">
        <v>115.54086014524343</v>
      </c>
      <c r="D137" s="140">
        <v>1.0387967588034603</v>
      </c>
      <c r="E137" s="140">
        <v>1.0</v>
      </c>
      <c r="F137" s="140">
        <v>1.089751507509975</v>
      </c>
      <c r="G137" s="140">
        <v>48323.38085124143</v>
      </c>
      <c r="H137" s="140">
        <v>103.95848598113506</v>
      </c>
      <c r="I137" s="140">
        <v>0.4915645665420752</v>
      </c>
      <c r="J137" s="141">
        <v>0.003709921256921322</v>
      </c>
      <c r="K137" s="140">
        <v>0.0</v>
      </c>
    </row>
    <row r="138">
      <c r="A138" s="55">
        <v>45340.95972532408</v>
      </c>
      <c r="B138" s="139">
        <v>1.07734</v>
      </c>
      <c r="C138" s="140">
        <v>116.20658288005644</v>
      </c>
      <c r="D138" s="140">
        <v>1.036098346154756</v>
      </c>
      <c r="E138" s="140">
        <v>1.0</v>
      </c>
      <c r="F138" s="140">
        <v>1.0847553173410251</v>
      </c>
      <c r="G138" s="140">
        <v>48546.65658009542</v>
      </c>
      <c r="H138" s="140">
        <v>104.64291681363359</v>
      </c>
      <c r="I138" s="140">
        <v>0.5003063099857056</v>
      </c>
      <c r="J138" s="141">
        <v>0.0037128483115822304</v>
      </c>
      <c r="K138" s="140">
        <v>0.0</v>
      </c>
    </row>
    <row r="139">
      <c r="A139" s="55">
        <v>45339.959691689815</v>
      </c>
      <c r="B139" s="139">
        <v>1.07763</v>
      </c>
      <c r="C139" s="140">
        <v>112.59616009205385</v>
      </c>
      <c r="D139" s="140">
        <v>1.036098346154756</v>
      </c>
      <c r="E139" s="140">
        <v>1.0</v>
      </c>
      <c r="F139" s="140">
        <v>1.012655945225903</v>
      </c>
      <c r="G139" s="140">
        <v>48124.33395506806</v>
      </c>
      <c r="H139" s="140">
        <v>101.3743121479543</v>
      </c>
      <c r="I139" s="140">
        <v>0.46862095524437886</v>
      </c>
      <c r="J139" s="141">
        <v>0.002783886862837894</v>
      </c>
      <c r="K139" s="140">
        <v>0.0</v>
      </c>
    </row>
    <row r="140">
      <c r="A140" s="55">
        <v>45338.95970489584</v>
      </c>
      <c r="B140" s="139">
        <v>1.07755</v>
      </c>
      <c r="C140" s="140">
        <v>113.11493666187184</v>
      </c>
      <c r="D140" s="140">
        <v>1.0352843591494154</v>
      </c>
      <c r="E140" s="140">
        <v>1.0</v>
      </c>
      <c r="F140" s="140">
        <v>0.9963291458048072</v>
      </c>
      <c r="G140" s="140">
        <v>48340.49649668229</v>
      </c>
      <c r="H140" s="140">
        <v>101.49691429632036</v>
      </c>
      <c r="I140" s="140">
        <v>0.4742239339241799</v>
      </c>
      <c r="J140" s="141">
        <v>0.0037121247273908405</v>
      </c>
      <c r="K140" s="140">
        <v>0.0</v>
      </c>
    </row>
    <row r="141">
      <c r="A141" s="55">
        <v>45337.95969488426</v>
      </c>
      <c r="B141" s="139">
        <v>1.07625</v>
      </c>
      <c r="C141" s="140">
        <v>110.9472706155633</v>
      </c>
      <c r="D141" s="140">
        <v>1.033875925805397</v>
      </c>
      <c r="E141" s="140">
        <v>1.0</v>
      </c>
      <c r="F141" s="140">
        <v>0.97522</v>
      </c>
      <c r="G141" s="140">
        <v>48081.81091753775</v>
      </c>
      <c r="H141" s="140">
        <v>104.15888501742161</v>
      </c>
      <c r="I141" s="140">
        <v>0.4552845528455285</v>
      </c>
      <c r="J141" s="141">
        <v>0.0037166085946573756</v>
      </c>
      <c r="K141" s="140">
        <v>0.0</v>
      </c>
    </row>
    <row r="142">
      <c r="A142" s="55">
        <v>45336.959745949076</v>
      </c>
      <c r="B142" s="139">
        <v>1.07311</v>
      </c>
      <c r="C142" s="140">
        <v>121.2718174278499</v>
      </c>
      <c r="D142" s="140">
        <v>1.033875925805397</v>
      </c>
      <c r="E142" s="140">
        <v>1.0</v>
      </c>
      <c r="F142" s="140">
        <v>0.967412</v>
      </c>
      <c r="G142" s="140">
        <v>48477.124432723576</v>
      </c>
      <c r="H142" s="140">
        <v>109.25161446636412</v>
      </c>
      <c r="I142" s="140">
        <v>0.49761906980645043</v>
      </c>
      <c r="J142" s="141">
        <v>0.0037274836689621753</v>
      </c>
      <c r="K142" s="140">
        <v>0.0</v>
      </c>
    </row>
    <row r="143">
      <c r="A143" s="55">
        <v>45335.95979487269</v>
      </c>
      <c r="B143" s="139">
        <v>1.0717</v>
      </c>
      <c r="C143" s="140">
        <v>116.1388448259774</v>
      </c>
      <c r="D143" s="140">
        <v>1.0327041355314668</v>
      </c>
      <c r="E143" s="140">
        <v>1.0</v>
      </c>
      <c r="F143" s="140">
        <v>0.936459</v>
      </c>
      <c r="G143" s="140">
        <v>46344.34076700569</v>
      </c>
      <c r="H143" s="140">
        <v>104.64309041709433</v>
      </c>
      <c r="I143" s="140">
        <v>0.44788653541102913</v>
      </c>
      <c r="J143" s="141">
        <v>0.0027992908463189323</v>
      </c>
      <c r="K143" s="140">
        <v>0.0</v>
      </c>
    </row>
    <row r="144">
      <c r="A144" s="55">
        <v>45334.959954942125</v>
      </c>
      <c r="B144" s="139">
        <v>1.07784</v>
      </c>
      <c r="C144" s="140">
        <v>114.8843984264826</v>
      </c>
      <c r="D144" s="140">
        <v>1.032483874972492</v>
      </c>
      <c r="E144" s="140">
        <v>1.0</v>
      </c>
      <c r="F144" s="140">
        <v>0.930152</v>
      </c>
      <c r="G144" s="140">
        <v>46635.54330883991</v>
      </c>
      <c r="H144" s="140">
        <v>103.54690863207898</v>
      </c>
      <c r="I144" s="140">
        <v>0.4713129963630966</v>
      </c>
      <c r="J144" s="141">
        <v>0.0027833444667112006</v>
      </c>
      <c r="K144" s="140">
        <v>0.0</v>
      </c>
    </row>
    <row r="145">
      <c r="A145" s="55">
        <v>45333.95971710648</v>
      </c>
      <c r="B145" s="139">
        <v>1.07799</v>
      </c>
      <c r="C145" s="140">
        <v>110.70139797215187</v>
      </c>
      <c r="D145" s="140">
        <v>1.0306549127762075</v>
      </c>
      <c r="E145" s="140">
        <v>1.0</v>
      </c>
      <c r="F145" s="140">
        <v>0.879779</v>
      </c>
      <c r="G145" s="140">
        <v>44714.11237581054</v>
      </c>
      <c r="H145" s="140">
        <v>99.75695507379476</v>
      </c>
      <c r="I145" s="140">
        <v>0.472175066559059</v>
      </c>
      <c r="J145" s="141">
        <v>0.0027829571702891495</v>
      </c>
      <c r="K145" s="140">
        <v>0.0</v>
      </c>
    </row>
    <row r="146">
      <c r="A146" s="55">
        <v>45332.95948277778</v>
      </c>
      <c r="B146" s="139">
        <v>1.0783</v>
      </c>
      <c r="C146" s="140">
        <v>112.50115923212464</v>
      </c>
      <c r="D146" s="140">
        <v>1.030417486586611</v>
      </c>
      <c r="E146" s="140">
        <v>1.0</v>
      </c>
      <c r="F146" s="140">
        <v>0.872965</v>
      </c>
      <c r="G146" s="140">
        <v>44385.05146990633</v>
      </c>
      <c r="H146" s="140">
        <v>101.44115737735324</v>
      </c>
      <c r="I146" s="140">
        <v>0.46740239265510525</v>
      </c>
      <c r="J146" s="141">
        <v>0.0027821570991375315</v>
      </c>
      <c r="K146" s="140">
        <v>0.0</v>
      </c>
    </row>
    <row r="147">
      <c r="A147" s="55">
        <v>45331.95971361111</v>
      </c>
      <c r="B147" s="139">
        <v>1.07813</v>
      </c>
      <c r="C147" s="137">
        <v>110.98290558652481</v>
      </c>
      <c r="D147" s="137">
        <v>1.019476478890707</v>
      </c>
      <c r="E147" s="137">
        <v>1.0</v>
      </c>
      <c r="F147" s="137">
        <v>0.874917</v>
      </c>
      <c r="G147" s="137">
        <v>43942.61545453702</v>
      </c>
      <c r="H147" s="137">
        <v>100.08255034179551</v>
      </c>
      <c r="I147" s="137">
        <v>0.47767894409765055</v>
      </c>
      <c r="J147" s="138">
        <v>0.0028871428917667534</v>
      </c>
      <c r="K147" s="140">
        <v>0.0</v>
      </c>
    </row>
    <row r="148">
      <c r="A148" s="55">
        <v>45330.95972827546</v>
      </c>
      <c r="B148" s="139">
        <v>1.07779</v>
      </c>
      <c r="C148" s="137">
        <v>105.63931749227586</v>
      </c>
      <c r="D148" s="137">
        <v>1.018833446851342</v>
      </c>
      <c r="E148" s="137">
        <v>1.0</v>
      </c>
      <c r="F148" s="137">
        <v>0.862773</v>
      </c>
      <c r="G148" s="137">
        <v>42042.936007942175</v>
      </c>
      <c r="H148" s="137">
        <v>95.26438359977361</v>
      </c>
      <c r="I148" s="137">
        <v>0.4824687555089581</v>
      </c>
      <c r="J148" s="138">
        <v>0.002898062440629162</v>
      </c>
      <c r="K148" s="140">
        <v>0.0</v>
      </c>
    </row>
    <row r="149">
      <c r="A149" s="55">
        <v>45329.95971340278</v>
      </c>
      <c r="B149" s="139">
        <v>1.07648</v>
      </c>
      <c r="C149" s="137">
        <v>103.86258917954814</v>
      </c>
      <c r="D149" s="137">
        <v>1.0354890723126222</v>
      </c>
      <c r="E149" s="137">
        <v>1.0</v>
      </c>
      <c r="F149" s="137">
        <v>0.845804</v>
      </c>
      <c r="G149" s="137">
        <v>41116.51400862069</v>
      </c>
      <c r="H149" s="137">
        <v>93.72677615933411</v>
      </c>
      <c r="I149" s="137">
        <v>0.5155692627824019</v>
      </c>
      <c r="J149" s="138">
        <v>0.002605168818462059</v>
      </c>
      <c r="K149" s="140">
        <v>0.0</v>
      </c>
    </row>
    <row r="150">
      <c r="A150" s="55">
        <v>45328.9597259838</v>
      </c>
      <c r="B150" s="139">
        <v>1.07497</v>
      </c>
      <c r="C150" s="137">
        <v>100.47908313720383</v>
      </c>
      <c r="D150" s="137">
        <v>1.0182827657384876</v>
      </c>
      <c r="E150" s="137">
        <v>1.0</v>
      </c>
      <c r="F150" s="137">
        <v>0.821246</v>
      </c>
      <c r="G150" s="137">
        <v>40272.326669581475</v>
      </c>
      <c r="H150" s="137">
        <v>90.66764653897319</v>
      </c>
      <c r="I150" s="137">
        <v>0.4958277905429919</v>
      </c>
      <c r="J150" s="138">
        <v>0.0026046672336188033</v>
      </c>
      <c r="K150" s="140">
        <v>0.0</v>
      </c>
    </row>
    <row r="151">
      <c r="A151" s="55">
        <v>45327.95971106482</v>
      </c>
      <c r="B151" s="139">
        <v>1.07322</v>
      </c>
      <c r="C151" s="137">
        <v>97.67149326326381</v>
      </c>
      <c r="D151" s="137">
        <v>1.017881109887887</v>
      </c>
      <c r="E151" s="137">
        <v>1.0</v>
      </c>
      <c r="F151" s="137">
        <v>0.802418</v>
      </c>
      <c r="G151" s="137">
        <v>39601.98934048937</v>
      </c>
      <c r="H151" s="137">
        <v>88.15340750265555</v>
      </c>
      <c r="I151" s="137">
        <v>0.4929091891690427</v>
      </c>
      <c r="J151" s="138">
        <v>0.00267494893407766</v>
      </c>
      <c r="K151" s="140">
        <v>0.0</v>
      </c>
    </row>
    <row r="152">
      <c r="A152" s="55">
        <v>45326.95972099537</v>
      </c>
      <c r="B152" s="139">
        <v>1.0833499999999998</v>
      </c>
      <c r="C152" s="137">
        <v>97.81418747403887</v>
      </c>
      <c r="D152" s="137">
        <v>1.017734046707274</v>
      </c>
      <c r="E152" s="137">
        <v>1.0</v>
      </c>
      <c r="F152" s="137">
        <v>0.806178</v>
      </c>
      <c r="G152" s="137">
        <v>39363.855632990264</v>
      </c>
      <c r="H152" s="137">
        <v>88.26694973923479</v>
      </c>
      <c r="I152" s="137">
        <v>0.4883001799972309</v>
      </c>
      <c r="J152" s="138">
        <v>0.0027715864128045526</v>
      </c>
      <c r="K152" s="140">
        <v>0.0</v>
      </c>
    </row>
    <row r="153">
      <c r="A153" s="55">
        <v>45325.9597110301</v>
      </c>
      <c r="B153" s="139">
        <v>1.08008</v>
      </c>
      <c r="C153" s="137">
        <v>100.44163395304052</v>
      </c>
      <c r="D153" s="137">
        <v>1.017888749495221</v>
      </c>
      <c r="E153" s="137">
        <v>1.0</v>
      </c>
      <c r="F153" s="137">
        <v>0.814407</v>
      </c>
      <c r="G153" s="137">
        <v>39925.197207614256</v>
      </c>
      <c r="H153" s="137">
        <v>90.66180282942004</v>
      </c>
      <c r="I153" s="137">
        <v>0.5305162580549588</v>
      </c>
      <c r="J153" s="138">
        <v>0.00306337798862606</v>
      </c>
      <c r="K153" s="140">
        <v>0.0</v>
      </c>
    </row>
    <row r="154">
      <c r="A154" s="55">
        <v>45324.95971225694</v>
      </c>
      <c r="B154" s="139">
        <v>1.07903</v>
      </c>
      <c r="C154" s="137">
        <v>102.8219789996571</v>
      </c>
      <c r="D154" s="137">
        <v>1.017881786746293</v>
      </c>
      <c r="E154" s="137">
        <v>1.0</v>
      </c>
      <c r="F154" s="137">
        <v>0.818021</v>
      </c>
      <c r="G154" s="137">
        <v>40043.99877667906</v>
      </c>
      <c r="H154" s="137">
        <v>92.87693576638277</v>
      </c>
      <c r="I154" s="137">
        <v>0.5718098662687785</v>
      </c>
      <c r="J154" s="138">
        <v>0.00316497300585388</v>
      </c>
      <c r="K154" s="140">
        <v>0.0</v>
      </c>
    </row>
    <row r="155">
      <c r="A155" s="55">
        <v>45323.959730856484</v>
      </c>
      <c r="B155" s="139">
        <v>1.0850199999999999</v>
      </c>
      <c r="C155" s="137">
        <v>98.37975336860153</v>
      </c>
      <c r="D155" s="137">
        <v>1.0156314207388744</v>
      </c>
      <c r="E155" s="137">
        <v>1.0</v>
      </c>
      <c r="F155" s="137">
        <v>0.818912</v>
      </c>
      <c r="G155" s="137">
        <v>39582.46207443181</v>
      </c>
      <c r="H155" s="137">
        <v>89.43613942600138</v>
      </c>
      <c r="I155" s="137">
        <v>0.5437687784556967</v>
      </c>
      <c r="J155" s="138">
        <v>0.002828557790483918</v>
      </c>
      <c r="K155" s="140">
        <v>0.0</v>
      </c>
    </row>
    <row r="156">
      <c r="A156" s="55">
        <v>45322.95971767361</v>
      </c>
      <c r="B156" s="139">
        <v>1.0851300000000001</v>
      </c>
      <c r="C156" s="137">
        <v>87.83740197027083</v>
      </c>
      <c r="D156" s="137">
        <v>1.0566482904099035</v>
      </c>
      <c r="E156" s="137">
        <v>1.0</v>
      </c>
      <c r="F156" s="137">
        <v>0.808153</v>
      </c>
      <c r="G156" s="137">
        <v>39149.52770635775</v>
      </c>
      <c r="H156" s="137">
        <v>87.83740197027083</v>
      </c>
      <c r="I156" s="137">
        <v>0.610583063780376</v>
      </c>
      <c r="J156" s="138">
        <v>0.0027936189319212813</v>
      </c>
      <c r="K156" s="140">
        <v>0.0</v>
      </c>
    </row>
    <row r="157">
      <c r="A157" s="55">
        <v>45321.959755185184</v>
      </c>
      <c r="B157" s="139">
        <v>1.08366</v>
      </c>
      <c r="C157" s="137">
        <v>95.36847350645036</v>
      </c>
      <c r="D157" s="137">
        <v>1.0158961299873563</v>
      </c>
      <c r="E157" s="137">
        <v>1.0</v>
      </c>
      <c r="F157" s="137">
        <v>0.829689</v>
      </c>
      <c r="G157" s="137">
        <v>40056.89330601849</v>
      </c>
      <c r="H157" s="137">
        <v>95.36847350645036</v>
      </c>
      <c r="I157" s="137">
        <v>0.0</v>
      </c>
      <c r="J157" s="138">
        <v>0.0026421128681768913</v>
      </c>
      <c r="K157" s="140">
        <v>0.0</v>
      </c>
    </row>
    <row r="158">
      <c r="A158" s="55">
        <v>45320.95972640046</v>
      </c>
      <c r="B158" s="139">
        <v>1.08373</v>
      </c>
      <c r="C158" s="137">
        <v>92.8358539488618</v>
      </c>
      <c r="D158" s="137">
        <v>1.0158224037749393</v>
      </c>
      <c r="E158" s="137">
        <v>1.0</v>
      </c>
      <c r="F158" s="137">
        <v>0.815314</v>
      </c>
      <c r="G158" s="137">
        <v>39802.05770810072</v>
      </c>
      <c r="H158" s="137">
        <v>92.8358539488618</v>
      </c>
      <c r="I158" s="137">
        <v>0.0</v>
      </c>
      <c r="J158" s="138">
        <v>0.002428166081508243</v>
      </c>
      <c r="K158" s="140">
        <v>0.0</v>
      </c>
    </row>
    <row r="159">
      <c r="A159" s="55">
        <v>45319.95972118055</v>
      </c>
      <c r="B159" s="139">
        <v>1.08459</v>
      </c>
      <c r="C159" s="137">
        <v>87.33346241436857</v>
      </c>
      <c r="D159" s="137">
        <v>1.015501627687809</v>
      </c>
      <c r="E159" s="137">
        <v>1.0</v>
      </c>
      <c r="F159" s="137">
        <v>0.794718</v>
      </c>
      <c r="G159" s="137">
        <v>38559.48422906352</v>
      </c>
      <c r="H159" s="137">
        <v>87.33346241436857</v>
      </c>
      <c r="I159" s="137">
        <v>0.0</v>
      </c>
      <c r="J159" s="138">
        <v>0.0022129705111622188</v>
      </c>
      <c r="K159" s="140">
        <v>0.0</v>
      </c>
    </row>
    <row r="160">
      <c r="A160" s="55">
        <v>45318.959708993054</v>
      </c>
      <c r="B160" s="139">
        <v>1.0858299999999999</v>
      </c>
      <c r="C160" s="137">
        <v>86.26120110882921</v>
      </c>
      <c r="D160" s="137">
        <v>1.0155979950520007</v>
      </c>
      <c r="E160" s="137">
        <v>1.0</v>
      </c>
      <c r="F160" s="137">
        <v>0.796849</v>
      </c>
      <c r="G160" s="137">
        <v>38790.09697650646</v>
      </c>
      <c r="H160" s="137">
        <v>86.26120110882921</v>
      </c>
      <c r="I160" s="137">
        <v>0.0</v>
      </c>
      <c r="J160" s="138">
        <v>0.0024398684754819554</v>
      </c>
      <c r="K160" s="140">
        <v>0.0</v>
      </c>
    </row>
    <row r="161">
      <c r="A161" s="55">
        <v>45317.95974038195</v>
      </c>
      <c r="B161" s="139">
        <v>1.08584</v>
      </c>
      <c r="C161" s="137">
        <v>84.10170927576807</v>
      </c>
      <c r="D161" s="137">
        <v>1.0155632452284737</v>
      </c>
      <c r="E161" s="137">
        <v>1.0</v>
      </c>
      <c r="F161" s="137">
        <v>0.7851</v>
      </c>
      <c r="G161" s="137">
        <v>38296.794186988875</v>
      </c>
      <c r="H161" s="137">
        <v>84.10170927576807</v>
      </c>
      <c r="I161" s="137">
        <v>0.0</v>
      </c>
      <c r="J161" s="138">
        <v>0.0020172799507772433</v>
      </c>
      <c r="K161" s="140">
        <v>0.0</v>
      </c>
    </row>
    <row r="162">
      <c r="A162" s="55">
        <v>45316.959713275464</v>
      </c>
      <c r="B162" s="139">
        <v>1.0836400000000002</v>
      </c>
      <c r="C162" s="137">
        <v>80.48429367686684</v>
      </c>
      <c r="D162" s="137">
        <v>1.0149954372081624</v>
      </c>
      <c r="E162" s="137">
        <v>1.0</v>
      </c>
      <c r="F162" s="137">
        <v>0.749347</v>
      </c>
      <c r="G162" s="137">
        <v>36865.292901701665</v>
      </c>
      <c r="H162" s="137">
        <v>80.48429367686684</v>
      </c>
      <c r="I162" s="137">
        <v>0.0</v>
      </c>
      <c r="J162" s="138">
        <v>0.001625391674844101</v>
      </c>
      <c r="K162" s="140">
        <v>0.0</v>
      </c>
    </row>
    <row r="163">
      <c r="A163" s="55">
        <v>45315.95971847222</v>
      </c>
      <c r="B163" s="139">
        <v>1.08877</v>
      </c>
      <c r="C163" s="137">
        <v>80.33101573335048</v>
      </c>
      <c r="D163" s="137">
        <v>1.0149094137987582</v>
      </c>
      <c r="E163" s="137">
        <v>1.0</v>
      </c>
      <c r="F163" s="137">
        <v>0.740619</v>
      </c>
      <c r="G163" s="137">
        <v>36711.83169999174</v>
      </c>
      <c r="H163" s="137">
        <v>80.33101573335048</v>
      </c>
      <c r="I163" s="137">
        <v>0.0</v>
      </c>
      <c r="J163" s="138">
        <v>0.0015512897048556604</v>
      </c>
      <c r="K163" s="140">
        <v>0.0</v>
      </c>
    </row>
    <row r="164">
      <c r="A164" s="55">
        <v>45314.95970569445</v>
      </c>
      <c r="B164" s="139">
        <v>1.08449</v>
      </c>
      <c r="C164" s="137">
        <v>76.07262399837713</v>
      </c>
      <c r="D164" s="137">
        <v>1.0148777224652703</v>
      </c>
      <c r="E164" s="137">
        <v>1.0</v>
      </c>
      <c r="F164" s="137">
        <v>0.716362</v>
      </c>
      <c r="G164" s="137">
        <v>36439.85928869792</v>
      </c>
      <c r="H164" s="137">
        <v>76.07262399837713</v>
      </c>
      <c r="I164" s="137">
        <v>0.0</v>
      </c>
      <c r="J164" s="138">
        <v>0.0015366335919105144</v>
      </c>
      <c r="K164" s="140">
        <v>0.0</v>
      </c>
    </row>
    <row r="165">
      <c r="A165" s="55">
        <v>45313.95975439815</v>
      </c>
      <c r="B165" s="139">
        <v>1.08855</v>
      </c>
      <c r="C165" s="137">
        <v>77.10899820862616</v>
      </c>
      <c r="D165" s="137">
        <v>1.0149619923773998</v>
      </c>
      <c r="E165" s="137">
        <v>1.0</v>
      </c>
      <c r="F165" s="137">
        <v>0.739877</v>
      </c>
      <c r="G165" s="137">
        <v>36638.99774929953</v>
      </c>
      <c r="H165" s="137">
        <v>77.10899820862616</v>
      </c>
      <c r="I165" s="137">
        <v>0.0</v>
      </c>
      <c r="J165" s="138">
        <v>0.0015668030305780927</v>
      </c>
      <c r="K165" s="140">
        <v>0.0</v>
      </c>
    </row>
    <row r="166">
      <c r="A166" s="55">
        <v>45312.959703506946</v>
      </c>
      <c r="B166" s="139">
        <v>1.0893199999999998</v>
      </c>
      <c r="C166" s="137">
        <v>83.94135791135756</v>
      </c>
      <c r="D166" s="137">
        <v>1.0154215786833334</v>
      </c>
      <c r="E166" s="137">
        <v>1.0</v>
      </c>
      <c r="F166" s="137">
        <v>0.784934</v>
      </c>
      <c r="G166" s="137">
        <v>38180.95876326516</v>
      </c>
      <c r="H166" s="137">
        <v>83.94135791135756</v>
      </c>
      <c r="I166" s="137">
        <v>0.0</v>
      </c>
      <c r="J166" s="138">
        <v>0.001789614328884628</v>
      </c>
      <c r="K166" s="140">
        <v>0.0</v>
      </c>
    </row>
    <row r="167">
      <c r="A167" s="55">
        <v>45311.959704375</v>
      </c>
      <c r="B167" s="139">
        <v>1.0906600000000002</v>
      </c>
      <c r="C167" s="137">
        <v>85.28689050666569</v>
      </c>
      <c r="D167" s="137">
        <v>1.016044223026773</v>
      </c>
      <c r="E167" s="137">
        <v>1.0</v>
      </c>
      <c r="F167" s="137">
        <v>0.787302</v>
      </c>
      <c r="G167" s="137">
        <v>38275.09306291602</v>
      </c>
      <c r="H167" s="137">
        <v>85.28689050666569</v>
      </c>
      <c r="I167" s="137">
        <v>0.0</v>
      </c>
      <c r="J167" s="138">
        <v>0.001888182324056433</v>
      </c>
      <c r="K167" s="140">
        <v>0.0</v>
      </c>
    </row>
    <row r="168">
      <c r="A168" s="55">
        <v>45310.95970283565</v>
      </c>
      <c r="B168" s="139">
        <v>1.0888900000000001</v>
      </c>
      <c r="C168" s="137">
        <v>85.76440228122216</v>
      </c>
      <c r="D168" s="137">
        <v>1.0153977138851695</v>
      </c>
      <c r="E168" s="137">
        <v>1.0</v>
      </c>
      <c r="F168" s="137">
        <v>0.793864</v>
      </c>
      <c r="G168" s="137">
        <v>38250.44494852556</v>
      </c>
      <c r="H168" s="137">
        <v>85.76440228122216</v>
      </c>
      <c r="I168" s="137">
        <v>0.0</v>
      </c>
      <c r="J168" s="138">
        <v>0.0020243622494660433</v>
      </c>
      <c r="K168" s="140">
        <v>0.0</v>
      </c>
    </row>
    <row r="169">
      <c r="A169" s="55">
        <v>45309.959727928246</v>
      </c>
      <c r="B169" s="139">
        <v>1.08678</v>
      </c>
      <c r="C169" s="137">
        <v>87.00380941864958</v>
      </c>
      <c r="D169" s="137">
        <v>1.0152340124217953</v>
      </c>
      <c r="E169" s="137">
        <v>1.0</v>
      </c>
      <c r="F169" s="137">
        <v>0.776389</v>
      </c>
      <c r="G169" s="137">
        <v>38026.78923057104</v>
      </c>
      <c r="H169" s="137">
        <v>87.00380941864958</v>
      </c>
      <c r="I169" s="137">
        <v>0.0</v>
      </c>
      <c r="J169" s="138">
        <v>0.002027055504017576</v>
      </c>
      <c r="K169" s="140">
        <v>0.0</v>
      </c>
    </row>
    <row r="170">
      <c r="A170" s="55">
        <v>45308.95971361111</v>
      </c>
      <c r="B170" s="139">
        <v>1.08723</v>
      </c>
      <c r="C170" s="137">
        <v>92.83040387038622</v>
      </c>
      <c r="D170" s="137">
        <v>1.0155594862963464</v>
      </c>
      <c r="E170" s="137">
        <v>1.0</v>
      </c>
      <c r="F170" s="137">
        <v>0.810235</v>
      </c>
      <c r="G170" s="137">
        <v>39161.58586499637</v>
      </c>
      <c r="H170" s="137">
        <v>92.83040387038622</v>
      </c>
      <c r="I170" s="137">
        <v>0.0</v>
      </c>
      <c r="J170" s="138">
        <v>0.001816614493520943</v>
      </c>
      <c r="K170" s="140">
        <v>0.0</v>
      </c>
    </row>
    <row r="171">
      <c r="A171" s="55">
        <v>45307.95983096065</v>
      </c>
      <c r="B171" s="139">
        <v>1.08706</v>
      </c>
      <c r="C171" s="137">
        <v>90.23880926535794</v>
      </c>
      <c r="D171" s="137">
        <v>1.0159056513075928</v>
      </c>
      <c r="E171" s="137">
        <v>1.0</v>
      </c>
      <c r="F171" s="137">
        <v>0.828967</v>
      </c>
      <c r="G171" s="137">
        <v>39853.06790793517</v>
      </c>
      <c r="H171" s="137">
        <v>90.23880926535794</v>
      </c>
      <c r="I171" s="137">
        <v>0.0</v>
      </c>
      <c r="J171" s="138">
        <v>0.0017581654477077787</v>
      </c>
      <c r="K171" s="140">
        <v>0.0</v>
      </c>
    </row>
    <row r="172">
      <c r="A172" s="55">
        <v>45306.95971469907</v>
      </c>
      <c r="B172" s="139">
        <v>1.09523</v>
      </c>
      <c r="C172" s="137">
        <v>85.86780858815044</v>
      </c>
      <c r="D172" s="137">
        <v>1.0157000478410618</v>
      </c>
      <c r="E172" s="137">
        <v>1.0</v>
      </c>
      <c r="F172" s="137">
        <v>0.812687</v>
      </c>
      <c r="G172" s="137">
        <v>38999.90686887686</v>
      </c>
      <c r="H172" s="137">
        <v>85.86780858815044</v>
      </c>
      <c r="I172" s="137">
        <v>0.0</v>
      </c>
      <c r="J172" s="138">
        <v>0.0017251992371439897</v>
      </c>
      <c r="K172" s="140">
        <v>0.0</v>
      </c>
    </row>
    <row r="173">
      <c r="A173" s="55">
        <v>45305.95972368056</v>
      </c>
      <c r="B173" s="139">
        <v>1.09525</v>
      </c>
      <c r="C173" s="137">
        <v>88.17165030814881</v>
      </c>
      <c r="D173" s="137">
        <v>1.0155079393818238</v>
      </c>
      <c r="E173" s="137">
        <v>1.0</v>
      </c>
      <c r="F173" s="137">
        <v>0.81542</v>
      </c>
      <c r="G173" s="137">
        <v>38596.11504222779</v>
      </c>
      <c r="H173" s="137">
        <v>88.17165030814881</v>
      </c>
      <c r="I173" s="137">
        <v>0.0</v>
      </c>
      <c r="J173" s="138">
        <v>0.0017390469380264568</v>
      </c>
      <c r="K173" s="140">
        <v>0.0</v>
      </c>
    </row>
    <row r="174">
      <c r="A174" s="55">
        <v>45304.9597134375</v>
      </c>
      <c r="B174" s="139">
        <v>1.0957000000000001</v>
      </c>
      <c r="C174" s="137">
        <v>87.75029661403667</v>
      </c>
      <c r="D174" s="137">
        <v>1.0157244779046095</v>
      </c>
      <c r="E174" s="137">
        <v>1.0</v>
      </c>
      <c r="F174" s="137">
        <v>0.817476</v>
      </c>
      <c r="G174" s="137">
        <v>39233.03915305284</v>
      </c>
      <c r="H174" s="137">
        <v>87.75029661403667</v>
      </c>
      <c r="I174" s="137">
        <v>0.0</v>
      </c>
      <c r="J174" s="138">
        <v>0.0017229857357540974</v>
      </c>
      <c r="K174" s="140">
        <v>0.0</v>
      </c>
    </row>
    <row r="175">
      <c r="A175" s="55">
        <v>45303.959716736106</v>
      </c>
      <c r="B175" s="139">
        <v>1.09589</v>
      </c>
      <c r="C175" s="137">
        <v>82.00184325069121</v>
      </c>
      <c r="D175" s="137">
        <v>1.0157232868665877</v>
      </c>
      <c r="E175" s="137">
        <v>1.0</v>
      </c>
      <c r="F175" s="137">
        <v>0.80567</v>
      </c>
      <c r="G175" s="137">
        <v>38864.53202419951</v>
      </c>
      <c r="H175" s="137">
        <v>82.00184325069121</v>
      </c>
      <c r="I175" s="137">
        <v>0.0</v>
      </c>
      <c r="J175" s="138">
        <v>0.0016339468383680163</v>
      </c>
      <c r="K175" s="140">
        <v>0.0</v>
      </c>
    </row>
    <row r="176">
      <c r="A176" s="55">
        <v>45302.95971314815</v>
      </c>
      <c r="B176" s="139">
        <v>1.09569</v>
      </c>
      <c r="C176" s="137">
        <v>91.50672179174767</v>
      </c>
      <c r="D176" s="137">
        <v>1.0167975884097717</v>
      </c>
      <c r="E176" s="137">
        <v>1.0</v>
      </c>
      <c r="F176" s="137">
        <v>0.875334</v>
      </c>
      <c r="G176" s="137">
        <v>42387.914464857764</v>
      </c>
      <c r="H176" s="137">
        <v>91.50672179174767</v>
      </c>
      <c r="I176" s="137">
        <v>0.0</v>
      </c>
      <c r="J176" s="138">
        <v>0.0017810499341599432</v>
      </c>
      <c r="K176" s="140">
        <v>0.0</v>
      </c>
    </row>
    <row r="177">
      <c r="A177" s="55">
        <v>45301.959742453706</v>
      </c>
      <c r="B177" s="139">
        <v>1.09672</v>
      </c>
      <c r="C177" s="137">
        <v>94.14618134072508</v>
      </c>
      <c r="D177" s="137">
        <v>1.0168364304421347</v>
      </c>
      <c r="E177" s="137">
        <v>1.0</v>
      </c>
      <c r="F177" s="137">
        <v>0.877998</v>
      </c>
      <c r="G177" s="137">
        <v>42736.74228608943</v>
      </c>
      <c r="H177" s="137">
        <v>94.14618134072508</v>
      </c>
      <c r="I177" s="137">
        <v>0.0</v>
      </c>
      <c r="J177" s="138">
        <v>0.0018583571436439242</v>
      </c>
      <c r="K177" s="140">
        <v>0.0</v>
      </c>
    </row>
    <row r="178">
      <c r="A178" s="55">
        <v>45300.95972922454</v>
      </c>
      <c r="B178" s="139">
        <v>1.09253</v>
      </c>
      <c r="C178" s="137">
        <v>90.88446083860397</v>
      </c>
      <c r="D178" s="137">
        <v>1.0167300273535054</v>
      </c>
      <c r="E178" s="137">
        <v>1.0</v>
      </c>
      <c r="F178" s="137">
        <v>0.863415</v>
      </c>
      <c r="G178" s="137">
        <v>42257.14534154668</v>
      </c>
      <c r="H178" s="137">
        <v>90.88446083860397</v>
      </c>
      <c r="I178" s="137">
        <v>0.0</v>
      </c>
      <c r="J178" s="138">
        <v>0.0018966819078044704</v>
      </c>
      <c r="K178" s="140">
        <v>0.0</v>
      </c>
    </row>
    <row r="179">
      <c r="A179" s="55">
        <v>45299.95970773148</v>
      </c>
      <c r="B179" s="139">
        <v>1.09518</v>
      </c>
      <c r="C179" s="137">
        <v>89.52500958746508</v>
      </c>
      <c r="D179" s="137">
        <v>1.017098221472105</v>
      </c>
      <c r="E179" s="137">
        <v>1.0</v>
      </c>
      <c r="F179" s="137">
        <v>0.881568</v>
      </c>
      <c r="G179" s="137">
        <v>43056.56239157033</v>
      </c>
      <c r="H179" s="137">
        <v>89.52500958746508</v>
      </c>
      <c r="I179" s="137">
        <v>0.0</v>
      </c>
      <c r="J179" s="138">
        <v>0.0019259060867678809</v>
      </c>
      <c r="K179" s="140">
        <v>0.0</v>
      </c>
    </row>
    <row r="180">
      <c r="A180" s="55">
        <v>45298.959734641205</v>
      </c>
      <c r="B180" s="139">
        <v>1.09467</v>
      </c>
      <c r="C180" s="137">
        <v>81.2263056446235</v>
      </c>
      <c r="D180" s="137">
        <v>1.0162365089407763</v>
      </c>
      <c r="E180" s="137">
        <v>1.0</v>
      </c>
      <c r="F180" s="137">
        <v>0.820571</v>
      </c>
      <c r="G180" s="137">
        <v>40073.75556103666</v>
      </c>
      <c r="H180" s="137">
        <v>81.2263056446235</v>
      </c>
      <c r="I180" s="137">
        <v>0.0</v>
      </c>
      <c r="J180" s="138">
        <v>0.0017758889674674653</v>
      </c>
      <c r="K180" s="140">
        <v>0.0</v>
      </c>
    </row>
    <row r="181">
      <c r="A181" s="55">
        <v>45297.95970831018</v>
      </c>
      <c r="B181" s="139">
        <v>1.09462</v>
      </c>
      <c r="C181" s="137">
        <v>85.35199429939158</v>
      </c>
      <c r="D181" s="137">
        <v>1.0161298412840336</v>
      </c>
      <c r="E181" s="137">
        <v>1.0</v>
      </c>
      <c r="F181" s="137">
        <v>0.820391</v>
      </c>
      <c r="G181" s="137">
        <v>40249.32487986699</v>
      </c>
      <c r="H181" s="137">
        <v>85.35199429939158</v>
      </c>
      <c r="I181" s="137">
        <v>0.0</v>
      </c>
      <c r="J181" s="138">
        <v>0.0018454402545622455</v>
      </c>
      <c r="K181" s="140">
        <v>0.0</v>
      </c>
    </row>
    <row r="182">
      <c r="A182" s="55">
        <v>45296.95995010417</v>
      </c>
      <c r="B182" s="139">
        <v>1.0939100000000002</v>
      </c>
      <c r="C182" s="137">
        <v>90.75975171632034</v>
      </c>
      <c r="D182" s="137">
        <v>1.0159536964766893</v>
      </c>
      <c r="E182" s="137">
        <v>1.0</v>
      </c>
      <c r="F182" s="137">
        <v>0.839971</v>
      </c>
      <c r="G182" s="137">
        <v>40274.38363302282</v>
      </c>
      <c r="H182" s="137">
        <v>90.75975171632034</v>
      </c>
      <c r="I182" s="137">
        <v>0.0</v>
      </c>
      <c r="J182" s="138">
        <v>0.0018828257808707555</v>
      </c>
      <c r="K182" s="140">
        <v>0.0</v>
      </c>
    </row>
    <row r="183">
      <c r="A183" s="55">
        <v>45295.95971927083</v>
      </c>
      <c r="B183" s="139">
        <v>1.09496</v>
      </c>
      <c r="C183" s="137">
        <v>95.87382187477168</v>
      </c>
      <c r="D183" s="137">
        <v>1.0160270107599534</v>
      </c>
      <c r="E183" s="137">
        <v>1.0</v>
      </c>
      <c r="F183" s="137">
        <v>0.861527</v>
      </c>
      <c r="G183" s="137">
        <v>40612.398626433845</v>
      </c>
      <c r="H183" s="137">
        <v>95.87382187477168</v>
      </c>
      <c r="I183" s="137">
        <v>0.0</v>
      </c>
      <c r="J183" s="138">
        <v>0.0021149206643053206</v>
      </c>
      <c r="K183" s="140">
        <v>0.0</v>
      </c>
    </row>
    <row r="184">
      <c r="A184" s="55">
        <v>45294.95973326389</v>
      </c>
      <c r="B184" s="139">
        <v>1.09217</v>
      </c>
      <c r="C184" s="137">
        <v>90.4328080793283</v>
      </c>
      <c r="D184" s="137">
        <v>1.0156063869204484</v>
      </c>
      <c r="E184" s="137">
        <v>1.0</v>
      </c>
      <c r="F184" s="137">
        <v>0.805145</v>
      </c>
      <c r="G184" s="137">
        <v>39363.73641466072</v>
      </c>
      <c r="H184" s="137">
        <v>90.4328080793283</v>
      </c>
      <c r="I184" s="137">
        <v>0.0</v>
      </c>
      <c r="J184" s="138">
        <v>0.002370324898025669</v>
      </c>
      <c r="K184" s="140">
        <v>0.0</v>
      </c>
    </row>
    <row r="185">
      <c r="A185" s="55">
        <v>45293.95970259259</v>
      </c>
      <c r="B185" s="139">
        <v>1.0949</v>
      </c>
      <c r="C185" s="137">
        <v>98.7003379304046</v>
      </c>
      <c r="D185" s="137">
        <v>1.0160558767978367</v>
      </c>
      <c r="E185" s="137">
        <v>1.0</v>
      </c>
      <c r="F185" s="137">
        <v>0.820632</v>
      </c>
      <c r="G185" s="137">
        <v>41209.46661795598</v>
      </c>
      <c r="H185" s="137">
        <v>98.7003379304046</v>
      </c>
      <c r="I185" s="137">
        <v>0.0</v>
      </c>
      <c r="J185" s="138">
        <v>0.0026403390941625083</v>
      </c>
      <c r="K185" s="140">
        <v>0.0</v>
      </c>
    </row>
    <row r="186">
      <c r="A186" s="55">
        <v>45292.95969052083</v>
      </c>
      <c r="B186" s="139">
        <v>1.1044100000000001</v>
      </c>
      <c r="C186" s="137">
        <v>97.82689399770011</v>
      </c>
      <c r="D186" s="137">
        <v>1.0154248223896143</v>
      </c>
      <c r="E186" s="137">
        <v>1.0</v>
      </c>
      <c r="F186" s="137">
        <v>0.790644</v>
      </c>
      <c r="G186" s="137">
        <v>39420.13654349381</v>
      </c>
      <c r="H186" s="137">
        <v>97.82689399770011</v>
      </c>
      <c r="I186" s="137">
        <v>0.0</v>
      </c>
      <c r="J186" s="138">
        <v>0.002746115866953368</v>
      </c>
      <c r="K186" s="140">
        <v>0.0</v>
      </c>
    </row>
    <row r="187">
      <c r="A187" s="55">
        <v>45291.95969444445</v>
      </c>
      <c r="B187" s="139">
        <v>1.10377</v>
      </c>
      <c r="C187" s="137">
        <v>91.1566721327813</v>
      </c>
      <c r="D187" s="137">
        <v>1.0151363571026115</v>
      </c>
      <c r="E187" s="137">
        <v>1.0</v>
      </c>
      <c r="F187" s="137">
        <v>0.77051</v>
      </c>
      <c r="G187" s="137">
        <v>38388.09262799315</v>
      </c>
      <c r="H187" s="137">
        <v>91.1566721327813</v>
      </c>
      <c r="I187" s="137">
        <v>0.0</v>
      </c>
      <c r="J187" s="138">
        <v>0.0026068573954126407</v>
      </c>
      <c r="K187" s="140">
        <v>0.0</v>
      </c>
    </row>
    <row r="188">
      <c r="A188" s="55">
        <v>45290.959724201384</v>
      </c>
      <c r="B188" s="139">
        <v>1.10411</v>
      </c>
      <c r="C188" s="137">
        <v>92.153861481193</v>
      </c>
      <c r="D188" s="137">
        <v>1.0151256675943756</v>
      </c>
      <c r="E188" s="137">
        <v>1.0</v>
      </c>
      <c r="F188" s="137">
        <v>0.780199</v>
      </c>
      <c r="G188" s="137">
        <v>38242.4260263923</v>
      </c>
      <c r="H188" s="137">
        <v>92.153861481193</v>
      </c>
      <c r="I188" s="137">
        <v>0.0</v>
      </c>
      <c r="J188" s="138">
        <v>0.002413870236701288</v>
      </c>
      <c r="K188" s="140">
        <v>0.0</v>
      </c>
    </row>
    <row r="189">
      <c r="A189" s="55">
        <v>45289.95971052084</v>
      </c>
      <c r="B189" s="139">
        <v>1.10491</v>
      </c>
      <c r="C189" s="137">
        <v>95.05661094568788</v>
      </c>
      <c r="D189" s="137">
        <v>1.014963904503825</v>
      </c>
      <c r="E189" s="137">
        <v>1.0</v>
      </c>
      <c r="F189" s="137">
        <v>0.776886</v>
      </c>
      <c r="G189" s="137">
        <v>37951.29467558443</v>
      </c>
      <c r="H189" s="137">
        <v>95.05661094568788</v>
      </c>
      <c r="I189" s="137">
        <v>0.0</v>
      </c>
      <c r="J189" s="138">
        <v>0.002320669584710311</v>
      </c>
      <c r="K189" s="140">
        <v>0.0</v>
      </c>
    </row>
    <row r="190">
      <c r="A190" s="55">
        <v>45288.95971549768</v>
      </c>
      <c r="B190" s="139">
        <v>1.10652</v>
      </c>
      <c r="C190" s="137">
        <v>93.64042222463218</v>
      </c>
      <c r="D190" s="137">
        <v>1.01531605262112</v>
      </c>
      <c r="E190" s="137">
        <v>1.0</v>
      </c>
      <c r="F190" s="137">
        <v>0.79646</v>
      </c>
      <c r="G190" s="137">
        <v>38845.46144669776</v>
      </c>
      <c r="H190" s="137">
        <v>93.64042222463218</v>
      </c>
      <c r="I190" s="137">
        <v>0.0</v>
      </c>
      <c r="J190" s="138">
        <v>0.0022807321972206757</v>
      </c>
      <c r="K190" s="140">
        <v>0.0</v>
      </c>
    </row>
    <row r="191">
      <c r="A191" s="55">
        <v>45287.95972789352</v>
      </c>
      <c r="B191" s="139">
        <v>1.1103</v>
      </c>
      <c r="C191" s="137">
        <v>96.6657660091867</v>
      </c>
      <c r="D191" s="137">
        <v>1.0154140503397056</v>
      </c>
      <c r="E191" s="137">
        <v>1.0</v>
      </c>
      <c r="F191" s="137">
        <v>0.807629</v>
      </c>
      <c r="G191" s="137">
        <v>39303.43510762857</v>
      </c>
      <c r="H191" s="137">
        <v>96.6657660091867</v>
      </c>
      <c r="I191" s="137">
        <v>0.0</v>
      </c>
      <c r="J191" s="138">
        <v>0.0025906259851939885</v>
      </c>
      <c r="K191" s="140">
        <v>0.0</v>
      </c>
    </row>
    <row r="192">
      <c r="A192" s="55">
        <v>45286.959715578705</v>
      </c>
      <c r="B192" s="139">
        <v>1.10447</v>
      </c>
      <c r="C192" s="137">
        <v>101.05027750866931</v>
      </c>
      <c r="D192" s="137">
        <v>1.0151263962830357</v>
      </c>
      <c r="E192" s="137">
        <v>1.0</v>
      </c>
      <c r="F192" s="137">
        <v>0.801174</v>
      </c>
      <c r="G192" s="137">
        <v>38770.013671715846</v>
      </c>
      <c r="H192" s="137">
        <v>101.05027750866931</v>
      </c>
      <c r="I192" s="137">
        <v>0.0</v>
      </c>
      <c r="J192" s="138">
        <v>0.0029696362406239746</v>
      </c>
      <c r="K192" s="140">
        <v>0.0</v>
      </c>
    </row>
    <row r="193">
      <c r="A193" s="55">
        <v>45285.95970506944</v>
      </c>
      <c r="B193" s="139">
        <v>1.1011099999999998</v>
      </c>
      <c r="C193" s="137">
        <v>108.75934284494738</v>
      </c>
      <c r="D193" s="137">
        <v>1.0154152903157179</v>
      </c>
      <c r="E193" s="137">
        <v>1.0</v>
      </c>
      <c r="F193" s="137">
        <v>0.824448</v>
      </c>
      <c r="G193" s="137">
        <v>39910.45944546867</v>
      </c>
      <c r="H193" s="137">
        <v>108.75934284494738</v>
      </c>
      <c r="I193" s="137">
        <v>0.0</v>
      </c>
      <c r="J193" s="138">
        <v>0.0030005145581611546</v>
      </c>
      <c r="K193" s="140">
        <v>0.0</v>
      </c>
    </row>
    <row r="194">
      <c r="A194" s="55">
        <v>45284.9597074537</v>
      </c>
      <c r="B194" s="139">
        <v>1.10122</v>
      </c>
      <c r="C194" s="137">
        <v>101.35395288861444</v>
      </c>
      <c r="D194" s="137">
        <v>1.0153814381991964</v>
      </c>
      <c r="E194" s="137">
        <v>1.0</v>
      </c>
      <c r="F194" s="137">
        <v>0.816504</v>
      </c>
      <c r="G194" s="137">
        <v>39368.58938268466</v>
      </c>
      <c r="H194" s="137">
        <v>101.35395288861444</v>
      </c>
      <c r="I194" s="137">
        <v>0.0</v>
      </c>
      <c r="J194" s="138">
        <v>0.0028117086729804973</v>
      </c>
      <c r="K194" s="140">
        <v>0.0</v>
      </c>
    </row>
    <row r="195">
      <c r="A195" s="55">
        <v>45283.959727928246</v>
      </c>
      <c r="B195" s="139">
        <v>1.10182</v>
      </c>
      <c r="C195" s="137">
        <v>98.62318709045034</v>
      </c>
      <c r="D195" s="137">
        <v>1.011787773062039</v>
      </c>
      <c r="E195" s="137">
        <v>1.0</v>
      </c>
      <c r="F195" s="137">
        <v>0.816204</v>
      </c>
      <c r="G195" s="137">
        <v>39889.474687335496</v>
      </c>
      <c r="H195" s="137">
        <v>98.62318709045034</v>
      </c>
      <c r="I195" s="137">
        <v>0.0</v>
      </c>
      <c r="J195" s="138">
        <v>0.003179054011257159</v>
      </c>
      <c r="K195" s="140">
        <v>0.0</v>
      </c>
    </row>
    <row r="196">
      <c r="A196" s="55">
        <v>45282.95971834491</v>
      </c>
      <c r="B196" s="139">
        <v>1.10064</v>
      </c>
      <c r="C196" s="137">
        <v>88.16597615932548</v>
      </c>
      <c r="D196" s="137">
        <v>1.0157843586561235</v>
      </c>
      <c r="E196" s="137">
        <v>1.0</v>
      </c>
      <c r="F196" s="137">
        <v>0.810698</v>
      </c>
      <c r="G196" s="137">
        <v>39801.0430295101</v>
      </c>
      <c r="H196" s="137">
        <v>88.16597615932548</v>
      </c>
      <c r="I196" s="137">
        <v>0.0</v>
      </c>
      <c r="J196" s="138">
        <v>0.0031767909499578464</v>
      </c>
      <c r="K196" s="140">
        <v>0.0</v>
      </c>
    </row>
    <row r="197">
      <c r="A197" s="55">
        <v>45281.95971972222</v>
      </c>
      <c r="B197" s="139">
        <v>1.09899</v>
      </c>
      <c r="C197" s="137">
        <v>86.04900863520142</v>
      </c>
      <c r="D197" s="137">
        <v>1.015986825621347</v>
      </c>
      <c r="E197" s="137">
        <v>1.0</v>
      </c>
      <c r="F197" s="137">
        <v>0.789418</v>
      </c>
      <c r="G197" s="137">
        <v>40444.22879189074</v>
      </c>
      <c r="H197" s="137">
        <v>86.04900863520142</v>
      </c>
      <c r="I197" s="137">
        <v>0.0</v>
      </c>
      <c r="J197" s="138">
        <v>0.003597399080186945</v>
      </c>
      <c r="K197" s="140">
        <v>0.0</v>
      </c>
    </row>
    <row r="198">
      <c r="A198" s="55">
        <v>45280.9597278125</v>
      </c>
      <c r="B198" s="139">
        <v>1.09593</v>
      </c>
      <c r="C198" s="137">
        <v>74.3979998722546</v>
      </c>
      <c r="D198" s="137">
        <v>1.016123880110749</v>
      </c>
      <c r="E198" s="137">
        <v>1.0</v>
      </c>
      <c r="F198" s="137">
        <v>0.769892</v>
      </c>
      <c r="G198" s="137">
        <v>39902.35234002171</v>
      </c>
      <c r="H198" s="137">
        <v>74.3979998722546</v>
      </c>
      <c r="I198" s="137">
        <v>0.0</v>
      </c>
      <c r="J198" s="138">
        <v>0.0033469403826518027</v>
      </c>
      <c r="K198" s="140">
        <v>0.0</v>
      </c>
    </row>
    <row r="199">
      <c r="A199" s="55">
        <v>45279.95971848379</v>
      </c>
      <c r="B199" s="139">
        <v>1.09773</v>
      </c>
      <c r="C199" s="137">
        <v>66.3350732876026</v>
      </c>
      <c r="D199" s="137">
        <v>1.0160128505623562</v>
      </c>
      <c r="E199" s="137">
        <v>1.0</v>
      </c>
      <c r="F199" s="137">
        <v>0.752975</v>
      </c>
      <c r="G199" s="137">
        <v>38645.98216319131</v>
      </c>
      <c r="H199" s="137">
        <v>66.3350732876026</v>
      </c>
      <c r="I199" s="137">
        <v>0.0</v>
      </c>
      <c r="J199" s="138">
        <v>0.003326523604656012</v>
      </c>
      <c r="K199" s="140">
        <v>0.0</v>
      </c>
    </row>
    <row r="200">
      <c r="A200" s="55">
        <v>45278.959715370365</v>
      </c>
      <c r="B200" s="139">
        <v>1.09231</v>
      </c>
      <c r="C200" s="137">
        <v>68.28647545110822</v>
      </c>
      <c r="D200" s="137">
        <v>1.016051449178524</v>
      </c>
      <c r="E200" s="137">
        <v>1.0</v>
      </c>
      <c r="F200" s="137">
        <v>0.755576</v>
      </c>
      <c r="G200" s="137">
        <v>39017.50052640734</v>
      </c>
      <c r="H200" s="137">
        <v>68.28647545110822</v>
      </c>
      <c r="I200" s="137">
        <v>0.0</v>
      </c>
      <c r="J200" s="138">
        <v>0.0030643367199865955</v>
      </c>
      <c r="K200" s="140">
        <v>0.0</v>
      </c>
    </row>
    <row r="201">
      <c r="A201" s="55">
        <v>45277.95971664352</v>
      </c>
      <c r="B201" s="139">
        <v>1.09006</v>
      </c>
      <c r="C201" s="137">
        <v>66.26607709667357</v>
      </c>
      <c r="D201" s="137">
        <v>1.0158926188730395</v>
      </c>
      <c r="E201" s="137">
        <v>1.0</v>
      </c>
      <c r="F201" s="137">
        <v>0.759491</v>
      </c>
      <c r="G201" s="137">
        <v>38345.14246922188</v>
      </c>
      <c r="H201" s="137">
        <v>66.26607709667357</v>
      </c>
      <c r="I201" s="137">
        <v>0.0</v>
      </c>
      <c r="J201" s="138">
        <v>0.003032453617942909</v>
      </c>
      <c r="K201" s="140">
        <v>0.0</v>
      </c>
    </row>
    <row r="202">
      <c r="A202" s="55">
        <v>45276.95974810186</v>
      </c>
      <c r="B202" s="139">
        <v>1.09117</v>
      </c>
      <c r="C202" s="137">
        <v>67.6109130566273</v>
      </c>
      <c r="D202" s="137">
        <v>1.0160356461950109</v>
      </c>
      <c r="E202" s="137">
        <v>1.0</v>
      </c>
      <c r="F202" s="137">
        <v>0.773503</v>
      </c>
      <c r="G202" s="137">
        <v>38802.596295719275</v>
      </c>
      <c r="H202" s="137">
        <v>67.6109130566273</v>
      </c>
      <c r="I202" s="137">
        <v>0.0</v>
      </c>
      <c r="J202" s="138">
        <v>0.003209207110061805</v>
      </c>
      <c r="K202" s="140">
        <v>0.0</v>
      </c>
    </row>
    <row r="203">
      <c r="A203" s="55">
        <v>45275.959850046296</v>
      </c>
      <c r="B203" s="139">
        <v>1.08942</v>
      </c>
      <c r="C203" s="137">
        <v>68.57961116924602</v>
      </c>
      <c r="D203" s="137">
        <v>1.0159439012276694</v>
      </c>
      <c r="E203" s="137">
        <v>1.0</v>
      </c>
      <c r="F203" s="137">
        <v>0.773722</v>
      </c>
      <c r="G203" s="137">
        <v>38675.302454517085</v>
      </c>
      <c r="H203" s="137">
        <v>68.57961116924602</v>
      </c>
      <c r="I203" s="137">
        <v>0.0</v>
      </c>
      <c r="J203" s="138">
        <v>0.003841655392733547</v>
      </c>
      <c r="K203" s="140">
        <v>0.0</v>
      </c>
    </row>
    <row r="204">
      <c r="A204" s="55">
        <v>45272.95982871528</v>
      </c>
      <c r="B204" s="139">
        <v>1.07725</v>
      </c>
      <c r="C204" s="137">
        <v>62.8526340218148</v>
      </c>
      <c r="D204" s="137">
        <v>1.0107239511761377</v>
      </c>
      <c r="E204" s="137">
        <v>1.0</v>
      </c>
      <c r="F204" s="137">
        <v>0.7694200717458909</v>
      </c>
      <c r="G204" s="137">
        <v>38246.42629482627</v>
      </c>
      <c r="H204" s="137">
        <v>62.8526340218148</v>
      </c>
      <c r="I204" s="137">
        <v>0.0</v>
      </c>
      <c r="J204" s="138">
        <v>0.0037848536961555485</v>
      </c>
      <c r="K204" s="140">
        <v>0.0</v>
      </c>
    </row>
    <row r="205">
      <c r="A205" s="55">
        <v>45271.95968827546</v>
      </c>
      <c r="B205" s="139">
        <v>1.07471</v>
      </c>
      <c r="C205" s="137">
        <v>64.7802663043984</v>
      </c>
      <c r="D205" s="137">
        <v>1.0107239511761377</v>
      </c>
      <c r="E205" s="137">
        <v>1.0</v>
      </c>
      <c r="F205" s="137">
        <v>0.7769680589567121</v>
      </c>
      <c r="G205" s="137">
        <v>40716.06287986443</v>
      </c>
      <c r="H205" s="137">
        <v>64.7802663043984</v>
      </c>
      <c r="I205" s="137">
        <v>0.0</v>
      </c>
      <c r="J205" s="138">
        <v>0.003528811833643058</v>
      </c>
      <c r="K205" s="140">
        <v>0.0</v>
      </c>
    </row>
    <row r="206">
      <c r="A206" s="55">
        <v>45270.95970605324</v>
      </c>
      <c r="B206" s="139">
        <v>1.07688</v>
      </c>
      <c r="C206" s="137">
        <v>68.75417873857812</v>
      </c>
      <c r="D206" s="137">
        <v>1.0107239511761377</v>
      </c>
      <c r="E206" s="137">
        <v>1.0</v>
      </c>
      <c r="F206" s="137">
        <v>0.8062043191505786</v>
      </c>
      <c r="G206" s="137">
        <v>40622.438890029895</v>
      </c>
      <c r="H206" s="137">
        <v>68.75417873857812</v>
      </c>
      <c r="I206" s="137">
        <v>0.0</v>
      </c>
      <c r="J206" s="138">
        <v>0.0023905018786065627</v>
      </c>
      <c r="K206" s="140">
        <v>0.0</v>
      </c>
    </row>
    <row r="207">
      <c r="A207" s="55">
        <v>45269.95972547454</v>
      </c>
      <c r="B207" s="139">
        <v>1.07688</v>
      </c>
      <c r="C207" s="137">
        <v>68.60560136691181</v>
      </c>
      <c r="D207" s="137">
        <v>1.0106502303774958</v>
      </c>
      <c r="E207" s="137">
        <v>1.0</v>
      </c>
      <c r="F207" s="137">
        <v>0.8043156468988466</v>
      </c>
      <c r="G207" s="137">
        <v>41046.51967669211</v>
      </c>
      <c r="H207" s="137">
        <v>68.60560136691181</v>
      </c>
      <c r="I207" s="137">
        <v>0.0</v>
      </c>
      <c r="J207" s="138">
        <v>0.0023834044661034046</v>
      </c>
      <c r="K207" s="140">
        <v>0.0</v>
      </c>
    </row>
    <row r="208">
      <c r="A208" s="55">
        <v>45268.95972530093</v>
      </c>
      <c r="B208" s="139">
        <v>1.0782100000000001</v>
      </c>
      <c r="C208" s="137">
        <v>68.2798341695959</v>
      </c>
      <c r="D208" s="137">
        <v>1.0106502303774958</v>
      </c>
      <c r="E208" s="137">
        <v>1.0</v>
      </c>
      <c r="F208" s="137">
        <v>0.8154585280403928</v>
      </c>
      <c r="G208" s="137">
        <v>40131.43966361599</v>
      </c>
      <c r="H208" s="137">
        <v>68.2798341695959</v>
      </c>
      <c r="I208" s="137">
        <v>0.0</v>
      </c>
      <c r="J208" s="138">
        <v>0.0033140039240266974</v>
      </c>
      <c r="K208" s="140">
        <v>0.0</v>
      </c>
    </row>
    <row r="209">
      <c r="A209" s="55">
        <v>45267.95971947917</v>
      </c>
      <c r="B209" s="139">
        <v>1.08012</v>
      </c>
      <c r="C209" s="137">
        <v>62.84486908861978</v>
      </c>
      <c r="D209" s="137">
        <v>1.0102237490906152</v>
      </c>
      <c r="E209" s="137">
        <v>1.0</v>
      </c>
      <c r="F209" s="137">
        <v>0.7999505861781858</v>
      </c>
      <c r="G209" s="137">
        <v>40540.20739200487</v>
      </c>
      <c r="H209" s="137">
        <v>62.84486908861978</v>
      </c>
      <c r="I209" s="137">
        <v>0.0</v>
      </c>
      <c r="J209" s="138">
        <v>0.0034663860058428237</v>
      </c>
      <c r="K209" s="140">
        <v>0.0</v>
      </c>
    </row>
    <row r="210">
      <c r="A210" s="55">
        <v>45266.959729560185</v>
      </c>
      <c r="B210" s="139">
        <v>1.07675</v>
      </c>
      <c r="C210" s="137">
        <v>58.091478987694444</v>
      </c>
      <c r="D210" s="137">
        <v>1.0102237490906152</v>
      </c>
      <c r="E210" s="137">
        <v>1.0</v>
      </c>
      <c r="F210" s="137">
        <v>0.7768687262274817</v>
      </c>
      <c r="G210" s="137">
        <v>40962.10334116489</v>
      </c>
      <c r="H210" s="137">
        <v>58.091478987694444</v>
      </c>
      <c r="I210" s="137">
        <v>0.0</v>
      </c>
      <c r="J210" s="138">
        <v>0.0037235817513559507</v>
      </c>
      <c r="K210" s="140">
        <v>0.0</v>
      </c>
    </row>
    <row r="211">
      <c r="A211" s="55">
        <v>45265.95970766204</v>
      </c>
      <c r="B211" s="139">
        <v>1.0796400000000002</v>
      </c>
      <c r="C211" s="137">
        <v>55.97236115742284</v>
      </c>
      <c r="D211" s="137">
        <v>1.0101851103386954</v>
      </c>
      <c r="E211" s="137">
        <v>1.0</v>
      </c>
      <c r="F211" s="137">
        <v>0.7742492124335</v>
      </c>
      <c r="G211" s="137">
        <v>38878.081372071516</v>
      </c>
      <c r="H211" s="137">
        <v>55.97236115742284</v>
      </c>
      <c r="I211" s="137">
        <v>0.0</v>
      </c>
      <c r="J211" s="138">
        <v>0.003007180618435822</v>
      </c>
      <c r="K211" s="140">
        <v>0.0</v>
      </c>
    </row>
    <row r="212">
      <c r="A212" s="55">
        <v>45264.959725636574</v>
      </c>
      <c r="B212" s="139">
        <v>1.0833499999999998</v>
      </c>
      <c r="C212" s="137">
        <v>56.23298103106107</v>
      </c>
      <c r="D212" s="137">
        <v>1.009958774553391</v>
      </c>
      <c r="E212" s="137">
        <v>1.0</v>
      </c>
      <c r="F212" s="137">
        <v>0.764369114273463</v>
      </c>
      <c r="G212" s="137">
        <v>36885.840605908066</v>
      </c>
      <c r="H212" s="137">
        <v>56.23298103106107</v>
      </c>
      <c r="I212" s="137">
        <v>0.0</v>
      </c>
      <c r="J212" s="138">
        <v>0.001902781806944908</v>
      </c>
      <c r="K212" s="140">
        <v>0.0</v>
      </c>
    </row>
    <row r="213">
      <c r="A213" s="55">
        <v>45263.95972900463</v>
      </c>
      <c r="B213" s="139">
        <v>1.08803</v>
      </c>
      <c r="C213" s="137">
        <v>58.49103425457018</v>
      </c>
      <c r="D213" s="137">
        <v>1.0094414356155526</v>
      </c>
      <c r="E213" s="137">
        <v>1.0</v>
      </c>
      <c r="F213" s="137">
        <v>0.7308187161150207</v>
      </c>
      <c r="G213" s="137">
        <v>36287.29576947584</v>
      </c>
      <c r="H213" s="137">
        <v>58.49103425457018</v>
      </c>
      <c r="I213" s="137">
        <v>0.0</v>
      </c>
      <c r="J213" s="138">
        <v>0.0013305568579671924</v>
      </c>
      <c r="K213" s="140">
        <v>0.0</v>
      </c>
    </row>
    <row r="214">
      <c r="A214" s="55">
        <v>45262.95969684028</v>
      </c>
      <c r="B214" s="139">
        <v>1.08812</v>
      </c>
      <c r="C214" s="137">
        <v>57.8245046502224</v>
      </c>
      <c r="D214" s="137">
        <v>1.0090097337301906</v>
      </c>
      <c r="E214" s="137">
        <v>1.0</v>
      </c>
      <c r="F214" s="137">
        <v>0.7208545889820911</v>
      </c>
      <c r="G214" s="137">
        <v>35555.13982078319</v>
      </c>
      <c r="H214" s="137">
        <v>57.8245046502224</v>
      </c>
      <c r="I214" s="137">
        <v>0.0</v>
      </c>
      <c r="J214" s="138">
        <v>0.001134903504656224</v>
      </c>
      <c r="K214" s="140">
        <v>0.0</v>
      </c>
    </row>
    <row r="215">
      <c r="A215" s="55">
        <v>45261.9597287037</v>
      </c>
      <c r="B215" s="139">
        <v>1.0883</v>
      </c>
      <c r="C215" s="137">
        <v>55.19617752457962</v>
      </c>
      <c r="D215" s="137">
        <v>1.0090097337301906</v>
      </c>
      <c r="E215" s="137">
        <v>1.0</v>
      </c>
      <c r="F215" s="137">
        <v>0.7144706008385298</v>
      </c>
      <c r="G215" s="137">
        <v>34652.04298066029</v>
      </c>
      <c r="H215" s="137">
        <v>55.19617752457962</v>
      </c>
      <c r="I215" s="137">
        <v>0.0</v>
      </c>
      <c r="J215" s="138">
        <v>0.0012622293901218807</v>
      </c>
      <c r="K215" s="140">
        <v>0.0</v>
      </c>
    </row>
    <row r="216">
      <c r="A216" s="55">
        <v>45260.95972012731</v>
      </c>
      <c r="B216" s="139">
        <v>1.08888</v>
      </c>
      <c r="C216" s="137">
        <v>54.66167070751598</v>
      </c>
      <c r="D216" s="137">
        <v>1.0090097337301906</v>
      </c>
      <c r="E216" s="137">
        <v>1.0</v>
      </c>
      <c r="F216" s="137">
        <v>0.6921654332754995</v>
      </c>
      <c r="G216" s="137">
        <v>34724.07098719895</v>
      </c>
      <c r="H216" s="137">
        <v>54.66167070751598</v>
      </c>
      <c r="I216" s="137">
        <v>0.0</v>
      </c>
      <c r="J216" s="138">
        <v>0.0012906699420271294</v>
      </c>
      <c r="K216" s="140">
        <v>0.0</v>
      </c>
    </row>
    <row r="217">
      <c r="A217" s="55">
        <v>45259.95975127315</v>
      </c>
      <c r="B217" s="139">
        <v>1.09683</v>
      </c>
      <c r="C217" s="137">
        <v>54.074013292853046</v>
      </c>
      <c r="D217" s="137">
        <v>1.0090097337301906</v>
      </c>
      <c r="E217" s="137">
        <v>1.0</v>
      </c>
      <c r="F217" s="137">
        <v>0.6764865319142447</v>
      </c>
      <c r="G217" s="137">
        <v>34464.99096831295</v>
      </c>
      <c r="H217" s="137">
        <v>54.074013292853046</v>
      </c>
      <c r="I217" s="137">
        <v>0.0</v>
      </c>
      <c r="J217" s="138">
        <v>9.435417081102085E-4</v>
      </c>
      <c r="K217" s="140">
        <v>0.0</v>
      </c>
    </row>
    <row r="218">
      <c r="A218" s="55">
        <v>45258.959742928244</v>
      </c>
      <c r="B218" s="139">
        <v>1.09836</v>
      </c>
      <c r="C218" s="137">
        <v>52.85152409046214</v>
      </c>
      <c r="D218" s="137">
        <v>1.0090097337301906</v>
      </c>
      <c r="E218" s="137">
        <v>1.0</v>
      </c>
      <c r="F218" s="137">
        <v>0.6824930152351361</v>
      </c>
      <c r="G218" s="137">
        <v>33914.353264395184</v>
      </c>
      <c r="H218" s="137">
        <v>52.85152409046214</v>
      </c>
      <c r="I218" s="137">
        <v>0.0</v>
      </c>
      <c r="J218" s="138">
        <v>9.262445934423995E-4</v>
      </c>
      <c r="K218" s="140">
        <v>0.0</v>
      </c>
    </row>
    <row r="219">
      <c r="A219" s="55">
        <v>45257.95973665509</v>
      </c>
      <c r="B219" s="139">
        <v>1.09334</v>
      </c>
      <c r="C219" s="137">
        <v>49.902134743080836</v>
      </c>
      <c r="D219" s="137">
        <v>1.009049473091465</v>
      </c>
      <c r="E219" s="137">
        <v>1.0</v>
      </c>
      <c r="F219" s="137">
        <v>0.6817859771718331</v>
      </c>
      <c r="G219" s="137">
        <v>34291.10632192008</v>
      </c>
      <c r="H219" s="137">
        <v>49.902134743080836</v>
      </c>
      <c r="I219" s="137">
        <v>0.0</v>
      </c>
      <c r="J219" s="138">
        <v>8.159769341835452E-4</v>
      </c>
      <c r="K219" s="140">
        <v>0.0</v>
      </c>
    </row>
    <row r="220">
      <c r="A220" s="55">
        <v>45256.959722326385</v>
      </c>
      <c r="B220" s="139">
        <v>1.09317</v>
      </c>
      <c r="C220" s="137">
        <v>53.03841122606731</v>
      </c>
      <c r="D220" s="137">
        <v>1.009049473091465</v>
      </c>
      <c r="E220" s="137">
        <v>1.0</v>
      </c>
      <c r="F220" s="137">
        <v>0.6909751393925245</v>
      </c>
      <c r="G220" s="137">
        <v>34587.34951220139</v>
      </c>
      <c r="H220" s="137">
        <v>53.03841122606731</v>
      </c>
      <c r="I220" s="137">
        <v>0.0</v>
      </c>
      <c r="J220" s="138">
        <v>6.507178145687125E-4</v>
      </c>
      <c r="K220" s="140">
        <v>0.0</v>
      </c>
    </row>
    <row r="221">
      <c r="A221" s="55">
        <v>45255.95972424769</v>
      </c>
      <c r="B221" s="139">
        <v>1.0941400000000001</v>
      </c>
      <c r="C221" s="137">
        <v>53.704279159888124</v>
      </c>
      <c r="D221" s="137">
        <v>1.009049473091465</v>
      </c>
      <c r="E221" s="137">
        <v>1.0</v>
      </c>
      <c r="F221" s="137">
        <v>0.7026357912088727</v>
      </c>
      <c r="G221" s="137">
        <v>34491.86730900177</v>
      </c>
      <c r="H221" s="137">
        <v>53.704279159888124</v>
      </c>
      <c r="I221" s="137">
        <v>0.0</v>
      </c>
      <c r="J221" s="138">
        <v>4.739918113120868E-4</v>
      </c>
      <c r="K221" s="140">
        <v>0.0</v>
      </c>
    </row>
    <row r="222">
      <c r="A222" s="55">
        <v>45254.95973581019</v>
      </c>
      <c r="B222" s="139">
        <v>1.09368</v>
      </c>
      <c r="C222" s="137">
        <v>52.19076878063053</v>
      </c>
      <c r="D222" s="137">
        <v>1.0088750703885447</v>
      </c>
      <c r="E222" s="137">
        <v>1.0</v>
      </c>
      <c r="F222" s="137">
        <v>0.6975217280105332</v>
      </c>
      <c r="G222" s="137">
        <v>34098.92850507159</v>
      </c>
      <c r="H222" s="137">
        <v>52.19076878063053</v>
      </c>
      <c r="I222" s="137">
        <v>0.0</v>
      </c>
      <c r="J222" s="138">
        <v>4.447450789243247E-4</v>
      </c>
      <c r="K222" s="140">
        <v>0.0</v>
      </c>
    </row>
    <row r="223">
      <c r="A223" s="55">
        <v>45253.95973324074</v>
      </c>
      <c r="B223" s="139">
        <v>1.09052</v>
      </c>
      <c r="C223" s="137">
        <v>52.158603235153876</v>
      </c>
      <c r="D223" s="137">
        <v>1.008848845627866</v>
      </c>
      <c r="E223" s="137">
        <v>1.0</v>
      </c>
      <c r="F223" s="137">
        <v>0.6857187947252981</v>
      </c>
      <c r="G223" s="137">
        <v>34355.01681052067</v>
      </c>
      <c r="H223" s="137">
        <v>52.158603235153876</v>
      </c>
      <c r="I223" s="137">
        <v>0.0</v>
      </c>
      <c r="J223" s="138">
        <v>3.8932736964251735E-4</v>
      </c>
      <c r="K223" s="140">
        <v>0.0</v>
      </c>
    </row>
    <row r="224">
      <c r="A224" s="55">
        <v>45252.95972850695</v>
      </c>
      <c r="B224" s="139">
        <v>1.08755</v>
      </c>
      <c r="C224" s="137">
        <v>53.146981747965604</v>
      </c>
      <c r="D224" s="137">
        <v>1.008848845627866</v>
      </c>
      <c r="E224" s="137">
        <v>1.0</v>
      </c>
      <c r="F224" s="137">
        <v>0.6881220898725998</v>
      </c>
      <c r="G224" s="137">
        <v>33070.07527072843</v>
      </c>
      <c r="H224" s="137">
        <v>53.146981747965604</v>
      </c>
      <c r="I224" s="137">
        <v>0.0</v>
      </c>
      <c r="J224" s="138">
        <v>3.832669530001234E-4</v>
      </c>
      <c r="K224" s="140">
        <v>0.0</v>
      </c>
    </row>
    <row r="225">
      <c r="A225" s="55">
        <v>45251.95972068287</v>
      </c>
      <c r="B225" s="139">
        <v>1.09157</v>
      </c>
      <c r="C225" s="137">
        <v>47.921800709070425</v>
      </c>
      <c r="D225" s="137">
        <v>1.008848845627866</v>
      </c>
      <c r="E225" s="137">
        <v>1.0</v>
      </c>
      <c r="F225" s="137">
        <v>0.662743027287868</v>
      </c>
      <c r="G225" s="137">
        <v>34344.38329269035</v>
      </c>
      <c r="H225" s="137">
        <v>47.921800709070425</v>
      </c>
      <c r="I225" s="137">
        <v>0.0</v>
      </c>
      <c r="J225" s="138">
        <v>4.403787429337023E-4</v>
      </c>
      <c r="K225" s="140">
        <v>0.0</v>
      </c>
    </row>
    <row r="226">
      <c r="A226" s="55">
        <v>45250.95971065972</v>
      </c>
      <c r="B226" s="139">
        <v>1.09467</v>
      </c>
      <c r="C226" s="137">
        <v>51.558917299277404</v>
      </c>
      <c r="D226" s="137">
        <v>1.0084691497063791</v>
      </c>
      <c r="E226" s="137">
        <v>1.0</v>
      </c>
      <c r="F226" s="137">
        <v>0.6842457400187527</v>
      </c>
      <c r="G226" s="137">
        <v>34178.33192460312</v>
      </c>
      <c r="H226" s="137">
        <v>51.558917299277404</v>
      </c>
      <c r="I226" s="137">
        <v>0.0</v>
      </c>
      <c r="J226" s="138">
        <v>4.480960628687757E-4</v>
      </c>
      <c r="K226" s="140">
        <v>0.0</v>
      </c>
    </row>
    <row r="227">
      <c r="A227" s="55">
        <v>45249.95968988426</v>
      </c>
      <c r="B227" s="139">
        <v>1.0909</v>
      </c>
      <c r="C227" s="137">
        <v>55.596296635805295</v>
      </c>
      <c r="D227" s="137">
        <v>1.0084691497063791</v>
      </c>
      <c r="E227" s="137">
        <v>1.0</v>
      </c>
      <c r="F227" s="137">
        <v>0.6749319176580677</v>
      </c>
      <c r="G227" s="137">
        <v>33534.11718940572</v>
      </c>
      <c r="H227" s="137">
        <v>55.596296635805295</v>
      </c>
      <c r="I227" s="137">
        <v>0.0</v>
      </c>
      <c r="J227" s="138">
        <v>3.872125061926528E-4</v>
      </c>
      <c r="K227" s="140">
        <v>0.0</v>
      </c>
    </row>
    <row r="228">
      <c r="A228" s="55">
        <v>45248.95970561342</v>
      </c>
      <c r="B228" s="139">
        <v>1.0906600000000002</v>
      </c>
      <c r="C228" s="137">
        <v>53.628078411237226</v>
      </c>
      <c r="D228" s="137">
        <v>1.0084691497063791</v>
      </c>
      <c r="E228" s="137">
        <v>1.0</v>
      </c>
      <c r="F228" s="137">
        <v>0.6630896548986457</v>
      </c>
      <c r="G228" s="137">
        <v>33491.42741579172</v>
      </c>
      <c r="H228" s="137">
        <v>53.628078411237226</v>
      </c>
      <c r="I228" s="137">
        <v>0.0</v>
      </c>
      <c r="J228" s="138">
        <v>4.040233626302721E-4</v>
      </c>
      <c r="K228" s="140">
        <v>0.0</v>
      </c>
    </row>
    <row r="229">
      <c r="A229" s="55">
        <v>45247.95971248843</v>
      </c>
      <c r="B229" s="139">
        <v>1.09012</v>
      </c>
      <c r="C229" s="137">
        <v>53.66381682750523</v>
      </c>
      <c r="D229" s="137">
        <v>1.0088292172793822</v>
      </c>
      <c r="E229" s="137">
        <v>1.0</v>
      </c>
      <c r="F229" s="137">
        <v>0.6642975158163551</v>
      </c>
      <c r="G229" s="137">
        <v>33208.74409373409</v>
      </c>
      <c r="H229" s="137">
        <v>53.66381682750523</v>
      </c>
      <c r="I229" s="137">
        <v>0.0</v>
      </c>
      <c r="J229" s="138">
        <v>4.5560940048371525E-4</v>
      </c>
      <c r="K229" s="140">
        <v>0.0</v>
      </c>
    </row>
    <row r="230">
      <c r="A230" s="55">
        <v>45246.959713344906</v>
      </c>
      <c r="B230" s="139">
        <v>1.08569</v>
      </c>
      <c r="C230" s="137">
        <v>54.47227109027438</v>
      </c>
      <c r="D230" s="137">
        <v>1.0088292172793822</v>
      </c>
      <c r="E230" s="137">
        <v>1.0</v>
      </c>
      <c r="F230" s="137">
        <v>0.669213806517143</v>
      </c>
      <c r="G230" s="137">
        <v>34912.04897499553</v>
      </c>
      <c r="H230" s="137">
        <v>54.47227109027438</v>
      </c>
      <c r="I230" s="137">
        <v>0.0</v>
      </c>
      <c r="J230" s="138">
        <v>4.23484024752613E-4</v>
      </c>
      <c r="K230" s="140">
        <v>0.0</v>
      </c>
    </row>
    <row r="231">
      <c r="A231" s="55">
        <v>45245.95970489584</v>
      </c>
      <c r="B231" s="139">
        <v>1.08473</v>
      </c>
      <c r="C231" s="137">
        <v>60.29150111087552</v>
      </c>
      <c r="D231" s="137">
        <v>1.0087178827125733</v>
      </c>
      <c r="E231" s="137">
        <v>1.0</v>
      </c>
      <c r="F231" s="137">
        <v>0.699087820302089</v>
      </c>
      <c r="G231" s="137">
        <v>32768.70874176431</v>
      </c>
      <c r="H231" s="137">
        <v>60.29150111087552</v>
      </c>
      <c r="I231" s="137">
        <v>0.0</v>
      </c>
      <c r="J231" s="138">
        <v>4.05688531139947E-4</v>
      </c>
      <c r="K231" s="140">
        <v>0.0</v>
      </c>
    </row>
    <row r="232">
      <c r="A232" s="55">
        <v>45244.959729016206</v>
      </c>
      <c r="B232" s="139">
        <v>1.0878599999999998</v>
      </c>
      <c r="C232" s="137">
        <v>52.23098560476533</v>
      </c>
      <c r="D232" s="137">
        <v>1.0087178827125733</v>
      </c>
      <c r="E232" s="137">
        <v>1.0</v>
      </c>
      <c r="F232" s="137">
        <v>0.6618061341950914</v>
      </c>
      <c r="G232" s="137">
        <v>33597.30300617571</v>
      </c>
      <c r="H232" s="137">
        <v>52.23098560476533</v>
      </c>
      <c r="I232" s="137">
        <v>0.0</v>
      </c>
      <c r="J232" s="138">
        <v>3.7111528722708417E-4</v>
      </c>
      <c r="K232" s="140">
        <v>0.0</v>
      </c>
    </row>
    <row r="233">
      <c r="A233" s="55">
        <v>45243.95969236111</v>
      </c>
      <c r="B233" s="139">
        <v>1.06981</v>
      </c>
      <c r="C233" s="137">
        <v>48.746973761696005</v>
      </c>
      <c r="D233" s="137">
        <v>1.0087178827125733</v>
      </c>
      <c r="E233" s="137">
        <v>1.0</v>
      </c>
      <c r="F233" s="137">
        <v>0.6950850131359289</v>
      </c>
      <c r="G233" s="137">
        <v>34648.86006124452</v>
      </c>
      <c r="H233" s="137">
        <v>48.746973761696005</v>
      </c>
      <c r="I233" s="137">
        <v>0.0</v>
      </c>
      <c r="J233" s="138">
        <v>5.112036746816885E-4</v>
      </c>
      <c r="K233" s="140">
        <v>0.0</v>
      </c>
    </row>
    <row r="234">
      <c r="A234" s="55">
        <v>45242.959707789356</v>
      </c>
      <c r="B234" s="139">
        <v>1.06871</v>
      </c>
      <c r="C234" s="137">
        <v>53.36340073546612</v>
      </c>
      <c r="D234" s="137">
        <v>1.0087178827125733</v>
      </c>
      <c r="E234" s="137">
        <v>1.0</v>
      </c>
      <c r="F234" s="137">
        <v>0.6865776305941163</v>
      </c>
      <c r="G234" s="137">
        <v>34736.011475804</v>
      </c>
      <c r="H234" s="137">
        <v>53.36340073546612</v>
      </c>
      <c r="I234" s="137">
        <v>0.0</v>
      </c>
      <c r="J234" s="138">
        <v>3.777682325855304E-4</v>
      </c>
      <c r="K234" s="140">
        <v>0.0</v>
      </c>
    </row>
    <row r="235">
      <c r="A235" s="55">
        <v>45241.95971466435</v>
      </c>
      <c r="B235" s="139">
        <v>1.06927</v>
      </c>
      <c r="C235" s="137">
        <v>54.60734893899577</v>
      </c>
      <c r="D235" s="137">
        <v>1.0087178827125733</v>
      </c>
      <c r="E235" s="137">
        <v>1.0</v>
      </c>
      <c r="F235" s="137">
        <v>0.6778854557517812</v>
      </c>
      <c r="G235" s="137">
        <v>34924.9946231731</v>
      </c>
      <c r="H235" s="137">
        <v>54.60734893899577</v>
      </c>
      <c r="I235" s="137">
        <v>0.0</v>
      </c>
      <c r="J235" s="138">
        <v>3.796598095755125E-4</v>
      </c>
      <c r="K235" s="140">
        <v>0.0</v>
      </c>
    </row>
    <row r="236">
      <c r="A236" s="55">
        <v>45240.95970319444</v>
      </c>
      <c r="B236" s="139">
        <v>1.0673499999999998</v>
      </c>
      <c r="C236" s="137">
        <v>53.06600459080902</v>
      </c>
      <c r="D236" s="137">
        <v>1.0078835170139169</v>
      </c>
      <c r="E236" s="137">
        <v>1.0</v>
      </c>
      <c r="F236" s="137">
        <v>0.6956104246714996</v>
      </c>
      <c r="G236" s="137">
        <v>34448.32605904971</v>
      </c>
      <c r="H236" s="137">
        <v>53.06600459080902</v>
      </c>
      <c r="I236" s="137">
        <v>0.0</v>
      </c>
      <c r="J236" s="138">
        <v>4.7988629240975375E-4</v>
      </c>
      <c r="K236" s="140">
        <v>0.0</v>
      </c>
    </row>
    <row r="237">
      <c r="A237" s="55">
        <v>45239.959727650465</v>
      </c>
      <c r="B237" s="139">
        <v>1.06677</v>
      </c>
      <c r="C237" s="137">
        <v>42.61462170852199</v>
      </c>
      <c r="D237" s="137">
        <v>1.0078835170139169</v>
      </c>
      <c r="E237" s="137">
        <v>1.0</v>
      </c>
      <c r="F237" s="137">
        <v>0.7013744260091875</v>
      </c>
      <c r="G237" s="137">
        <v>33554.63748578428</v>
      </c>
      <c r="H237" s="137">
        <v>42.61462170852199</v>
      </c>
      <c r="I237" s="137">
        <v>0.0</v>
      </c>
      <c r="J237" s="138">
        <v>5.19127109192941E-4</v>
      </c>
      <c r="K237" s="140">
        <v>0.0</v>
      </c>
    </row>
    <row r="238">
      <c r="A238" s="55">
        <v>45238.959730937495</v>
      </c>
      <c r="B238" s="139">
        <v>1.07094</v>
      </c>
      <c r="C238" s="137">
        <v>40.38508226417913</v>
      </c>
      <c r="D238" s="137">
        <v>1.007754806532057</v>
      </c>
      <c r="E238" s="137">
        <v>1.0</v>
      </c>
      <c r="F238" s="137">
        <v>0.6423778701190366</v>
      </c>
      <c r="G238" s="137">
        <v>33089.19045845669</v>
      </c>
      <c r="H238" s="137">
        <v>40.38508226417913</v>
      </c>
      <c r="I238" s="137">
        <v>0.0</v>
      </c>
      <c r="J238" s="138">
        <v>4.43982611991226E-4</v>
      </c>
      <c r="K238" s="140">
        <v>0.0</v>
      </c>
    </row>
    <row r="239">
      <c r="A239" s="55">
        <v>45237.95969188657</v>
      </c>
      <c r="B239" s="139">
        <v>1.06958</v>
      </c>
      <c r="C239" s="137">
        <v>40.30554049252978</v>
      </c>
      <c r="D239" s="137">
        <v>1.007754806532057</v>
      </c>
      <c r="E239" s="137">
        <v>1.0</v>
      </c>
      <c r="F239" s="137">
        <v>0.6495889454931955</v>
      </c>
      <c r="G239" s="137">
        <v>32752.35969454085</v>
      </c>
      <c r="H239" s="137">
        <v>40.30554049252978</v>
      </c>
      <c r="I239" s="137">
        <v>0.0</v>
      </c>
      <c r="J239" s="138">
        <v>4.214286430779409E-4</v>
      </c>
      <c r="K239" s="140">
        <v>0.0</v>
      </c>
    </row>
    <row r="240">
      <c r="A240" s="55">
        <v>45236.95972704861</v>
      </c>
      <c r="B240" s="139">
        <v>1.0719</v>
      </c>
      <c r="C240" s="137">
        <v>38.268495195447336</v>
      </c>
      <c r="D240" s="137">
        <v>1.007690451291127</v>
      </c>
      <c r="E240" s="137">
        <v>1.0</v>
      </c>
      <c r="F240" s="137">
        <v>0.6564842091246141</v>
      </c>
      <c r="G240" s="137">
        <v>32710.07439984672</v>
      </c>
      <c r="H240" s="137">
        <v>38.268495195447336</v>
      </c>
      <c r="I240" s="137">
        <v>0.0</v>
      </c>
      <c r="J240" s="138">
        <v>2.585123394366725E-4</v>
      </c>
      <c r="K240" s="140">
        <v>0.0</v>
      </c>
    </row>
    <row r="241">
      <c r="A241" s="55">
        <v>45235.959730937495</v>
      </c>
      <c r="B241" s="139">
        <v>1.07262</v>
      </c>
      <c r="C241" s="137">
        <v>38.14025470343645</v>
      </c>
      <c r="D241" s="137">
        <v>1.006981026338964</v>
      </c>
      <c r="E241" s="137">
        <v>1.0</v>
      </c>
      <c r="F241" s="137">
        <v>0.649989309527831</v>
      </c>
      <c r="G241" s="137">
        <v>32675.512143071177</v>
      </c>
      <c r="H241" s="137">
        <v>38.14025470343645</v>
      </c>
      <c r="I241" s="137">
        <v>0.0</v>
      </c>
      <c r="J241" s="138">
        <v>1.9930303445519362E-4</v>
      </c>
      <c r="K241" s="140">
        <v>0.0</v>
      </c>
    </row>
    <row r="242">
      <c r="A242" s="55">
        <v>45234.95971137732</v>
      </c>
      <c r="B242" s="139">
        <v>1.07262</v>
      </c>
      <c r="C242" s="137">
        <v>39.46411590311574</v>
      </c>
      <c r="D242" s="137">
        <v>1.006981026338964</v>
      </c>
      <c r="E242" s="137">
        <v>1.0</v>
      </c>
      <c r="F242" s="137">
        <v>0.6365741599506797</v>
      </c>
      <c r="G242" s="137">
        <v>32379.94944059201</v>
      </c>
      <c r="H242" s="137">
        <v>39.46411590311574</v>
      </c>
      <c r="I242" s="137">
        <v>0.0</v>
      </c>
      <c r="J242" s="138">
        <v>1.8806922411746243E-4</v>
      </c>
      <c r="K242" s="140">
        <v>0.0</v>
      </c>
    </row>
    <row r="243">
      <c r="A243" s="55">
        <v>45233.95972947917</v>
      </c>
      <c r="B243" s="139">
        <v>1.07366</v>
      </c>
      <c r="C243" s="137">
        <v>37.00426578246372</v>
      </c>
      <c r="D243" s="137">
        <v>1.006981026338964</v>
      </c>
      <c r="E243" s="137">
        <v>1.0</v>
      </c>
      <c r="F243" s="137">
        <v>0.6329438362761414</v>
      </c>
      <c r="G243" s="137">
        <v>32528.04002239368</v>
      </c>
      <c r="H243" s="137">
        <v>37.00426578246372</v>
      </c>
      <c r="I243" s="137">
        <v>0.0</v>
      </c>
      <c r="J243" s="138">
        <v>1.9555679344322968E-4</v>
      </c>
      <c r="K243" s="140">
        <v>0.0</v>
      </c>
    </row>
    <row r="244">
      <c r="A244" s="55">
        <v>45232.95970552083</v>
      </c>
      <c r="B244" s="139">
        <v>1.0623699999999998</v>
      </c>
      <c r="C244" s="137">
        <v>37.68931728117323</v>
      </c>
      <c r="D244" s="137">
        <v>1.006981026338964</v>
      </c>
      <c r="E244" s="137">
        <v>1.0</v>
      </c>
      <c r="F244" s="137">
        <v>0.6132548539739084</v>
      </c>
      <c r="G244" s="137">
        <v>33375.805898232735</v>
      </c>
      <c r="H244" s="137">
        <v>37.68931728117323</v>
      </c>
      <c r="I244" s="137">
        <v>0.0</v>
      </c>
      <c r="J244" s="138">
        <v>1.9827704999078147E-4</v>
      </c>
      <c r="K244" s="140">
        <v>0.0</v>
      </c>
    </row>
    <row r="245">
      <c r="A245" s="55">
        <v>45231.959712372685</v>
      </c>
      <c r="B245" s="139">
        <v>1.05703</v>
      </c>
      <c r="C245" s="137">
        <v>40.46242774566475</v>
      </c>
      <c r="D245" s="137">
        <v>1.006981026338964</v>
      </c>
      <c r="E245" s="137">
        <v>1.0</v>
      </c>
      <c r="F245" s="137">
        <v>0.6182424403715846</v>
      </c>
      <c r="G245" s="137">
        <v>32801.61327889322</v>
      </c>
      <c r="H245" s="137">
        <v>40.46242774566475</v>
      </c>
      <c r="I245" s="137">
        <v>0.0</v>
      </c>
      <c r="J245" s="138">
        <v>1.6904439813640444E-4</v>
      </c>
      <c r="K245" s="140">
        <v>0.0</v>
      </c>
    </row>
    <row r="246">
      <c r="A246" s="55">
        <v>45230.95970917824</v>
      </c>
      <c r="B246" s="139">
        <v>1.05756</v>
      </c>
      <c r="C246" s="137">
        <v>35.61972843148379</v>
      </c>
      <c r="D246" s="137">
        <v>1.0068010567608678</v>
      </c>
      <c r="E246" s="137">
        <v>1.0</v>
      </c>
      <c r="F246" s="137">
        <v>0.6025315980563939</v>
      </c>
      <c r="G246" s="137">
        <v>32621.03702812512</v>
      </c>
      <c r="H246" s="137">
        <v>35.61972843148379</v>
      </c>
      <c r="I246" s="137">
        <v>0.0</v>
      </c>
      <c r="J246" s="138">
        <v>1.6812445315109617E-4</v>
      </c>
      <c r="K246" s="140">
        <v>0.0</v>
      </c>
    </row>
    <row r="247">
      <c r="A247" s="55">
        <v>45229.95981351852</v>
      </c>
      <c r="B247" s="139">
        <v>1.0616700000000001</v>
      </c>
      <c r="C247" s="137">
        <v>32.92925296937843</v>
      </c>
      <c r="D247" s="137">
        <v>1.0068010567608678</v>
      </c>
      <c r="E247" s="137">
        <v>1.0</v>
      </c>
      <c r="F247" s="137">
        <v>0.5985797255859494</v>
      </c>
      <c r="G247" s="137">
        <v>32548.949122384165</v>
      </c>
      <c r="H247" s="137">
        <v>32.92925296937843</v>
      </c>
      <c r="I247" s="137">
        <v>0.0</v>
      </c>
      <c r="J247" s="138">
        <v>1.7687290228825768E-4</v>
      </c>
      <c r="K247" s="140">
        <v>0.0</v>
      </c>
    </row>
    <row r="248">
      <c r="A248" s="55">
        <v>45228.95969960648</v>
      </c>
      <c r="B248" s="139">
        <v>1.0560999999999998</v>
      </c>
      <c r="C248" s="137">
        <v>31.22810339929931</v>
      </c>
      <c r="D248" s="137">
        <v>1.0068010567608678</v>
      </c>
      <c r="E248" s="137">
        <v>1.0</v>
      </c>
      <c r="F248" s="137">
        <v>0.5962658629050261</v>
      </c>
      <c r="G248" s="137">
        <v>32281.631410698334</v>
      </c>
      <c r="H248" s="137">
        <v>31.22810339929931</v>
      </c>
      <c r="I248" s="137">
        <v>0.0</v>
      </c>
      <c r="J248" s="138">
        <v>1.9903634725714284E-4</v>
      </c>
      <c r="K248" s="140">
        <v>0.0</v>
      </c>
    </row>
    <row r="249">
      <c r="A249" s="55">
        <v>45227.95971542824</v>
      </c>
      <c r="B249" s="139">
        <v>1.0566300000000002</v>
      </c>
      <c r="C249" s="137">
        <v>30.256570417269995</v>
      </c>
      <c r="D249" s="137">
        <v>1.0066124409574895</v>
      </c>
      <c r="E249" s="137">
        <v>1.0</v>
      </c>
      <c r="F249" s="137">
        <v>0.5848509613070724</v>
      </c>
      <c r="G249" s="137">
        <v>32082.27388626132</v>
      </c>
      <c r="H249" s="137">
        <v>30.256570417269995</v>
      </c>
      <c r="I249" s="137">
        <v>0.0</v>
      </c>
      <c r="J249" s="138">
        <v>1.5563264213928524E-4</v>
      </c>
      <c r="K249" s="140">
        <v>0.0</v>
      </c>
    </row>
    <row r="250">
      <c r="A250" s="55">
        <v>45226.95971321759</v>
      </c>
      <c r="B250" s="139">
        <v>1.05566</v>
      </c>
      <c r="C250" s="137">
        <v>30.30331735596688</v>
      </c>
      <c r="D250" s="137">
        <v>1.0066124409574895</v>
      </c>
      <c r="E250" s="137">
        <v>1.0</v>
      </c>
      <c r="F250" s="137">
        <v>0.5826137842851505</v>
      </c>
      <c r="G250" s="137">
        <v>32372.593025133563</v>
      </c>
      <c r="H250" s="137">
        <v>30.30331735596688</v>
      </c>
      <c r="I250" s="137">
        <v>0.0</v>
      </c>
      <c r="J250" s="138">
        <v>1.5031480226129534E-4</v>
      </c>
      <c r="K250" s="140">
        <v>0.0</v>
      </c>
    </row>
    <row r="251">
      <c r="A251" s="55">
        <v>45225.95970664352</v>
      </c>
      <c r="B251" s="139">
        <v>1.05566</v>
      </c>
      <c r="C251" s="137">
        <v>30.55908152245988</v>
      </c>
      <c r="D251" s="137">
        <v>1.0066124409574895</v>
      </c>
      <c r="E251" s="137">
        <v>1.0</v>
      </c>
      <c r="F251" s="137">
        <v>0.5843708879953194</v>
      </c>
      <c r="G251" s="137">
        <v>32654.439906477463</v>
      </c>
      <c r="H251" s="137">
        <v>30.55908152245988</v>
      </c>
      <c r="I251" s="137">
        <v>0.0</v>
      </c>
      <c r="J251" s="138">
        <v>1.499684166297663E-4</v>
      </c>
      <c r="K251" s="140">
        <v>0.0</v>
      </c>
    </row>
    <row r="252">
      <c r="A252" s="55">
        <v>45224.95971236112</v>
      </c>
      <c r="B252" s="139">
        <v>1.05688</v>
      </c>
      <c r="C252" s="137">
        <v>30.344031488910755</v>
      </c>
      <c r="D252" s="137">
        <v>1.0066124409574895</v>
      </c>
      <c r="E252" s="137">
        <v>1.0</v>
      </c>
      <c r="F252" s="137">
        <v>0.5904350949305398</v>
      </c>
      <c r="G252" s="137">
        <v>32025.134601215086</v>
      </c>
      <c r="H252" s="137">
        <v>30.344031488910755</v>
      </c>
      <c r="I252" s="137">
        <v>0.0</v>
      </c>
      <c r="J252" s="138">
        <v>1.5509476172869484E-4</v>
      </c>
      <c r="K252" s="140">
        <v>0.0</v>
      </c>
    </row>
    <row r="253">
      <c r="A253" s="55">
        <v>45223.959708055554</v>
      </c>
      <c r="B253" s="139">
        <v>1.05929</v>
      </c>
      <c r="C253" s="137">
        <v>28.264214709852826</v>
      </c>
      <c r="D253" s="137">
        <v>1.0058762308862381</v>
      </c>
      <c r="E253" s="137">
        <v>1.0</v>
      </c>
      <c r="F253" s="137">
        <v>0.5789610638640976</v>
      </c>
      <c r="G253" s="137">
        <v>31108.82077696466</v>
      </c>
      <c r="H253" s="137">
        <v>28.264214709852826</v>
      </c>
      <c r="I253" s="137">
        <v>0.0</v>
      </c>
      <c r="J253" s="138">
        <v>1.5205309226522175E-4</v>
      </c>
      <c r="K253" s="140">
        <v>0.0</v>
      </c>
    </row>
    <row r="254">
      <c r="A254" s="55">
        <v>45222.95972961806</v>
      </c>
      <c r="B254" s="139">
        <v>1.06677</v>
      </c>
      <c r="C254" s="137">
        <v>28.16914611397021</v>
      </c>
      <c r="D254" s="137">
        <v>1.0058762308862381</v>
      </c>
      <c r="E254" s="137">
        <v>1.0</v>
      </c>
      <c r="F254" s="137">
        <v>0.5642358903188214</v>
      </c>
      <c r="G254" s="137">
        <v>28140.44311413285</v>
      </c>
      <c r="H254" s="137">
        <v>28.16914611397021</v>
      </c>
      <c r="I254" s="137">
        <v>0.0</v>
      </c>
      <c r="J254" s="138">
        <v>1.467910635355357E-4</v>
      </c>
      <c r="K254" s="140">
        <v>0.0</v>
      </c>
    </row>
    <row r="255">
      <c r="A255" s="55">
        <v>45221.95971795139</v>
      </c>
      <c r="B255" s="139">
        <v>1.0597999999999999</v>
      </c>
      <c r="C255" s="137">
        <v>27.22211738063786</v>
      </c>
      <c r="D255" s="137">
        <v>1.0058762308862381</v>
      </c>
      <c r="E255" s="137">
        <v>1.0</v>
      </c>
      <c r="F255" s="137">
        <v>0.5290864174669646</v>
      </c>
      <c r="G255" s="137">
        <v>28231.81212743103</v>
      </c>
      <c r="H255" s="137">
        <v>27.22211738063786</v>
      </c>
      <c r="I255" s="137">
        <v>0.0</v>
      </c>
      <c r="J255" s="138">
        <v>1.6396064857852335E-4</v>
      </c>
      <c r="K255" s="140">
        <v>0.0</v>
      </c>
    </row>
    <row r="256">
      <c r="A256" s="55">
        <v>45220.959692476856</v>
      </c>
      <c r="B256" s="139">
        <v>1.05963</v>
      </c>
      <c r="C256" s="137">
        <v>28.32120645885828</v>
      </c>
      <c r="D256" s="137">
        <v>1.0056948202705949</v>
      </c>
      <c r="E256" s="137">
        <v>1.0</v>
      </c>
      <c r="F256" s="137">
        <v>0.5294091775148703</v>
      </c>
      <c r="G256" s="137">
        <v>28007.316599639682</v>
      </c>
      <c r="H256" s="137">
        <v>28.32120645885828</v>
      </c>
      <c r="I256" s="137">
        <v>0.0</v>
      </c>
      <c r="J256" s="138">
        <v>1.2128594432193068E-4</v>
      </c>
      <c r="K256" s="140">
        <v>0.0</v>
      </c>
    </row>
    <row r="257">
      <c r="A257" s="55">
        <v>45219.95968734953</v>
      </c>
      <c r="B257" s="139">
        <v>1.05932</v>
      </c>
      <c r="C257" s="137">
        <v>25.393648755805607</v>
      </c>
      <c r="D257" s="137">
        <v>1.0056948202705949</v>
      </c>
      <c r="E257" s="137">
        <v>1.0</v>
      </c>
      <c r="F257" s="137">
        <v>0.5297319144000745</v>
      </c>
      <c r="G257" s="137">
        <v>27107.718293252183</v>
      </c>
      <c r="H257" s="137">
        <v>25.393648755805607</v>
      </c>
      <c r="I257" s="137">
        <v>0.0</v>
      </c>
      <c r="J257" s="138">
        <v>1.175086383292999E-4</v>
      </c>
      <c r="K257" s="140">
        <v>0.0</v>
      </c>
    </row>
    <row r="258">
      <c r="A258" s="55">
        <v>45218.95970523148</v>
      </c>
      <c r="B258" s="139">
        <v>1.05809</v>
      </c>
      <c r="C258" s="137">
        <v>23.523518793297356</v>
      </c>
      <c r="D258" s="137">
        <v>1.0056948202705949</v>
      </c>
      <c r="E258" s="137">
        <v>1.0</v>
      </c>
      <c r="F258" s="137">
        <v>0.5077656748869529</v>
      </c>
      <c r="G258" s="137">
        <v>26773.00153874888</v>
      </c>
      <c r="H258" s="137">
        <v>23.523518793297356</v>
      </c>
      <c r="I258" s="137">
        <v>0.0</v>
      </c>
      <c r="J258" s="138">
        <v>1.0662618198735878E-4</v>
      </c>
      <c r="K258" s="140">
        <v>0.0</v>
      </c>
    </row>
    <row r="259">
      <c r="A259" s="55">
        <v>45217.95973268518</v>
      </c>
      <c r="B259" s="139">
        <v>1.0536800000000002</v>
      </c>
      <c r="C259" s="137">
        <v>22.34074861438007</v>
      </c>
      <c r="D259" s="137">
        <v>1.0057687738996013</v>
      </c>
      <c r="E259" s="137">
        <v>1.0</v>
      </c>
      <c r="F259" s="137">
        <v>0.5052844499115604</v>
      </c>
      <c r="G259" s="137">
        <v>26969.973570438648</v>
      </c>
      <c r="H259" s="137">
        <v>22.34074861438007</v>
      </c>
      <c r="I259" s="137">
        <v>0.0</v>
      </c>
      <c r="J259" s="138">
        <v>8.734663753079645E-5</v>
      </c>
      <c r="K259" s="140">
        <v>0.0</v>
      </c>
    </row>
    <row r="260">
      <c r="A260" s="55">
        <v>45216.95975121528</v>
      </c>
      <c r="B260" s="139">
        <v>1.05743</v>
      </c>
      <c r="C260" s="137">
        <v>22.791106739926047</v>
      </c>
      <c r="D260" s="137">
        <v>1.0057687738996013</v>
      </c>
      <c r="E260" s="137">
        <v>1.0</v>
      </c>
      <c r="F260" s="137">
        <v>0.4999675656139564</v>
      </c>
      <c r="G260" s="137">
        <v>26964.72573359683</v>
      </c>
      <c r="H260" s="137">
        <v>22.791106739926047</v>
      </c>
      <c r="I260" s="137">
        <v>0.0</v>
      </c>
      <c r="J260" s="138">
        <v>8.418178769826546E-5</v>
      </c>
      <c r="K260" s="140">
        <v>0.0</v>
      </c>
    </row>
    <row r="261">
      <c r="A261" s="55">
        <v>45215.959720520834</v>
      </c>
      <c r="B261" s="139">
        <v>1.0559</v>
      </c>
      <c r="C261" s="137">
        <v>22.672601572118573</v>
      </c>
      <c r="D261" s="137">
        <v>1.0057687738996013</v>
      </c>
      <c r="E261" s="137">
        <v>1.0</v>
      </c>
      <c r="F261" s="137">
        <v>0.5137434043839483</v>
      </c>
      <c r="G261" s="137">
        <v>25712.943461887488</v>
      </c>
      <c r="H261" s="137">
        <v>22.672601572118573</v>
      </c>
      <c r="I261" s="137">
        <v>0.0</v>
      </c>
      <c r="J261" s="138">
        <v>7.96641540279115E-5</v>
      </c>
      <c r="K261" s="140">
        <v>0.0</v>
      </c>
    </row>
    <row r="262">
      <c r="A262" s="55">
        <v>45214.95974092593</v>
      </c>
      <c r="B262" s="139">
        <v>1.0514400000000002</v>
      </c>
      <c r="C262" s="137">
        <v>20.866621014988965</v>
      </c>
      <c r="D262" s="137">
        <v>1.0057331380685055</v>
      </c>
      <c r="E262" s="137">
        <v>1.0</v>
      </c>
      <c r="F262" s="137">
        <v>0.5209713878868931</v>
      </c>
      <c r="G262" s="137">
        <v>25548.94579726841</v>
      </c>
      <c r="H262" s="137">
        <v>20.866621014988965</v>
      </c>
      <c r="I262" s="137">
        <v>0.0</v>
      </c>
      <c r="J262" s="138">
        <v>7.8603240040174E-5</v>
      </c>
      <c r="K262" s="140">
        <v>0.0</v>
      </c>
    </row>
    <row r="263">
      <c r="A263" s="55">
        <v>45213.959692268516</v>
      </c>
      <c r="B263" s="139">
        <v>1.05158</v>
      </c>
      <c r="C263" s="137">
        <v>20.854333479145666</v>
      </c>
      <c r="D263" s="137">
        <v>1.0057331380685055</v>
      </c>
      <c r="E263" s="137">
        <v>1.0</v>
      </c>
      <c r="F263" s="137">
        <v>0.5266953307366334</v>
      </c>
      <c r="G263" s="137">
        <v>25524.578463497215</v>
      </c>
      <c r="H263" s="137">
        <v>20.854333479145666</v>
      </c>
      <c r="I263" s="137">
        <v>0.0</v>
      </c>
      <c r="J263" s="138">
        <v>7.809097681256595E-5</v>
      </c>
      <c r="K263" s="140">
        <v>0.0</v>
      </c>
    </row>
    <row r="264">
      <c r="A264" s="55">
        <v>45212.95971616898</v>
      </c>
      <c r="B264" s="139">
        <v>1.05043</v>
      </c>
      <c r="C264" s="137">
        <v>20.99140352046305</v>
      </c>
      <c r="D264" s="137">
        <v>1.0057331380685055</v>
      </c>
      <c r="E264" s="137">
        <v>1.0</v>
      </c>
      <c r="F264" s="137">
        <v>0.5246448334732872</v>
      </c>
      <c r="G264" s="137">
        <v>25445.900446307798</v>
      </c>
      <c r="H264" s="137">
        <v>20.99140352046305</v>
      </c>
      <c r="I264" s="137">
        <v>0.0</v>
      </c>
      <c r="J264" s="138">
        <v>8.680442828311457E-5</v>
      </c>
      <c r="K264" s="140">
        <v>0.0</v>
      </c>
    </row>
    <row r="265">
      <c r="A265" s="55">
        <v>45211.95971297454</v>
      </c>
      <c r="B265" s="139">
        <v>1.05408</v>
      </c>
      <c r="C265" s="137">
        <v>20.09335154826958</v>
      </c>
      <c r="D265" s="137">
        <v>1.0057331380685055</v>
      </c>
      <c r="E265" s="137">
        <v>1.0</v>
      </c>
      <c r="F265" s="137">
        <v>0.5004914647813857</v>
      </c>
      <c r="G265" s="137">
        <v>25465.041020693214</v>
      </c>
      <c r="H265" s="137">
        <v>20.09335154826958</v>
      </c>
      <c r="I265" s="137">
        <v>0.0</v>
      </c>
      <c r="J265" s="138">
        <v>8.858954297828838E-5</v>
      </c>
      <c r="K265" s="140">
        <v>0.0</v>
      </c>
    </row>
    <row r="266">
      <c r="A266" s="55">
        <v>45210.95968509259</v>
      </c>
      <c r="B266" s="139">
        <v>1.0602</v>
      </c>
      <c r="C266" s="137">
        <v>20.581022448594606</v>
      </c>
      <c r="D266" s="137">
        <v>1.0057331380685055</v>
      </c>
      <c r="E266" s="137">
        <v>1.0</v>
      </c>
      <c r="F266" s="137">
        <v>0.49854641821674406</v>
      </c>
      <c r="G266" s="137">
        <v>25836.86823498623</v>
      </c>
      <c r="H266" s="137">
        <v>20.581022448594606</v>
      </c>
      <c r="I266" s="137">
        <v>0.0</v>
      </c>
      <c r="J266" s="138">
        <v>8.93290828072437E-5</v>
      </c>
      <c r="K266" s="140">
        <v>0.0</v>
      </c>
    </row>
    <row r="267">
      <c r="A267" s="55">
        <v>45209.95972629629</v>
      </c>
      <c r="B267" s="139">
        <v>1.0593599999999999</v>
      </c>
      <c r="C267" s="137">
        <v>20.82389367165081</v>
      </c>
      <c r="D267" s="137">
        <v>1.0057331380685055</v>
      </c>
      <c r="E267" s="137">
        <v>1.0</v>
      </c>
      <c r="F267" s="137">
        <v>0.5082340237070874</v>
      </c>
      <c r="G267" s="137">
        <v>26047.597166628533</v>
      </c>
      <c r="H267" s="137">
        <v>20.82389367165081</v>
      </c>
      <c r="I267" s="137">
        <v>0.0</v>
      </c>
      <c r="J267" s="138">
        <v>9.192306117855989E-5</v>
      </c>
      <c r="K267" s="140">
        <v>0.0</v>
      </c>
    </row>
    <row r="268">
      <c r="A268" s="55">
        <v>45208.95973084491</v>
      </c>
      <c r="B268" s="139">
        <v>1.0551300000000001</v>
      </c>
      <c r="C268" s="137">
        <v>21.02110640395022</v>
      </c>
      <c r="D268" s="137">
        <v>1.0057331380685055</v>
      </c>
      <c r="E268" s="137">
        <v>1.0</v>
      </c>
      <c r="F268" s="137">
        <v>0.522189467629819</v>
      </c>
      <c r="G268" s="137">
        <v>26487.8296055922</v>
      </c>
      <c r="H268" s="137">
        <v>21.02110640395022</v>
      </c>
      <c r="I268" s="137">
        <v>0.0</v>
      </c>
      <c r="J268" s="138">
        <v>9.613026590826449E-5</v>
      </c>
      <c r="K268" s="140">
        <v>0.0</v>
      </c>
    </row>
    <row r="269">
      <c r="A269" s="55">
        <v>45207.95972706018</v>
      </c>
      <c r="B269" s="139">
        <v>1.05559</v>
      </c>
      <c r="C269" s="137">
        <v>22.167697685654467</v>
      </c>
      <c r="D269" s="137">
        <v>1.0057331380685055</v>
      </c>
      <c r="E269" s="137">
        <v>1.0</v>
      </c>
      <c r="F269" s="137">
        <v>0.5199376539858713</v>
      </c>
      <c r="G269" s="137">
        <v>26504.17632859349</v>
      </c>
      <c r="H269" s="137">
        <v>22.167697685654467</v>
      </c>
      <c r="I269" s="137">
        <v>0.0</v>
      </c>
      <c r="J269" s="138">
        <v>9.787923457760631E-5</v>
      </c>
      <c r="K269" s="140">
        <v>0.0</v>
      </c>
    </row>
    <row r="270">
      <c r="A270" s="55">
        <v>45206.95973931713</v>
      </c>
      <c r="B270" s="139">
        <v>1.05902</v>
      </c>
      <c r="C270" s="137">
        <v>22.010915752299294</v>
      </c>
      <c r="D270" s="137">
        <v>1.0057331380685055</v>
      </c>
      <c r="E270" s="137">
        <v>1.0</v>
      </c>
      <c r="F270" s="137">
        <v>0.520436130727429</v>
      </c>
      <c r="G270" s="137">
        <v>26400.06462328417</v>
      </c>
      <c r="H270" s="137">
        <v>22.010915752299294</v>
      </c>
      <c r="I270" s="137">
        <v>0.0</v>
      </c>
      <c r="J270" s="138">
        <v>1.0330967563876394E-4</v>
      </c>
      <c r="K270" s="140">
        <v>0.0</v>
      </c>
    </row>
    <row r="271">
      <c r="A271" s="55">
        <v>45205.95971787037</v>
      </c>
      <c r="B271" s="139">
        <v>1.05949</v>
      </c>
      <c r="C271" s="137">
        <v>22.303183607207238</v>
      </c>
      <c r="D271" s="137">
        <v>1.0057331380685055</v>
      </c>
      <c r="E271" s="137">
        <v>1.0</v>
      </c>
      <c r="F271" s="137">
        <v>0.5239515006342561</v>
      </c>
      <c r="G271" s="137">
        <v>25895.359668458503</v>
      </c>
      <c r="H271" s="137">
        <v>22.303183607207238</v>
      </c>
      <c r="I271" s="137">
        <v>0.0</v>
      </c>
      <c r="J271" s="138">
        <v>1.1069563733311135E-4</v>
      </c>
      <c r="K271" s="140">
        <v>0.0</v>
      </c>
    </row>
    <row r="272">
      <c r="A272" s="55">
        <v>45204.959705914356</v>
      </c>
      <c r="B272" s="139">
        <v>1.05491</v>
      </c>
      <c r="C272" s="137">
        <v>21.556341299257756</v>
      </c>
      <c r="D272" s="137">
        <v>1.0057331380685055</v>
      </c>
      <c r="E272" s="137">
        <v>1.0</v>
      </c>
      <c r="F272" s="137">
        <v>0.5377562429977619</v>
      </c>
      <c r="G272" s="137">
        <v>26345.480919935635</v>
      </c>
      <c r="H272" s="137">
        <v>21.556341299257756</v>
      </c>
      <c r="I272" s="137">
        <v>0.0</v>
      </c>
      <c r="J272" s="138">
        <v>1.1739007320299144E-4</v>
      </c>
      <c r="K272" s="140">
        <v>0.0</v>
      </c>
    </row>
    <row r="273">
      <c r="A273" s="55">
        <v>45203.95969603009</v>
      </c>
      <c r="B273" s="139">
        <v>1.0504200000000001</v>
      </c>
      <c r="C273" s="137">
        <v>21.972163515546157</v>
      </c>
      <c r="D273" s="137">
        <v>1.0057331380685055</v>
      </c>
      <c r="E273" s="137">
        <v>1.0</v>
      </c>
      <c r="F273" s="137">
        <v>0.542922864167194</v>
      </c>
      <c r="G273" s="137">
        <v>26122.048272790977</v>
      </c>
      <c r="H273" s="137">
        <v>21.972163515546157</v>
      </c>
      <c r="I273" s="137">
        <v>0.0</v>
      </c>
      <c r="J273" s="138">
        <v>1.1897366461744519E-4</v>
      </c>
      <c r="K273" s="140">
        <v>0.0</v>
      </c>
    </row>
    <row r="274">
      <c r="A274" s="55">
        <v>45202.959692777775</v>
      </c>
      <c r="B274" s="139">
        <v>1.0473599999999998</v>
      </c>
      <c r="C274" s="137">
        <v>22.475557592422856</v>
      </c>
      <c r="D274" s="137">
        <v>1.0056709578171807</v>
      </c>
      <c r="E274" s="137">
        <v>1.0</v>
      </c>
      <c r="F274" s="137">
        <v>0.5268097328627255</v>
      </c>
      <c r="G274" s="137">
        <v>26366.35434339215</v>
      </c>
      <c r="H274" s="137">
        <v>22.475557592422856</v>
      </c>
      <c r="I274" s="137">
        <v>0.0</v>
      </c>
      <c r="J274" s="138">
        <v>1.1702306957979164E-4</v>
      </c>
      <c r="K274" s="140">
        <v>0.0</v>
      </c>
    </row>
    <row r="275">
      <c r="A275" s="55">
        <v>45201.95974219908</v>
      </c>
      <c r="B275" s="139">
        <v>1.04794</v>
      </c>
      <c r="C275" s="137">
        <v>22.081416875011925</v>
      </c>
      <c r="D275" s="137">
        <v>1.0056709578171807</v>
      </c>
      <c r="E275" s="137">
        <v>1.0</v>
      </c>
      <c r="F275" s="137">
        <v>0.5329807207234717</v>
      </c>
      <c r="G275" s="137">
        <v>26688.08383980676</v>
      </c>
      <c r="H275" s="137">
        <v>22.081416875011925</v>
      </c>
      <c r="I275" s="137">
        <v>0.0</v>
      </c>
      <c r="J275" s="138">
        <v>1.3834645122541174E-4</v>
      </c>
      <c r="K275" s="140">
        <v>0.0</v>
      </c>
    </row>
    <row r="276">
      <c r="A276" s="55">
        <v>45200.95973822917</v>
      </c>
      <c r="B276" s="139">
        <v>1.05814</v>
      </c>
      <c r="C276" s="137">
        <v>21.67955091008751</v>
      </c>
      <c r="D276" s="137">
        <v>1.0056709578171807</v>
      </c>
      <c r="E276" s="137">
        <v>1.0</v>
      </c>
      <c r="F276" s="137">
        <v>0.5330245965317605</v>
      </c>
      <c r="G276" s="137">
        <v>25488.003613957037</v>
      </c>
      <c r="H276" s="137">
        <v>21.67955091008751</v>
      </c>
      <c r="I276" s="137">
        <v>0.0</v>
      </c>
      <c r="J276" s="138">
        <v>1.4934312915749316E-4</v>
      </c>
      <c r="K276" s="140">
        <v>0.0</v>
      </c>
    </row>
    <row r="277">
      <c r="A277" s="55">
        <v>45199.95972568287</v>
      </c>
      <c r="B277" s="139">
        <v>1.0586600000000002</v>
      </c>
      <c r="C277" s="137">
        <v>20.072544537434112</v>
      </c>
      <c r="D277" s="137">
        <v>1.0055998704558335</v>
      </c>
      <c r="E277" s="137">
        <v>1.0</v>
      </c>
      <c r="F277" s="137">
        <v>0.5267244561686159</v>
      </c>
      <c r="G277" s="137">
        <v>25425.72601367568</v>
      </c>
      <c r="H277" s="137">
        <v>20.072544537434112</v>
      </c>
      <c r="I277" s="137">
        <v>0.0</v>
      </c>
      <c r="J277" s="138">
        <v>1.5170893144420003E-4</v>
      </c>
      <c r="K277" s="140">
        <v>0.0</v>
      </c>
    </row>
    <row r="278">
      <c r="A278" s="55">
        <v>45198.96006361111</v>
      </c>
      <c r="B278" s="139">
        <v>1.0578800000000002</v>
      </c>
      <c r="C278" s="137">
        <v>19.160963436306574</v>
      </c>
      <c r="D278" s="137">
        <v>1.0055998704558335</v>
      </c>
      <c r="E278" s="137">
        <v>1.0</v>
      </c>
      <c r="F278" s="137">
        <v>0.5239144351351825</v>
      </c>
      <c r="G278" s="137">
        <v>25531.26417998714</v>
      </c>
      <c r="H278" s="137">
        <v>19.160963436306574</v>
      </c>
      <c r="I278" s="137">
        <v>0.0</v>
      </c>
      <c r="J278" s="138">
        <v>1.679540855448296E-4</v>
      </c>
      <c r="K278" s="140">
        <v>0.0</v>
      </c>
    </row>
    <row r="279">
      <c r="A279" s="55">
        <v>45197.95969314815</v>
      </c>
      <c r="B279" s="139">
        <v>1.05613</v>
      </c>
      <c r="C279" s="137">
        <v>18.690880857470194</v>
      </c>
      <c r="D279" s="137">
        <v>1.0053764067686828</v>
      </c>
      <c r="E279" s="137">
        <v>1.0</v>
      </c>
      <c r="F279" s="137">
        <v>0.5255123961834718</v>
      </c>
      <c r="G279" s="137">
        <v>24949.719159031556</v>
      </c>
      <c r="H279" s="137">
        <v>18.690880857470194</v>
      </c>
      <c r="I279" s="137">
        <v>0.0</v>
      </c>
      <c r="J279" s="138">
        <v>1.7013250660440174E-4</v>
      </c>
      <c r="K279" s="140">
        <v>0.0</v>
      </c>
    </row>
    <row r="280">
      <c r="A280" s="55">
        <v>45196.9600458912</v>
      </c>
      <c r="B280" s="139">
        <v>1.05181</v>
      </c>
      <c r="C280" s="137">
        <v>18.026069347125432</v>
      </c>
      <c r="D280" s="137">
        <v>1.0053764067686828</v>
      </c>
      <c r="E280" s="137">
        <v>1.0</v>
      </c>
      <c r="F280" s="137">
        <v>0.5351725077570388</v>
      </c>
      <c r="G280" s="137">
        <v>24913.965061024235</v>
      </c>
      <c r="H280" s="137">
        <v>18.026069347125432</v>
      </c>
      <c r="I280" s="137">
        <v>0.0</v>
      </c>
      <c r="J280" s="138">
        <v>1.7175497579856598E-4</v>
      </c>
      <c r="K280" s="140">
        <v>0.0</v>
      </c>
    </row>
    <row r="281">
      <c r="A281" s="55">
        <v>45195.9597397801</v>
      </c>
      <c r="B281" s="139">
        <v>1.05763</v>
      </c>
      <c r="C281" s="137">
        <v>17.964694647466505</v>
      </c>
      <c r="D281" s="137">
        <v>1.0053764067686828</v>
      </c>
      <c r="E281" s="137">
        <v>1.0</v>
      </c>
      <c r="F281" s="137">
        <v>0.5377667902711798</v>
      </c>
      <c r="G281" s="137">
        <v>24865.62850739975</v>
      </c>
      <c r="H281" s="137">
        <v>17.964694647466505</v>
      </c>
      <c r="I281" s="137">
        <v>0.0</v>
      </c>
      <c r="J281" s="138">
        <v>1.7790582228837168E-4</v>
      </c>
      <c r="K281" s="140">
        <v>0.0</v>
      </c>
    </row>
    <row r="282">
      <c r="A282" s="55">
        <v>45194.95975145833</v>
      </c>
      <c r="B282" s="139">
        <v>1.05772</v>
      </c>
      <c r="C282" s="137">
        <v>18.360246568089856</v>
      </c>
      <c r="D282" s="137">
        <v>1.0053764067686828</v>
      </c>
      <c r="E282" s="137">
        <v>1.0</v>
      </c>
      <c r="F282" s="137">
        <v>0.5391110465388665</v>
      </c>
      <c r="G282" s="137">
        <v>24817.118800670498</v>
      </c>
      <c r="H282" s="137">
        <v>18.360246568089856</v>
      </c>
      <c r="I282" s="137">
        <v>0.0</v>
      </c>
      <c r="J282" s="138">
        <v>1.8077119066898205E-4</v>
      </c>
      <c r="K282" s="140">
        <v>0.0</v>
      </c>
    </row>
    <row r="283">
      <c r="A283" s="55">
        <v>45193.95973618056</v>
      </c>
      <c r="B283" s="139">
        <v>1.0650899999999999</v>
      </c>
      <c r="C283" s="137">
        <v>18.289534217765638</v>
      </c>
      <c r="D283" s="137">
        <v>1.0053764067686828</v>
      </c>
      <c r="E283" s="137">
        <v>1.0</v>
      </c>
      <c r="F283" s="137">
        <v>0.5326308707282352</v>
      </c>
      <c r="G283" s="137">
        <v>24949.932381047707</v>
      </c>
      <c r="H283" s="137">
        <v>18.289534217765638</v>
      </c>
      <c r="I283" s="137">
        <v>0.0</v>
      </c>
      <c r="J283" s="138">
        <v>1.8185702250649754E-4</v>
      </c>
      <c r="K283" s="140">
        <v>0.0</v>
      </c>
    </row>
    <row r="284">
      <c r="A284" s="55">
        <v>45192.95973539352</v>
      </c>
      <c r="B284" s="139">
        <v>1.06611</v>
      </c>
      <c r="C284" s="137">
        <v>18.24389603324235</v>
      </c>
      <c r="D284" s="137">
        <v>1.0053764067686828</v>
      </c>
      <c r="E284" s="137">
        <v>1.0</v>
      </c>
      <c r="F284" s="137">
        <v>0.5148565641525021</v>
      </c>
      <c r="G284" s="137">
        <v>24924.29309503954</v>
      </c>
      <c r="H284" s="137">
        <v>18.24389603324235</v>
      </c>
      <c r="I284" s="137">
        <v>0.0</v>
      </c>
      <c r="J284" s="138">
        <v>1.8438530485998943E-4</v>
      </c>
      <c r="K284" s="140">
        <v>0.0</v>
      </c>
    </row>
    <row r="285">
      <c r="A285" s="55">
        <v>45191.96005869213</v>
      </c>
      <c r="B285" s="139">
        <v>1.0665499999999999</v>
      </c>
      <c r="C285" s="137">
        <v>18.151985373400215</v>
      </c>
      <c r="D285" s="137">
        <v>1.0053764067686828</v>
      </c>
      <c r="E285" s="137">
        <v>1.0</v>
      </c>
      <c r="F285" s="137">
        <v>0.546556854960377</v>
      </c>
      <c r="G285" s="137">
        <v>24903.78646495589</v>
      </c>
      <c r="H285" s="137">
        <v>18.151985373400215</v>
      </c>
      <c r="I285" s="137">
        <v>0.0</v>
      </c>
      <c r="J285" s="138">
        <v>1.738836336456159E-4</v>
      </c>
      <c r="K285" s="140">
        <v>0.0</v>
      </c>
    </row>
    <row r="286">
      <c r="A286" s="55">
        <v>45190.96005712963</v>
      </c>
      <c r="B286" s="139">
        <v>1.06601</v>
      </c>
      <c r="C286" s="137">
        <v>18.31127287736513</v>
      </c>
      <c r="D286" s="137">
        <v>1.0053764067686828</v>
      </c>
      <c r="E286" s="137">
        <v>1.0</v>
      </c>
      <c r="F286" s="137">
        <v>0.5321020111204239</v>
      </c>
      <c r="G286" s="137">
        <v>25436.76555282859</v>
      </c>
      <c r="H286" s="137">
        <v>18.31127287736513</v>
      </c>
      <c r="I286" s="137">
        <v>0.0</v>
      </c>
      <c r="J286" s="138">
        <v>1.6754256725604958E-4</v>
      </c>
      <c r="K286" s="140">
        <v>0.0</v>
      </c>
    </row>
    <row r="287">
      <c r="A287" s="55">
        <v>45189.960019652775</v>
      </c>
      <c r="B287" s="139">
        <v>1.0651400000000002</v>
      </c>
      <c r="C287" s="137">
        <v>19.143023452316125</v>
      </c>
      <c r="D287" s="137">
        <v>1.0053764067686828</v>
      </c>
      <c r="E287" s="137">
        <v>1.0</v>
      </c>
      <c r="F287" s="137">
        <v>0.5434326410050772</v>
      </c>
      <c r="G287" s="137">
        <v>25554.665935589874</v>
      </c>
      <c r="H287" s="137">
        <v>19.143023452316125</v>
      </c>
      <c r="I287" s="137">
        <v>0.0</v>
      </c>
      <c r="J287" s="138">
        <v>1.7068431925270453E-4</v>
      </c>
      <c r="K287" s="140">
        <v>0.0</v>
      </c>
    </row>
    <row r="288">
      <c r="A288" s="55">
        <v>45188.95981143518</v>
      </c>
      <c r="B288" s="139">
        <v>1.0679400000000001</v>
      </c>
      <c r="C288" s="137">
        <v>18.718280053186504</v>
      </c>
      <c r="D288" s="137">
        <v>1.0053764067686828</v>
      </c>
      <c r="E288" s="137">
        <v>1.0</v>
      </c>
      <c r="F288" s="137">
        <v>0.5254443101067139</v>
      </c>
      <c r="G288" s="137">
        <v>25040.228019316535</v>
      </c>
      <c r="H288" s="137">
        <v>18.718280053186504</v>
      </c>
      <c r="I288" s="137">
        <v>0.0</v>
      </c>
      <c r="J288" s="138">
        <v>1.7381361009404322E-4</v>
      </c>
      <c r="K288" s="140">
        <v>0.0</v>
      </c>
    </row>
    <row r="289">
      <c r="A289" s="55">
        <v>45187.95971225694</v>
      </c>
      <c r="B289" s="139">
        <v>1.06911</v>
      </c>
      <c r="C289" s="137">
        <v>18.52943102206508</v>
      </c>
      <c r="D289" s="137">
        <v>1.0053764067686828</v>
      </c>
      <c r="E289" s="137">
        <v>1.0</v>
      </c>
      <c r="F289" s="137">
        <v>0.5412924780695411</v>
      </c>
      <c r="G289" s="137">
        <v>24806.603861888674</v>
      </c>
      <c r="H289" s="137">
        <v>18.52943102206508</v>
      </c>
      <c r="I289" s="137">
        <v>0.0</v>
      </c>
      <c r="J289" s="138">
        <v>1.743578979356197E-4</v>
      </c>
      <c r="K289" s="140">
        <v>0.0</v>
      </c>
    </row>
    <row r="290">
      <c r="A290" s="55">
        <v>45186.95970739583</v>
      </c>
      <c r="B290" s="139">
        <v>1.06716</v>
      </c>
      <c r="C290" s="137">
        <v>17.607481539787845</v>
      </c>
      <c r="D290" s="137">
        <v>1.0053764067686828</v>
      </c>
      <c r="E290" s="137">
        <v>1.0</v>
      </c>
      <c r="F290" s="137">
        <v>0.5314164507836059</v>
      </c>
      <c r="G290" s="137">
        <v>24886.39818958225</v>
      </c>
      <c r="H290" s="137">
        <v>17.607481539787845</v>
      </c>
      <c r="I290" s="137">
        <v>0.0</v>
      </c>
      <c r="J290" s="138">
        <v>1.643768907506882E-4</v>
      </c>
      <c r="K290" s="140">
        <v>0.0</v>
      </c>
    </row>
    <row r="291">
      <c r="A291" s="55">
        <v>45185.95969020833</v>
      </c>
      <c r="B291" s="139">
        <v>1.0663099999999999</v>
      </c>
      <c r="C291" s="137">
        <v>17.893483133422738</v>
      </c>
      <c r="D291" s="137">
        <v>1.0053764067686828</v>
      </c>
      <c r="E291" s="137">
        <v>1.0</v>
      </c>
      <c r="F291" s="137">
        <v>0.5511895989452626</v>
      </c>
      <c r="G291" s="137">
        <v>24978.31871125705</v>
      </c>
      <c r="H291" s="137">
        <v>17.893483133422738</v>
      </c>
      <c r="I291" s="137">
        <v>0.0</v>
      </c>
      <c r="J291" s="138">
        <v>1.427333384941718E-4</v>
      </c>
      <c r="K291" s="140">
        <v>0.0</v>
      </c>
    </row>
    <row r="292">
      <c r="A292" s="55">
        <v>45184.95971028935</v>
      </c>
      <c r="B292" s="139">
        <v>1.06629</v>
      </c>
      <c r="C292" s="137">
        <v>17.6030910915417</v>
      </c>
      <c r="D292" s="137">
        <v>1.0</v>
      </c>
      <c r="E292" s="137">
        <v>1.0</v>
      </c>
      <c r="F292" s="137">
        <v>0.5236947234642921</v>
      </c>
      <c r="G292" s="137">
        <v>24881.969788953476</v>
      </c>
      <c r="H292" s="137">
        <v>17.6030910915417</v>
      </c>
      <c r="I292" s="137">
        <v>0.0</v>
      </c>
      <c r="J292" s="138">
        <v>1.3052082068897258E-4</v>
      </c>
      <c r="K292" s="140">
        <v>0.0</v>
      </c>
    </row>
    <row r="293">
      <c r="A293" s="55">
        <v>45183.959693067125</v>
      </c>
      <c r="B293" s="139">
        <v>1.0665799999999999</v>
      </c>
      <c r="C293" s="137">
        <v>17.67331095651522</v>
      </c>
      <c r="D293" s="137">
        <v>1.0</v>
      </c>
      <c r="E293" s="137">
        <v>1.0</v>
      </c>
      <c r="F293" s="137">
        <v>0.5126137814488028</v>
      </c>
      <c r="G293" s="137">
        <v>24586.468971536033</v>
      </c>
      <c r="H293" s="137">
        <v>17.67331095651522</v>
      </c>
      <c r="I293" s="137">
        <v>0.0</v>
      </c>
      <c r="J293" s="138">
        <v>1.46564434205595E-4</v>
      </c>
      <c r="K293" s="140">
        <v>0.0</v>
      </c>
    </row>
    <row r="294">
      <c r="A294" s="55">
        <v>45182.959713495366</v>
      </c>
      <c r="B294" s="139">
        <v>1.07423</v>
      </c>
      <c r="C294" s="137">
        <v>17.1192388966981</v>
      </c>
      <c r="D294" s="137">
        <v>1.0</v>
      </c>
      <c r="E294" s="137">
        <v>1.0</v>
      </c>
      <c r="F294" s="137">
        <v>0.522538279773313</v>
      </c>
      <c r="G294" s="137">
        <v>24079.39329860272</v>
      </c>
      <c r="H294" s="137">
        <v>17.1192388966981</v>
      </c>
      <c r="I294" s="137">
        <v>0.0</v>
      </c>
      <c r="J294" s="138">
        <v>1.681848950279305E-4</v>
      </c>
      <c r="K294" s="140">
        <v>0.0</v>
      </c>
    </row>
    <row r="295">
      <c r="A295" s="55">
        <v>45181.959709131945</v>
      </c>
      <c r="B295" s="139">
        <v>1.07224</v>
      </c>
      <c r="C295" s="137">
        <v>16.768633887935536</v>
      </c>
      <c r="D295" s="137">
        <v>1.0</v>
      </c>
      <c r="E295" s="137">
        <v>1.0</v>
      </c>
      <c r="F295" s="137">
        <v>0.5192309818384708</v>
      </c>
      <c r="G295" s="137">
        <v>23439.997674556536</v>
      </c>
      <c r="H295" s="137">
        <v>16.768633887935536</v>
      </c>
      <c r="I295" s="137">
        <v>0.0</v>
      </c>
      <c r="J295" s="138">
        <v>1.9026428814730636E-4</v>
      </c>
      <c r="K295" s="140">
        <v>0.0</v>
      </c>
    </row>
    <row r="296">
      <c r="A296" s="55">
        <v>45180.95974747685</v>
      </c>
      <c r="B296" s="139">
        <v>1.07457</v>
      </c>
      <c r="C296" s="137">
        <v>16.30419609704347</v>
      </c>
      <c r="D296" s="137">
        <v>1.0</v>
      </c>
      <c r="E296" s="137">
        <v>1.0</v>
      </c>
      <c r="F296" s="137">
        <v>0.5158514833843072</v>
      </c>
      <c r="G296" s="137">
        <v>24041.78424724578</v>
      </c>
      <c r="H296" s="137">
        <v>16.30419609704347</v>
      </c>
      <c r="I296" s="137">
        <v>0.0</v>
      </c>
      <c r="J296" s="138">
        <v>1.8452686505279317E-4</v>
      </c>
      <c r="K296" s="140">
        <v>0.0</v>
      </c>
    </row>
    <row r="297">
      <c r="A297" s="55">
        <v>45179.96005206018</v>
      </c>
      <c r="B297" s="139">
        <v>1.0699400000000001</v>
      </c>
      <c r="C297" s="137">
        <v>17.234611286614204</v>
      </c>
      <c r="D297" s="137">
        <v>1.0</v>
      </c>
      <c r="E297" s="137">
        <v>1.0</v>
      </c>
      <c r="F297" s="137">
        <v>0.5499021279899209</v>
      </c>
      <c r="G297" s="137">
        <v>24196.987690396563</v>
      </c>
      <c r="H297" s="137">
        <v>17.234611286614204</v>
      </c>
      <c r="I297" s="137">
        <v>0.0</v>
      </c>
      <c r="J297" s="138">
        <v>2.0847872340245838E-4</v>
      </c>
      <c r="K297" s="140">
        <v>0.0</v>
      </c>
    </row>
    <row r="298">
      <c r="A298" s="55">
        <v>45178.95969236111</v>
      </c>
      <c r="B298" s="139">
        <v>1.0707200000000001</v>
      </c>
      <c r="C298" s="137">
        <v>18.174686192468616</v>
      </c>
      <c r="D298" s="137">
        <v>1.0</v>
      </c>
      <c r="E298" s="137">
        <v>1.0</v>
      </c>
      <c r="F298" s="137">
        <v>0.560136911755288</v>
      </c>
      <c r="G298" s="137">
        <v>24196.081269846174</v>
      </c>
      <c r="H298" s="137">
        <v>18.174686192468616</v>
      </c>
      <c r="I298" s="137">
        <v>0.0</v>
      </c>
      <c r="J298" s="138">
        <v>1.885101722864327E-4</v>
      </c>
      <c r="K298" s="140">
        <v>0.0</v>
      </c>
    </row>
    <row r="299">
      <c r="A299" s="55">
        <v>45177.95971847222</v>
      </c>
      <c r="B299" s="139">
        <v>1.07103</v>
      </c>
      <c r="C299" s="137">
        <v>18.22544653277686</v>
      </c>
      <c r="D299" s="137">
        <v>1.0</v>
      </c>
      <c r="E299" s="137">
        <v>1.0</v>
      </c>
      <c r="F299" s="137">
        <v>0.5597153072792677</v>
      </c>
      <c r="G299" s="137">
        <v>24455.275233271248</v>
      </c>
      <c r="H299" s="137">
        <v>18.22544653277686</v>
      </c>
      <c r="I299" s="137">
        <v>0.0</v>
      </c>
      <c r="J299" s="138">
        <v>2.2287294897804547E-4</v>
      </c>
      <c r="K299" s="140">
        <v>0.0</v>
      </c>
    </row>
    <row r="300">
      <c r="A300" s="55">
        <v>45176.95969055555</v>
      </c>
      <c r="B300" s="139">
        <v>1.07071</v>
      </c>
      <c r="C300" s="137">
        <v>18.511081431947026</v>
      </c>
      <c r="D300" s="137">
        <v>1.0</v>
      </c>
      <c r="E300" s="137">
        <v>1.0</v>
      </c>
      <c r="F300" s="137">
        <v>0.5625923614753303</v>
      </c>
      <c r="G300" s="137">
        <v>24052.225549952273</v>
      </c>
      <c r="H300" s="137">
        <v>18.511081431947026</v>
      </c>
      <c r="I300" s="137">
        <v>0.0</v>
      </c>
      <c r="J300" s="138">
        <v>2.4942220306303325E-4</v>
      </c>
      <c r="K300" s="140">
        <v>0.0</v>
      </c>
    </row>
    <row r="301">
      <c r="A301" s="55">
        <v>45175.95970519676</v>
      </c>
      <c r="B301" s="139">
        <v>1.0714000000000001</v>
      </c>
      <c r="C301" s="137">
        <v>18.312488333022213</v>
      </c>
      <c r="D301" s="137">
        <v>1.0</v>
      </c>
      <c r="E301" s="137">
        <v>1.0</v>
      </c>
      <c r="F301" s="137">
        <v>0.5465779079655311</v>
      </c>
      <c r="G301" s="137">
        <v>24066.094381025105</v>
      </c>
      <c r="H301" s="137">
        <v>18.312488333022213</v>
      </c>
      <c r="I301" s="137">
        <v>0.0</v>
      </c>
      <c r="J301" s="138">
        <v>2.848424388152536E-4</v>
      </c>
      <c r="K301" s="140">
        <v>0.0</v>
      </c>
    </row>
    <row r="302">
      <c r="A302" s="55">
        <v>45174.95971517361</v>
      </c>
      <c r="B302" s="139">
        <v>1.07165</v>
      </c>
      <c r="C302" s="137">
        <v>18.924089021602203</v>
      </c>
      <c r="D302" s="137">
        <v>1.0</v>
      </c>
      <c r="E302" s="137">
        <v>1.0</v>
      </c>
      <c r="F302" s="137">
        <v>0.5545083355506845</v>
      </c>
      <c r="G302" s="137">
        <v>24102.425953381513</v>
      </c>
      <c r="H302" s="137">
        <v>18.924089021602203</v>
      </c>
      <c r="I302" s="137">
        <v>0.0</v>
      </c>
      <c r="J302" s="138">
        <v>3.139704991096496E-4</v>
      </c>
      <c r="K302" s="140">
        <v>0.0</v>
      </c>
    </row>
    <row r="303">
      <c r="A303" s="55">
        <v>45173.95983263889</v>
      </c>
      <c r="B303" s="139">
        <v>1.07955</v>
      </c>
      <c r="C303" s="137">
        <v>17.905608818489185</v>
      </c>
      <c r="D303" s="137">
        <v>1.0</v>
      </c>
      <c r="E303" s="137">
        <v>1.0</v>
      </c>
      <c r="F303" s="137">
        <v>0.554174541338177</v>
      </c>
      <c r="G303" s="137">
        <v>24046.682702481034</v>
      </c>
      <c r="H303" s="137">
        <v>17.905608818489185</v>
      </c>
      <c r="I303" s="137">
        <v>0.0</v>
      </c>
      <c r="J303" s="138">
        <v>2.927065852622419E-4</v>
      </c>
      <c r="K303" s="140">
        <v>0.0</v>
      </c>
    </row>
    <row r="304">
      <c r="A304" s="55">
        <v>45172.95968459491</v>
      </c>
      <c r="B304" s="139">
        <v>1.07757</v>
      </c>
      <c r="C304" s="137">
        <v>18.06843174921351</v>
      </c>
      <c r="D304" s="137">
        <v>1.0</v>
      </c>
      <c r="E304" s="137">
        <v>1.0</v>
      </c>
      <c r="F304" s="137">
        <v>0.5442155957271184</v>
      </c>
      <c r="G304" s="137">
        <v>23992.554398115666</v>
      </c>
      <c r="H304" s="137">
        <v>18.06843174921351</v>
      </c>
      <c r="I304" s="137">
        <v>0.0</v>
      </c>
      <c r="J304" s="138">
        <v>2.8545411771858443E-4</v>
      </c>
      <c r="K304" s="140">
        <v>0.0</v>
      </c>
    </row>
    <row r="305">
      <c r="A305" s="55">
        <v>45171.959684664354</v>
      </c>
      <c r="B305" s="139">
        <v>1.07796</v>
      </c>
      <c r="C305" s="137">
        <v>18.04334112583027</v>
      </c>
      <c r="D305" s="137">
        <v>1.0</v>
      </c>
      <c r="E305" s="137">
        <v>1.0</v>
      </c>
      <c r="F305" s="137">
        <v>0.5548109260399124</v>
      </c>
      <c r="G305" s="137">
        <v>23945.536471135663</v>
      </c>
      <c r="H305" s="137">
        <v>18.04334112583027</v>
      </c>
      <c r="I305" s="137">
        <v>0.0</v>
      </c>
      <c r="J305" s="138">
        <v>2.46020112310421E-4</v>
      </c>
      <c r="K305" s="140">
        <v>0.0</v>
      </c>
    </row>
    <row r="306">
      <c r="A306" s="55">
        <v>45170.95971060185</v>
      </c>
      <c r="B306" s="139">
        <v>1.07879</v>
      </c>
      <c r="C306" s="137">
        <v>17.834796392254283</v>
      </c>
      <c r="D306" s="137">
        <v>1.0</v>
      </c>
      <c r="E306" s="137">
        <v>1.0</v>
      </c>
      <c r="F306" s="137">
        <v>0.5453295279957731</v>
      </c>
      <c r="G306" s="137">
        <v>24033.79434901992</v>
      </c>
      <c r="H306" s="137">
        <v>17.834796392254283</v>
      </c>
      <c r="I306" s="137">
        <v>0.0</v>
      </c>
      <c r="J306" s="138">
        <v>2.653764462620071E-4</v>
      </c>
      <c r="K306" s="140">
        <v>0.0</v>
      </c>
    </row>
    <row r="307">
      <c r="A307" s="55">
        <v>45169.95971398149</v>
      </c>
      <c r="B307" s="139">
        <v>1.0843099999999999</v>
      </c>
      <c r="C307" s="137">
        <v>18.103678837232895</v>
      </c>
      <c r="D307" s="137">
        <v>1.0</v>
      </c>
      <c r="E307" s="137">
        <v>1.0</v>
      </c>
      <c r="F307" s="137">
        <v>0.5355687214772105</v>
      </c>
      <c r="G307" s="137">
        <v>25174.77606817276</v>
      </c>
      <c r="H307" s="137">
        <v>18.103678837232895</v>
      </c>
      <c r="I307" s="137">
        <v>0.0</v>
      </c>
      <c r="J307" s="138">
        <v>2.3095398529256186E-4</v>
      </c>
      <c r="K307" s="140">
        <v>0.0</v>
      </c>
    </row>
    <row r="308">
      <c r="A308" s="55">
        <v>45168.959766932865</v>
      </c>
      <c r="B308" s="139">
        <v>1.09304</v>
      </c>
      <c r="C308" s="137">
        <v>19.011198126326576</v>
      </c>
      <c r="D308" s="137">
        <v>1.0</v>
      </c>
      <c r="E308" s="137">
        <v>1.0</v>
      </c>
      <c r="F308" s="137">
        <v>0.5472355349340929</v>
      </c>
      <c r="G308" s="137">
        <v>25370.07221648384</v>
      </c>
      <c r="H308" s="137">
        <v>19.011198126326576</v>
      </c>
      <c r="I308" s="137">
        <v>0.0</v>
      </c>
      <c r="J308" s="138">
        <v>2.287717135680596E-4</v>
      </c>
      <c r="K308" s="140">
        <v>0.0</v>
      </c>
    </row>
    <row r="309">
      <c r="A309" s="55">
        <v>45167.95973379629</v>
      </c>
      <c r="B309" s="139">
        <v>1.08632</v>
      </c>
      <c r="C309" s="137">
        <v>20.067751675381103</v>
      </c>
      <c r="D309" s="137">
        <v>1.0</v>
      </c>
      <c r="E309" s="137">
        <v>1.0</v>
      </c>
      <c r="F309" s="137">
        <v>0.5689134911948155</v>
      </c>
      <c r="G309" s="137">
        <v>24034.602901473507</v>
      </c>
      <c r="H309" s="137">
        <v>20.067751675381103</v>
      </c>
      <c r="I309" s="137">
        <v>0.0</v>
      </c>
      <c r="J309" s="138">
        <v>2.1945363622268634E-4</v>
      </c>
      <c r="K309" s="140">
        <v>0.0</v>
      </c>
    </row>
    <row r="310">
      <c r="A310" s="55">
        <v>45166.95971984953</v>
      </c>
      <c r="B310" s="139">
        <v>1.0811099999999998</v>
      </c>
      <c r="C310" s="137">
        <v>18.850995735864068</v>
      </c>
      <c r="D310" s="137">
        <v>1.0</v>
      </c>
      <c r="E310" s="137">
        <v>1.0</v>
      </c>
      <c r="F310" s="137">
        <v>0.5539426920714858</v>
      </c>
      <c r="G310" s="137">
        <v>24125.868022882503</v>
      </c>
      <c r="H310" s="137">
        <v>18.850995735864068</v>
      </c>
      <c r="I310" s="137">
        <v>0.0</v>
      </c>
      <c r="J310" s="138">
        <v>2.0003463310111708E-4</v>
      </c>
      <c r="K310" s="140">
        <v>0.0</v>
      </c>
    </row>
    <row r="311">
      <c r="A311" s="55">
        <v>45165.95970078703</v>
      </c>
      <c r="B311" s="139">
        <v>1.07961</v>
      </c>
      <c r="C311" s="137">
        <v>19.219903483665398</v>
      </c>
      <c r="D311" s="137">
        <v>1.0</v>
      </c>
      <c r="E311" s="137">
        <v>1.0</v>
      </c>
      <c r="F311" s="137">
        <v>0.5631318057246284</v>
      </c>
      <c r="G311" s="137">
        <v>24084.63770928326</v>
      </c>
      <c r="H311" s="137">
        <v>19.219903483665398</v>
      </c>
      <c r="I311" s="137">
        <v>0.0</v>
      </c>
      <c r="J311" s="138">
        <v>1.6337631264241108E-4</v>
      </c>
      <c r="K311" s="140">
        <v>0.0</v>
      </c>
    </row>
    <row r="312">
      <c r="A312" s="55">
        <v>45164.95970972222</v>
      </c>
      <c r="B312" s="139">
        <v>1.07961</v>
      </c>
      <c r="C312" s="137">
        <v>18.830874111947832</v>
      </c>
      <c r="D312" s="137">
        <v>1.0</v>
      </c>
      <c r="E312" s="137">
        <v>1.0</v>
      </c>
      <c r="F312" s="137">
        <v>0.5454736407325831</v>
      </c>
      <c r="G312" s="137">
        <v>24123.559627355342</v>
      </c>
      <c r="H312" s="137">
        <v>18.830874111947832</v>
      </c>
      <c r="I312" s="137">
        <v>0.0</v>
      </c>
      <c r="J312" s="138">
        <v>1.3582052605580285E-4</v>
      </c>
      <c r="K312" s="140">
        <v>0.0</v>
      </c>
    </row>
    <row r="313">
      <c r="A313" s="55">
        <v>45163.95971594907</v>
      </c>
      <c r="B313" s="139">
        <v>1.07968</v>
      </c>
      <c r="C313" s="137">
        <v>18.792605216360403</v>
      </c>
      <c r="D313" s="137">
        <v>1.0</v>
      </c>
      <c r="E313" s="137">
        <v>1.0</v>
      </c>
      <c r="F313" s="137">
        <v>0.5575278867711138</v>
      </c>
      <c r="G313" s="137">
        <v>24206.185401707913</v>
      </c>
      <c r="H313" s="137">
        <v>18.792605216360403</v>
      </c>
      <c r="I313" s="137">
        <v>0.0</v>
      </c>
      <c r="J313" s="138">
        <v>1.5565404953538225E-4</v>
      </c>
      <c r="K313" s="140">
        <v>0.0</v>
      </c>
    </row>
    <row r="314">
      <c r="A314" s="55">
        <v>45162.95971645833</v>
      </c>
      <c r="B314" s="139">
        <v>1.08262</v>
      </c>
      <c r="C314" s="137">
        <v>19.29578245367719</v>
      </c>
      <c r="D314" s="137">
        <v>1.0</v>
      </c>
      <c r="E314" s="137">
        <v>1.0</v>
      </c>
      <c r="F314" s="137">
        <v>0.5581209154826763</v>
      </c>
      <c r="G314" s="137">
        <v>24431.47976632013</v>
      </c>
      <c r="H314" s="137">
        <v>19.29578245367719</v>
      </c>
      <c r="I314" s="137">
        <v>0.0</v>
      </c>
      <c r="J314" s="138">
        <v>1.2947494358209722E-4</v>
      </c>
      <c r="K314" s="140">
        <v>0.0</v>
      </c>
    </row>
    <row r="315">
      <c r="A315" s="55">
        <v>45161.9596925</v>
      </c>
      <c r="B315" s="139">
        <v>1.08585</v>
      </c>
      <c r="C315" s="137">
        <v>19.652806557075102</v>
      </c>
      <c r="D315" s="137">
        <v>1.0</v>
      </c>
      <c r="E315" s="137">
        <v>1.0</v>
      </c>
      <c r="F315" s="137">
        <v>0.5472839605241093</v>
      </c>
      <c r="G315" s="137">
        <v>23975.388319368052</v>
      </c>
      <c r="H315" s="137">
        <v>19.652806557075102</v>
      </c>
      <c r="I315" s="137">
        <v>0.0</v>
      </c>
      <c r="J315" s="138">
        <v>1.6331892902286233E-4</v>
      </c>
      <c r="K315" s="140">
        <v>0.0</v>
      </c>
    </row>
    <row r="316">
      <c r="A316" s="55">
        <v>45160.95973418982</v>
      </c>
      <c r="B316" s="139">
        <v>1.08544</v>
      </c>
      <c r="C316" s="137">
        <v>18.398068985849058</v>
      </c>
      <c r="D316" s="137">
        <v>1.0</v>
      </c>
      <c r="E316" s="137">
        <v>1.0</v>
      </c>
      <c r="F316" s="137">
        <v>0.5386079032876022</v>
      </c>
      <c r="G316" s="137">
        <v>24063.058260793045</v>
      </c>
      <c r="H316" s="137">
        <v>18.398068985849058</v>
      </c>
      <c r="I316" s="137">
        <v>0.0</v>
      </c>
      <c r="J316" s="138">
        <v>1.755967930060132E-4</v>
      </c>
      <c r="K316" s="140">
        <v>0.0</v>
      </c>
    </row>
    <row r="317">
      <c r="A317" s="55">
        <v>45159.959806099534</v>
      </c>
      <c r="B317" s="139">
        <v>1.08857</v>
      </c>
      <c r="C317" s="137">
        <v>19.58532753979992</v>
      </c>
      <c r="D317" s="137">
        <v>1.0</v>
      </c>
      <c r="E317" s="137">
        <v>1.0</v>
      </c>
      <c r="F317" s="137">
        <v>0.5411990214507969</v>
      </c>
      <c r="G317" s="137">
        <v>24032.171031553506</v>
      </c>
      <c r="H317" s="137">
        <v>19.58532753979992</v>
      </c>
      <c r="I317" s="137">
        <v>0.0</v>
      </c>
      <c r="J317" s="138">
        <v>1.6750956055779898E-4</v>
      </c>
      <c r="K317" s="140">
        <v>0.0</v>
      </c>
    </row>
    <row r="318">
      <c r="A318" s="55">
        <v>45158.959694942125</v>
      </c>
      <c r="B318" s="139">
        <v>1.08653</v>
      </c>
      <c r="C318" s="137">
        <v>20.073076675287382</v>
      </c>
      <c r="D318" s="137">
        <v>1.0</v>
      </c>
      <c r="E318" s="137">
        <v>1.0</v>
      </c>
      <c r="F318" s="137">
        <v>0.5380565919534325</v>
      </c>
      <c r="G318" s="137">
        <v>24025.824073700496</v>
      </c>
      <c r="H318" s="137">
        <v>20.073076675287382</v>
      </c>
      <c r="I318" s="137">
        <v>0.0</v>
      </c>
      <c r="J318" s="138">
        <v>1.0065618625982368E-4</v>
      </c>
      <c r="K318" s="140">
        <v>0.0</v>
      </c>
    </row>
    <row r="319">
      <c r="A319" s="55">
        <v>45157.959708333336</v>
      </c>
      <c r="B319" s="139">
        <v>1.0874300000000001</v>
      </c>
      <c r="C319" s="137">
        <v>20.07485539299081</v>
      </c>
      <c r="D319" s="137">
        <v>1.0</v>
      </c>
      <c r="E319" s="137">
        <v>1.0</v>
      </c>
      <c r="F319" s="137">
        <v>0.5412316158979852</v>
      </c>
      <c r="G319" s="137">
        <v>23948.97902103942</v>
      </c>
      <c r="H319" s="137">
        <v>20.07485539299081</v>
      </c>
      <c r="I319" s="137">
        <v>0.0</v>
      </c>
      <c r="J319" s="138">
        <v>1.0036676632082732E-4</v>
      </c>
      <c r="K319" s="140">
        <v>0.0</v>
      </c>
    </row>
    <row r="320">
      <c r="A320" s="55">
        <v>45156.959687002316</v>
      </c>
      <c r="B320" s="139">
        <v>1.08725</v>
      </c>
      <c r="C320" s="137">
        <v>19.65509312485629</v>
      </c>
      <c r="D320" s="137">
        <v>1.0</v>
      </c>
      <c r="E320" s="137">
        <v>1.0</v>
      </c>
      <c r="F320" s="137">
        <v>0.5409201176688029</v>
      </c>
      <c r="G320" s="137">
        <v>24374.879070976956</v>
      </c>
      <c r="H320" s="137">
        <v>19.65509312485629</v>
      </c>
      <c r="I320" s="137">
        <v>0.0</v>
      </c>
      <c r="J320" s="138">
        <v>0.0</v>
      </c>
      <c r="K320" s="140">
        <v>0.0</v>
      </c>
    </row>
    <row r="321">
      <c r="A321" s="55">
        <v>45155.95971310185</v>
      </c>
      <c r="B321" s="139">
        <v>1.0893499999999998</v>
      </c>
      <c r="C321" s="137">
        <v>19.26837104695461</v>
      </c>
      <c r="D321" s="137">
        <v>1.0</v>
      </c>
      <c r="E321" s="137">
        <v>1.0</v>
      </c>
      <c r="F321" s="137">
        <v>0.5469545564719963</v>
      </c>
      <c r="G321" s="137">
        <v>26395.737844689498</v>
      </c>
      <c r="H321" s="137">
        <v>19.26837104695461</v>
      </c>
      <c r="I321" s="137">
        <v>0.0</v>
      </c>
      <c r="J321" s="138">
        <v>0.0</v>
      </c>
      <c r="K321" s="140">
        <v>0.0</v>
      </c>
    </row>
    <row r="322">
      <c r="A322" s="55">
        <v>45154.95974586805</v>
      </c>
      <c r="B322" s="139">
        <v>1.0890199999999999</v>
      </c>
      <c r="C322" s="137">
        <v>20.85361150392096</v>
      </c>
      <c r="D322" s="137">
        <v>1.0</v>
      </c>
      <c r="E322" s="137">
        <v>1.0</v>
      </c>
      <c r="F322" s="137">
        <v>0.5856153565175791</v>
      </c>
      <c r="G322" s="137">
        <v>26786.00062171549</v>
      </c>
      <c r="H322" s="137">
        <v>20.85361150392096</v>
      </c>
      <c r="I322" s="137">
        <v>0.0</v>
      </c>
      <c r="J322" s="138">
        <v>0.0</v>
      </c>
      <c r="K322" s="140">
        <v>0.0</v>
      </c>
    </row>
    <row r="323">
      <c r="A323" s="55">
        <v>45153.959695729165</v>
      </c>
      <c r="B323" s="139">
        <v>1.09204</v>
      </c>
      <c r="C323" s="137">
        <v>22.004688472949713</v>
      </c>
      <c r="D323" s="137">
        <v>1.0</v>
      </c>
      <c r="E323" s="137">
        <v>1.0</v>
      </c>
      <c r="F323" s="137">
        <v>0.5749905392896396</v>
      </c>
      <c r="G323" s="137">
        <v>26922.628112698254</v>
      </c>
      <c r="H323" s="137">
        <v>22.004688472949713</v>
      </c>
      <c r="I323" s="137">
        <v>0.0</v>
      </c>
      <c r="J323" s="138">
        <v>0.0</v>
      </c>
      <c r="K323" s="140">
        <v>0.0</v>
      </c>
    </row>
    <row r="324">
      <c r="A324" s="55">
        <v>45152.95969883102</v>
      </c>
      <c r="B324" s="139">
        <v>1.0925799999999999</v>
      </c>
      <c r="C324" s="137">
        <v>22.83585641326036</v>
      </c>
      <c r="D324" s="137">
        <v>1.0</v>
      </c>
      <c r="E324" s="137">
        <v>1.0</v>
      </c>
      <c r="F324" s="137">
        <v>0.5815678540430751</v>
      </c>
      <c r="G324" s="137">
        <v>26803.501541071415</v>
      </c>
      <c r="H324" s="137">
        <v>22.83585641326036</v>
      </c>
      <c r="I324" s="137">
        <v>0.0</v>
      </c>
      <c r="J324" s="138">
        <v>0.0</v>
      </c>
      <c r="K324" s="140">
        <v>0.0</v>
      </c>
    </row>
    <row r="325">
      <c r="A325" s="55">
        <v>45151.95976858796</v>
      </c>
      <c r="B325" s="139">
        <v>1.09824</v>
      </c>
      <c r="C325" s="137">
        <v>22.244682400932398</v>
      </c>
      <c r="D325" s="137">
        <v>1.0</v>
      </c>
      <c r="E325" s="137">
        <v>1.0</v>
      </c>
      <c r="F325" s="137">
        <v>0.5744725667535575</v>
      </c>
      <c r="G325" s="137">
        <v>26781.16101633896</v>
      </c>
      <c r="H325" s="137">
        <v>22.244682400932398</v>
      </c>
      <c r="I325" s="137">
        <v>0.0</v>
      </c>
      <c r="J325" s="138">
        <v>0.0</v>
      </c>
      <c r="K325" s="140">
        <v>0.0</v>
      </c>
    </row>
    <row r="326">
      <c r="A326" s="55">
        <v>45150.959716666664</v>
      </c>
      <c r="B326" s="139">
        <v>1.09671</v>
      </c>
      <c r="C326" s="137">
        <v>22.56749733293213</v>
      </c>
      <c r="D326" s="137">
        <v>1.0</v>
      </c>
      <c r="E326" s="137">
        <v>1.0</v>
      </c>
      <c r="F326" s="137">
        <v>0.5815883839462975</v>
      </c>
      <c r="G326" s="137">
        <v>26804.577300672463</v>
      </c>
      <c r="H326" s="137">
        <v>22.56749733293213</v>
      </c>
      <c r="I326" s="137">
        <v>0.0</v>
      </c>
      <c r="J326" s="138">
        <v>0.0</v>
      </c>
      <c r="K326" s="140">
        <v>0.0</v>
      </c>
    </row>
    <row r="327">
      <c r="A327" s="55">
        <v>45149.959707685186</v>
      </c>
      <c r="B327" s="139">
        <v>1.0951199999999999</v>
      </c>
      <c r="C327" s="137">
        <v>22.381108919570462</v>
      </c>
      <c r="D327" s="137">
        <v>1.0</v>
      </c>
      <c r="E327" s="137">
        <v>1.0</v>
      </c>
      <c r="F327" s="137">
        <v>0.5846142284250868</v>
      </c>
      <c r="G327" s="137">
        <v>26868.123051334653</v>
      </c>
      <c r="H327" s="137">
        <v>22.381108919570462</v>
      </c>
      <c r="I327" s="137">
        <v>0.0</v>
      </c>
      <c r="J327" s="138">
        <v>0.0</v>
      </c>
      <c r="K327" s="140">
        <v>0.0</v>
      </c>
    </row>
    <row r="328">
      <c r="A328" s="55">
        <v>45148.96152603009</v>
      </c>
      <c r="B328" s="139">
        <v>1.09859</v>
      </c>
      <c r="C328" s="137">
        <v>22.465159886763942</v>
      </c>
      <c r="D328" s="137">
        <v>1.0</v>
      </c>
      <c r="E328" s="137">
        <v>1.0</v>
      </c>
      <c r="F328" s="137">
        <v>0.5884343318634632</v>
      </c>
      <c r="G328" s="137">
        <v>26930.418151793845</v>
      </c>
      <c r="H328" s="137">
        <v>22.465159886763942</v>
      </c>
      <c r="I328" s="137">
        <v>0.0</v>
      </c>
      <c r="J328" s="138">
        <v>0.0</v>
      </c>
      <c r="K328" s="140">
        <v>0.0</v>
      </c>
    </row>
    <row r="329">
      <c r="A329" s="55">
        <v>45147.9597153125</v>
      </c>
      <c r="B329" s="139">
        <v>1.0977999999999999</v>
      </c>
      <c r="C329" s="137">
        <v>22.11696119511751</v>
      </c>
      <c r="D329" s="137">
        <v>1.0</v>
      </c>
      <c r="E329" s="137">
        <v>1.0</v>
      </c>
      <c r="F329" s="137">
        <v>0.5936649262573767</v>
      </c>
      <c r="G329" s="137">
        <v>27126.581955958103</v>
      </c>
      <c r="H329" s="137">
        <v>22.11696119511751</v>
      </c>
      <c r="I329" s="137">
        <v>0.0</v>
      </c>
      <c r="J329" s="138">
        <v>0.0</v>
      </c>
      <c r="K329" s="140">
        <v>0.0</v>
      </c>
    </row>
    <row r="330">
      <c r="A330" s="55">
        <v>45146.95977079861</v>
      </c>
      <c r="B330" s="139">
        <v>1.0959400000000001</v>
      </c>
      <c r="C330" s="137">
        <v>22.25486796722448</v>
      </c>
      <c r="D330" s="137">
        <v>1.0</v>
      </c>
      <c r="E330" s="137">
        <v>1.0</v>
      </c>
      <c r="F330" s="137">
        <v>0.5948540731063835</v>
      </c>
      <c r="G330" s="137">
        <v>26623.855094141098</v>
      </c>
      <c r="H330" s="137">
        <v>22.25486796722448</v>
      </c>
      <c r="I330" s="137">
        <v>0.0</v>
      </c>
      <c r="J330" s="138">
        <v>0.0</v>
      </c>
      <c r="K330" s="140">
        <v>0.0</v>
      </c>
    </row>
    <row r="331">
      <c r="A331" s="55">
        <v>45145.959848125</v>
      </c>
      <c r="B331" s="139">
        <v>1.1006500000000001</v>
      </c>
      <c r="C331" s="137">
        <v>20.914913914505064</v>
      </c>
      <c r="D331" s="137">
        <v>1.0</v>
      </c>
      <c r="E331" s="137">
        <v>1.0</v>
      </c>
      <c r="F331" s="137">
        <v>0.5731204838090319</v>
      </c>
      <c r="G331" s="137">
        <v>26388.22911513878</v>
      </c>
      <c r="H331" s="137">
        <v>20.914913914505064</v>
      </c>
      <c r="I331" s="137">
        <v>0.0</v>
      </c>
      <c r="J331" s="138">
        <v>0.0</v>
      </c>
      <c r="K331" s="140">
        <v>0.0</v>
      </c>
    </row>
    <row r="332">
      <c r="A332" s="55">
        <v>45144.960077627315</v>
      </c>
      <c r="B332" s="139">
        <v>1.10274</v>
      </c>
      <c r="C332" s="137">
        <v>21.056640731269383</v>
      </c>
      <c r="D332" s="137">
        <v>1.0</v>
      </c>
      <c r="E332" s="137">
        <v>1.0</v>
      </c>
      <c r="F332" s="137">
        <v>0.5835670185696483</v>
      </c>
      <c r="G332" s="137">
        <v>26340.570267717772</v>
      </c>
      <c r="H332" s="137">
        <v>21.056640731269383</v>
      </c>
      <c r="I332" s="137">
        <v>0.0</v>
      </c>
      <c r="J332" s="138">
        <v>0.0</v>
      </c>
      <c r="K332" s="140">
        <v>0.0</v>
      </c>
    </row>
    <row r="333">
      <c r="A333" s="55">
        <v>45143.95971501157</v>
      </c>
      <c r="B333" s="139">
        <v>1.10134</v>
      </c>
      <c r="C333" s="137">
        <v>20.529536746145602</v>
      </c>
      <c r="D333" s="137">
        <v>1.0</v>
      </c>
      <c r="E333" s="137">
        <v>1.0</v>
      </c>
      <c r="F333" s="137">
        <v>0.5841764681165262</v>
      </c>
      <c r="G333" s="137">
        <v>26411.406183383515</v>
      </c>
      <c r="H333" s="137">
        <v>20.529536746145602</v>
      </c>
      <c r="I333" s="137">
        <v>0.0</v>
      </c>
      <c r="J333" s="138">
        <v>0.0</v>
      </c>
      <c r="K333" s="140">
        <v>0.0</v>
      </c>
    </row>
    <row r="334">
      <c r="A334" s="55">
        <v>45142.95970266203</v>
      </c>
      <c r="B334" s="139">
        <v>1.10208</v>
      </c>
      <c r="C334" s="137">
        <v>20.69722706155633</v>
      </c>
      <c r="D334" s="137">
        <v>1.0</v>
      </c>
      <c r="E334" s="137">
        <v>1.0</v>
      </c>
      <c r="F334" s="137">
        <v>0.5849975317406804</v>
      </c>
      <c r="G334" s="137">
        <v>26473.7138833709</v>
      </c>
      <c r="H334" s="137">
        <v>20.69722706155633</v>
      </c>
      <c r="I334" s="137">
        <v>0.0</v>
      </c>
      <c r="J334" s="138">
        <v>0.0</v>
      </c>
      <c r="K334" s="140">
        <v>0.0</v>
      </c>
    </row>
    <row r="335">
      <c r="A335" s="55">
        <v>45141.95969516203</v>
      </c>
      <c r="B335" s="139">
        <v>1.0947799999999999</v>
      </c>
      <c r="C335" s="137">
        <v>20.835236303184203</v>
      </c>
      <c r="D335" s="137">
        <v>1.0</v>
      </c>
      <c r="E335" s="137">
        <v>1.0</v>
      </c>
      <c r="F335" s="137">
        <v>0.5881373855225352</v>
      </c>
      <c r="G335" s="137">
        <v>26623.281637263746</v>
      </c>
      <c r="H335" s="137">
        <v>20.835236303184203</v>
      </c>
      <c r="I335" s="137">
        <v>0.0</v>
      </c>
      <c r="J335" s="138">
        <v>0.0</v>
      </c>
      <c r="K335" s="140">
        <v>0.0</v>
      </c>
    </row>
    <row r="336">
      <c r="A336" s="55">
        <v>45140.95971564815</v>
      </c>
      <c r="B336" s="139">
        <v>1.09477</v>
      </c>
      <c r="C336" s="137">
        <v>21.136859797034994</v>
      </c>
      <c r="D336" s="137">
        <v>1.0</v>
      </c>
      <c r="E336" s="137">
        <v>1.0</v>
      </c>
      <c r="F336" s="137">
        <v>0.5891652829936251</v>
      </c>
      <c r="G336" s="137">
        <v>26980.196522490933</v>
      </c>
      <c r="H336" s="137">
        <v>21.136859797034994</v>
      </c>
      <c r="I336" s="137">
        <v>0.0</v>
      </c>
      <c r="J336" s="138">
        <v>0.0</v>
      </c>
      <c r="K336" s="140">
        <v>0.0</v>
      </c>
    </row>
    <row r="337">
      <c r="A337" s="55">
        <v>45139.95969043981</v>
      </c>
      <c r="B337" s="139">
        <v>1.09636</v>
      </c>
      <c r="C337" s="137">
        <v>21.534897296508447</v>
      </c>
      <c r="D337" s="137">
        <v>1.0</v>
      </c>
      <c r="E337" s="137">
        <v>1.0</v>
      </c>
      <c r="F337" s="137">
        <v>0.605556388164154</v>
      </c>
      <c r="G337" s="137">
        <v>26663.811490368495</v>
      </c>
      <c r="H337" s="137">
        <v>21.534897296508447</v>
      </c>
      <c r="I337" s="137">
        <v>0.0</v>
      </c>
      <c r="J337" s="138">
        <v>0.0</v>
      </c>
      <c r="K337" s="140">
        <v>0.0</v>
      </c>
    </row>
    <row r="338">
      <c r="A338" s="55">
        <v>45138.95976174768</v>
      </c>
      <c r="B338" s="139">
        <v>1.10091</v>
      </c>
      <c r="C338" s="137">
        <v>21.57306228483709</v>
      </c>
      <c r="D338" s="137">
        <v>1.0</v>
      </c>
      <c r="E338" s="137">
        <v>1.0</v>
      </c>
      <c r="F338" s="137">
        <v>0.5912000716442034</v>
      </c>
      <c r="G338" s="137">
        <v>26594.141038116377</v>
      </c>
      <c r="H338" s="137">
        <v>21.57306228483709</v>
      </c>
      <c r="I338" s="137">
        <v>0.0</v>
      </c>
      <c r="J338" s="138">
        <v>0.0</v>
      </c>
      <c r="K338" s="140">
        <v>0.0</v>
      </c>
    </row>
    <row r="339">
      <c r="A339" s="55">
        <v>45137.95970636574</v>
      </c>
      <c r="B339" s="139">
        <v>1.10122</v>
      </c>
      <c r="C339" s="137">
        <v>22.01195038230326</v>
      </c>
      <c r="D339" s="137">
        <v>1.0</v>
      </c>
      <c r="E339" s="137">
        <v>1.0</v>
      </c>
      <c r="F339" s="137">
        <v>0.6002230450722054</v>
      </c>
      <c r="G339" s="137">
        <v>26658.38592280979</v>
      </c>
      <c r="H339" s="137">
        <v>22.01195038230326</v>
      </c>
      <c r="I339" s="137">
        <v>0.0</v>
      </c>
      <c r="J339" s="138">
        <v>0.0</v>
      </c>
      <c r="K339" s="140">
        <v>0.0</v>
      </c>
    </row>
    <row r="340">
      <c r="A340" s="55">
        <v>45136.96007724537</v>
      </c>
      <c r="B340" s="139">
        <v>1.10155</v>
      </c>
      <c r="C340" s="137">
        <v>22.895011574599426</v>
      </c>
      <c r="D340" s="137">
        <v>1.0</v>
      </c>
      <c r="E340" s="137">
        <v>1.0</v>
      </c>
      <c r="F340" s="137">
        <v>0.5946394765185756</v>
      </c>
      <c r="G340" s="137">
        <v>26611.681164811675</v>
      </c>
      <c r="H340" s="137">
        <v>22.895011574599426</v>
      </c>
      <c r="I340" s="137">
        <v>0.0</v>
      </c>
      <c r="J340" s="138">
        <v>0.0</v>
      </c>
      <c r="K340" s="140">
        <v>0.0</v>
      </c>
    </row>
    <row r="341">
      <c r="A341" s="55">
        <v>45135.959708877315</v>
      </c>
      <c r="B341" s="139">
        <v>1.1019400000000001</v>
      </c>
      <c r="C341" s="137">
        <v>22.705410457919665</v>
      </c>
      <c r="D341" s="137">
        <v>1.0</v>
      </c>
      <c r="E341" s="137">
        <v>1.0</v>
      </c>
      <c r="F341" s="137">
        <v>0.5956129905620051</v>
      </c>
      <c r="G341" s="137">
        <v>26498.94186733515</v>
      </c>
      <c r="H341" s="137">
        <v>22.705410457919665</v>
      </c>
      <c r="I341" s="137">
        <v>0.0</v>
      </c>
      <c r="J341" s="138">
        <v>0.0</v>
      </c>
      <c r="K341" s="140">
        <v>0.0</v>
      </c>
    </row>
    <row r="342">
      <c r="A342" s="55">
        <v>45134.960005243054</v>
      </c>
      <c r="B342" s="139">
        <v>1.09965</v>
      </c>
      <c r="C342" s="137">
        <v>22.698131223571135</v>
      </c>
      <c r="D342" s="137">
        <v>1.0</v>
      </c>
      <c r="E342" s="137">
        <v>1.0</v>
      </c>
      <c r="F342" s="137">
        <v>0.5892649000070522</v>
      </c>
      <c r="G342" s="137">
        <v>26702.74442593425</v>
      </c>
      <c r="H342" s="137">
        <v>22.698131223571135</v>
      </c>
      <c r="I342" s="137">
        <v>0.0</v>
      </c>
      <c r="J342" s="138">
        <v>0.0</v>
      </c>
      <c r="K342" s="140">
        <v>0.0</v>
      </c>
    </row>
    <row r="343">
      <c r="A343" s="55">
        <v>45133.95969509259</v>
      </c>
      <c r="B343" s="139">
        <v>1.10717</v>
      </c>
      <c r="C343" s="137">
        <v>22.851052683869685</v>
      </c>
      <c r="D343" s="137">
        <v>1.0</v>
      </c>
      <c r="E343" s="137">
        <v>1.0</v>
      </c>
      <c r="F343" s="137">
        <v>0.566728373049277</v>
      </c>
      <c r="G343" s="137">
        <v>26394.297741434017</v>
      </c>
      <c r="H343" s="137">
        <v>22.851052683869685</v>
      </c>
      <c r="I343" s="137">
        <v>0.0</v>
      </c>
      <c r="J343" s="138">
        <v>0.0</v>
      </c>
      <c r="K343" s="140">
        <v>0.0</v>
      </c>
    </row>
    <row r="344">
      <c r="A344" s="55">
        <v>45132.95971534722</v>
      </c>
      <c r="B344" s="139">
        <v>1.1043</v>
      </c>
      <c r="C344" s="137">
        <v>21.099338947749704</v>
      </c>
      <c r="D344" s="137">
        <v>1.0</v>
      </c>
      <c r="E344" s="137">
        <v>1.0</v>
      </c>
      <c r="F344" s="137">
        <v>0.5660753436740125</v>
      </c>
      <c r="G344" s="137">
        <v>26428.417923623652</v>
      </c>
      <c r="H344" s="137">
        <v>21.099338947749704</v>
      </c>
      <c r="I344" s="137">
        <v>0.0</v>
      </c>
      <c r="J344" s="138">
        <v>0.0</v>
      </c>
      <c r="K344" s="140">
        <v>0.0</v>
      </c>
    </row>
    <row r="345">
      <c r="A345" s="55">
        <v>45131.95970385417</v>
      </c>
      <c r="B345" s="139">
        <v>1.10805</v>
      </c>
      <c r="C345" s="137">
        <v>21.154280041514372</v>
      </c>
      <c r="D345" s="137">
        <v>1.0</v>
      </c>
      <c r="E345" s="137">
        <v>1.0</v>
      </c>
      <c r="F345" s="137">
        <v>0.5646366948322314</v>
      </c>
      <c r="G345" s="137">
        <v>27126.895644343218</v>
      </c>
      <c r="H345" s="137">
        <v>21.154280041514372</v>
      </c>
      <c r="I345" s="137">
        <v>0.0</v>
      </c>
      <c r="J345" s="138">
        <v>0.0</v>
      </c>
      <c r="K345" s="140">
        <v>0.0</v>
      </c>
    </row>
    <row r="346">
      <c r="A346" s="55">
        <v>45130.959720011575</v>
      </c>
      <c r="B346" s="139">
        <v>1.11239</v>
      </c>
      <c r="C346" s="137">
        <v>22.204442686467875</v>
      </c>
      <c r="D346" s="137">
        <v>1.0</v>
      </c>
      <c r="E346" s="137">
        <v>1.0</v>
      </c>
      <c r="F346" s="137">
        <v>0.5664044919941469</v>
      </c>
      <c r="G346" s="137">
        <v>26708.39897517211</v>
      </c>
      <c r="H346" s="137">
        <v>22.204442686467875</v>
      </c>
      <c r="I346" s="137">
        <v>0.0</v>
      </c>
      <c r="J346" s="138">
        <v>0.0</v>
      </c>
      <c r="K346" s="140">
        <v>0.0</v>
      </c>
    </row>
    <row r="347">
      <c r="A347" s="55">
        <v>45129.959746875</v>
      </c>
      <c r="B347" s="139">
        <v>1.1127799999999999</v>
      </c>
      <c r="C347" s="137">
        <v>22.744837254443826</v>
      </c>
      <c r="D347" s="137">
        <v>1.0</v>
      </c>
      <c r="E347" s="137">
        <v>1.0</v>
      </c>
      <c r="F347" s="137">
        <v>0.5732215418521479</v>
      </c>
      <c r="G347" s="137">
        <v>26882.836435197347</v>
      </c>
      <c r="H347" s="137">
        <v>22.744837254443826</v>
      </c>
      <c r="I347" s="137">
        <v>0.0</v>
      </c>
      <c r="J347" s="138">
        <v>0.0</v>
      </c>
      <c r="K347" s="140">
        <v>0.0</v>
      </c>
    </row>
    <row r="348">
      <c r="A348" s="55">
        <v>45128.95972591435</v>
      </c>
      <c r="B348" s="139">
        <v>1.11295</v>
      </c>
      <c r="C348" s="137">
        <v>23.028887191697738</v>
      </c>
      <c r="D348" s="137">
        <v>1.0</v>
      </c>
      <c r="E348" s="137">
        <v>1.0</v>
      </c>
      <c r="F348" s="137">
        <v>0.5733308077845006</v>
      </c>
      <c r="G348" s="137">
        <v>26764.04288634314</v>
      </c>
      <c r="H348" s="137">
        <v>23.028887191697738</v>
      </c>
      <c r="I348" s="137">
        <v>0.0</v>
      </c>
      <c r="J348" s="138">
        <v>0.0</v>
      </c>
      <c r="K348" s="140">
        <v>0.0</v>
      </c>
    </row>
    <row r="349">
      <c r="A349" s="55">
        <v>45127.95972292824</v>
      </c>
      <c r="B349" s="139">
        <v>1.11291</v>
      </c>
      <c r="C349" s="137">
        <v>22.939860366067336</v>
      </c>
      <c r="D349" s="137">
        <v>1.0</v>
      </c>
      <c r="E349" s="137">
        <v>1.0</v>
      </c>
      <c r="F349" s="137">
        <v>0.5631773172329361</v>
      </c>
      <c r="G349" s="137">
        <v>26884.361573042832</v>
      </c>
      <c r="H349" s="137">
        <v>22.939860366067336</v>
      </c>
      <c r="I349" s="137">
        <v>0.0</v>
      </c>
      <c r="J349" s="138">
        <v>0.0</v>
      </c>
      <c r="K349" s="140">
        <v>0.0</v>
      </c>
    </row>
    <row r="350">
      <c r="A350" s="55">
        <v>45126.95974157407</v>
      </c>
      <c r="B350" s="139">
        <v>1.1189200000000001</v>
      </c>
      <c r="C350" s="137">
        <v>23.86229578522146</v>
      </c>
      <c r="D350" s="137">
        <v>1.0</v>
      </c>
      <c r="E350" s="137">
        <v>1.0</v>
      </c>
      <c r="F350" s="137">
        <v>0.5592647446399295</v>
      </c>
      <c r="G350" s="137">
        <v>26675.751861174344</v>
      </c>
      <c r="H350" s="137">
        <v>23.86229578522146</v>
      </c>
      <c r="I350" s="137">
        <v>0.0</v>
      </c>
      <c r="J350" s="138">
        <v>0.0</v>
      </c>
      <c r="K350" s="140">
        <v>0.0</v>
      </c>
    </row>
    <row r="351">
      <c r="A351" s="55">
        <v>45125.95974273148</v>
      </c>
      <c r="B351" s="139">
        <v>1.12365</v>
      </c>
      <c r="C351" s="137">
        <v>22.542606683575844</v>
      </c>
      <c r="D351" s="137">
        <v>1.0</v>
      </c>
      <c r="E351" s="137">
        <v>1.0</v>
      </c>
      <c r="F351" s="137">
        <v>0.5600095996461291</v>
      </c>
      <c r="G351" s="137">
        <v>26830.294201229473</v>
      </c>
      <c r="H351" s="137">
        <v>22.542606683575844</v>
      </c>
      <c r="I351" s="137">
        <v>0.0</v>
      </c>
      <c r="J351" s="138">
        <v>0.0</v>
      </c>
      <c r="K351" s="140">
        <v>0.0</v>
      </c>
    </row>
    <row r="352">
      <c r="A352" s="55">
        <v>45124.95972613426</v>
      </c>
      <c r="B352" s="139">
        <v>1.12317</v>
      </c>
      <c r="C352" s="137">
        <v>23.54051479295209</v>
      </c>
      <c r="D352" s="137">
        <v>1.0</v>
      </c>
      <c r="E352" s="137">
        <v>1.0</v>
      </c>
      <c r="F352" s="137">
        <v>0.5464144964810626</v>
      </c>
      <c r="G352" s="137">
        <v>26921.423101708555</v>
      </c>
      <c r="H352" s="137">
        <v>23.54051479295209</v>
      </c>
      <c r="I352" s="137">
        <v>0.0</v>
      </c>
      <c r="J352" s="138">
        <v>0.0</v>
      </c>
      <c r="K352" s="140">
        <v>0.0</v>
      </c>
    </row>
    <row r="353">
      <c r="A353" s="55">
        <v>45123.95969902778</v>
      </c>
      <c r="B353" s="139">
        <v>1.1220899999999998</v>
      </c>
      <c r="C353" s="137">
        <v>24.570221639975408</v>
      </c>
      <c r="D353" s="137">
        <v>1.0</v>
      </c>
      <c r="E353" s="137">
        <v>1.0</v>
      </c>
      <c r="F353" s="137">
        <v>0.5511735210824882</v>
      </c>
      <c r="G353" s="137">
        <v>27001.37368671453</v>
      </c>
      <c r="H353" s="137">
        <v>24.570221639975408</v>
      </c>
      <c r="I353" s="137">
        <v>0.0</v>
      </c>
      <c r="J353" s="138">
        <v>0.0</v>
      </c>
      <c r="K353" s="140">
        <v>0.0</v>
      </c>
    </row>
    <row r="354">
      <c r="A354" s="55">
        <v>45122.95970126157</v>
      </c>
      <c r="B354" s="139">
        <v>1.1234000000000002</v>
      </c>
      <c r="C354" s="137">
        <v>24.488160940003556</v>
      </c>
      <c r="D354" s="137">
        <v>1.0</v>
      </c>
      <c r="E354" s="137">
        <v>1.0</v>
      </c>
      <c r="F354" s="137">
        <v>0.5542890983394231</v>
      </c>
      <c r="G354" s="137">
        <v>26982.22165580425</v>
      </c>
      <c r="H354" s="137">
        <v>24.488160940003556</v>
      </c>
      <c r="I354" s="137">
        <v>0.0</v>
      </c>
      <c r="J354" s="138">
        <v>0.0</v>
      </c>
      <c r="K354" s="140">
        <v>0.0</v>
      </c>
    </row>
    <row r="355">
      <c r="A355" s="55">
        <v>45121.960062384256</v>
      </c>
      <c r="B355" s="139">
        <v>1.1239700000000001</v>
      </c>
      <c r="C355" s="137">
        <v>23.523759530948332</v>
      </c>
      <c r="D355" s="137">
        <v>1.0</v>
      </c>
      <c r="E355" s="137">
        <v>1.0</v>
      </c>
      <c r="F355" s="137">
        <v>0.5562397910924027</v>
      </c>
      <c r="G355" s="137">
        <v>27977.62838071443</v>
      </c>
      <c r="H355" s="137">
        <v>23.523759530948332</v>
      </c>
      <c r="I355" s="137">
        <v>0.0</v>
      </c>
      <c r="J355" s="138">
        <v>0.0</v>
      </c>
      <c r="K355" s="140">
        <v>0.0</v>
      </c>
    </row>
    <row r="356">
      <c r="A356" s="55">
        <v>45120.959710995376</v>
      </c>
      <c r="B356" s="139">
        <v>1.1193499999999998</v>
      </c>
      <c r="C356" s="137">
        <v>22.94188591593336</v>
      </c>
      <c r="D356" s="137">
        <v>1.0</v>
      </c>
      <c r="E356" s="137">
        <v>1.0</v>
      </c>
      <c r="F356" s="137">
        <v>0.5763281658322099</v>
      </c>
      <c r="G356" s="137">
        <v>27165.24439572958</v>
      </c>
      <c r="H356" s="137">
        <v>22.94188591593336</v>
      </c>
      <c r="I356" s="137">
        <v>0.0</v>
      </c>
      <c r="J356" s="138">
        <v>0.0</v>
      </c>
      <c r="K356" s="140">
        <v>0.0</v>
      </c>
    </row>
    <row r="357">
      <c r="A357" s="55">
        <v>45119.959759641206</v>
      </c>
      <c r="B357" s="139">
        <v>1.11222</v>
      </c>
      <c r="C357" s="137">
        <v>19.81622340903778</v>
      </c>
      <c r="D357" s="137">
        <v>1.0</v>
      </c>
      <c r="E357" s="137">
        <v>1.0</v>
      </c>
      <c r="F357" s="137">
        <v>0.5646087805126782</v>
      </c>
      <c r="G357" s="137">
        <v>27531.25662816529</v>
      </c>
      <c r="H357" s="137">
        <v>19.81622340903778</v>
      </c>
      <c r="I357" s="137">
        <v>0.0</v>
      </c>
      <c r="J357" s="138">
        <v>0.0</v>
      </c>
      <c r="K357" s="140">
        <v>0.0</v>
      </c>
    </row>
    <row r="358">
      <c r="A358" s="55">
        <v>45118.95971270833</v>
      </c>
      <c r="B358" s="139">
        <v>1.09918</v>
      </c>
      <c r="C358" s="137">
        <v>19.86025946614749</v>
      </c>
      <c r="D358" s="137">
        <v>1.0</v>
      </c>
      <c r="E358" s="137">
        <v>1.0</v>
      </c>
      <c r="F358" s="137">
        <v>0.5624725637184428</v>
      </c>
      <c r="G358" s="137">
        <v>27651.777821990483</v>
      </c>
      <c r="H358" s="137">
        <v>19.86025946614749</v>
      </c>
      <c r="I358" s="137">
        <v>0.0</v>
      </c>
      <c r="J358" s="138">
        <v>0.0</v>
      </c>
      <c r="K358" s="140">
        <v>0.0</v>
      </c>
    </row>
    <row r="359">
      <c r="A359" s="55">
        <v>45117.95972344908</v>
      </c>
      <c r="B359" s="139">
        <v>1.10002</v>
      </c>
      <c r="C359" s="137">
        <v>19.65418810567081</v>
      </c>
      <c r="D359" s="137">
        <v>1.0</v>
      </c>
      <c r="E359" s="137">
        <v>1.0</v>
      </c>
      <c r="F359" s="137">
        <v>0.558901131290682</v>
      </c>
      <c r="G359" s="137">
        <v>27426.656476681517</v>
      </c>
      <c r="H359" s="137">
        <v>19.65418810567081</v>
      </c>
      <c r="I359" s="137">
        <v>0.0</v>
      </c>
      <c r="J359" s="138">
        <v>0.0</v>
      </c>
      <c r="K359" s="140">
        <v>0.0</v>
      </c>
    </row>
    <row r="360">
      <c r="A360" s="55">
        <v>45116.959720729166</v>
      </c>
      <c r="B360" s="139">
        <v>1.0968099999999998</v>
      </c>
      <c r="C360" s="137">
        <v>19.347015435672542</v>
      </c>
      <c r="D360" s="137">
        <v>1.0</v>
      </c>
      <c r="E360" s="137">
        <v>1.0</v>
      </c>
      <c r="F360" s="137">
        <v>0.5611693108539045</v>
      </c>
      <c r="G360" s="137">
        <v>27592.92616338035</v>
      </c>
      <c r="H360" s="137">
        <v>19.347015435672542</v>
      </c>
      <c r="I360" s="137">
        <v>0.0</v>
      </c>
      <c r="J360" s="138">
        <v>0.0</v>
      </c>
      <c r="K360" s="140">
        <v>0.0</v>
      </c>
    </row>
    <row r="361">
      <c r="A361" s="55">
        <v>45115.95971539352</v>
      </c>
      <c r="B361" s="139">
        <v>1.09585</v>
      </c>
      <c r="C361" s="137">
        <v>19.90235889948442</v>
      </c>
      <c r="D361" s="137">
        <v>1.0</v>
      </c>
      <c r="E361" s="137">
        <v>1.0</v>
      </c>
      <c r="F361" s="137">
        <v>0.5665163568631355</v>
      </c>
      <c r="G361" s="137">
        <v>27663.69977857517</v>
      </c>
      <c r="H361" s="137">
        <v>19.90235889948442</v>
      </c>
      <c r="I361" s="137">
        <v>0.0</v>
      </c>
      <c r="J361" s="138">
        <v>0.0</v>
      </c>
      <c r="K361" s="140">
        <v>0.0</v>
      </c>
    </row>
    <row r="362">
      <c r="A362" s="55">
        <v>45114.95980806713</v>
      </c>
      <c r="B362" s="139">
        <v>1.09675</v>
      </c>
      <c r="C362" s="137">
        <v>19.51219512195122</v>
      </c>
      <c r="D362" s="137">
        <v>1.0</v>
      </c>
      <c r="E362" s="137">
        <v>1.0</v>
      </c>
      <c r="F362" s="137">
        <v>0.5630194035407887</v>
      </c>
      <c r="G362" s="137">
        <v>27344.47700134051</v>
      </c>
      <c r="H362" s="137">
        <v>19.51219512195122</v>
      </c>
      <c r="I362" s="137">
        <v>0.0</v>
      </c>
      <c r="J362" s="138">
        <v>0.0</v>
      </c>
      <c r="K362" s="140">
        <v>0.0</v>
      </c>
    </row>
    <row r="363">
      <c r="A363" s="55">
        <v>45113.959722291664</v>
      </c>
      <c r="B363" s="139">
        <v>1.08877</v>
      </c>
      <c r="C363" s="137">
        <v>18.76429365247022</v>
      </c>
      <c r="D363" s="137">
        <v>1.0</v>
      </c>
      <c r="E363" s="137">
        <v>1.0</v>
      </c>
      <c r="F363" s="137">
        <v>0.5732309276394767</v>
      </c>
      <c r="G363" s="137">
        <v>27999.29624661177</v>
      </c>
      <c r="H363" s="137">
        <v>18.76429365247022</v>
      </c>
      <c r="I363" s="137">
        <v>0.0</v>
      </c>
      <c r="J363" s="138">
        <v>0.0</v>
      </c>
      <c r="K363" s="140">
        <v>0.0</v>
      </c>
    </row>
    <row r="364">
      <c r="A364" s="55">
        <v>45112.96004667824</v>
      </c>
      <c r="B364" s="139">
        <v>1.0855599999999999</v>
      </c>
      <c r="C364" s="137">
        <v>17.281403146762965</v>
      </c>
      <c r="D364" s="137">
        <v>1.0</v>
      </c>
      <c r="E364" s="137">
        <v>1.0</v>
      </c>
      <c r="F364" s="137">
        <v>0.581177712015079</v>
      </c>
      <c r="G364" s="137">
        <v>28349.99817824469</v>
      </c>
      <c r="H364" s="137">
        <v>17.281403146762965</v>
      </c>
      <c r="I364" s="137">
        <v>0.0</v>
      </c>
      <c r="J364" s="138">
        <v>0.0</v>
      </c>
      <c r="K364" s="140">
        <v>0.0</v>
      </c>
    </row>
    <row r="365">
      <c r="A365" s="55">
        <v>45111.95974394676</v>
      </c>
      <c r="B365" s="139">
        <v>1.0895</v>
      </c>
      <c r="C365" s="137">
        <v>17.84304726938963</v>
      </c>
      <c r="D365" s="137">
        <v>1.0</v>
      </c>
      <c r="E365" s="137">
        <v>1.0</v>
      </c>
      <c r="F365" s="137">
        <v>0.5838612744264333</v>
      </c>
      <c r="G365" s="137">
        <v>28577.06574897513</v>
      </c>
      <c r="H365" s="137">
        <v>17.84304726938963</v>
      </c>
      <c r="I365" s="137">
        <v>0.0</v>
      </c>
      <c r="J365" s="138">
        <v>0.0</v>
      </c>
      <c r="K365" s="140">
        <v>0.0</v>
      </c>
    </row>
    <row r="366">
      <c r="A366" s="55">
        <v>45110.95972107639</v>
      </c>
      <c r="B366" s="139">
        <v>1.09168</v>
      </c>
      <c r="C366" s="137">
        <v>17.495969514876155</v>
      </c>
      <c r="D366" s="137">
        <v>1.0</v>
      </c>
      <c r="E366" s="137">
        <v>1.0</v>
      </c>
      <c r="F366" s="137">
        <v>0.5792515532459952</v>
      </c>
      <c r="G366" s="137">
        <v>28004.440012523268</v>
      </c>
      <c r="H366" s="137">
        <v>17.495969514876155</v>
      </c>
      <c r="I366" s="137">
        <v>0.0</v>
      </c>
      <c r="J366" s="138">
        <v>0.0</v>
      </c>
      <c r="K366" s="140">
        <v>0.0</v>
      </c>
    </row>
    <row r="367">
      <c r="A367" s="55">
        <v>45109.95970614583</v>
      </c>
      <c r="B367" s="139">
        <v>1.09028</v>
      </c>
      <c r="C367" s="137">
        <v>17.866969952672708</v>
      </c>
      <c r="D367" s="137">
        <v>1.0</v>
      </c>
      <c r="E367" s="137">
        <v>1.0</v>
      </c>
      <c r="F367" s="137">
        <v>0.5796033951587464</v>
      </c>
      <c r="G367" s="137">
        <v>28051.160802452127</v>
      </c>
      <c r="H367" s="137">
        <v>17.866969952672708</v>
      </c>
      <c r="I367" s="137">
        <v>0.0</v>
      </c>
      <c r="J367" s="138">
        <v>0.0</v>
      </c>
      <c r="K367" s="140">
        <v>0.0</v>
      </c>
    </row>
    <row r="368">
      <c r="A368" s="55">
        <v>45108.959704583336</v>
      </c>
      <c r="B368" s="139">
        <v>1.0908499999999999</v>
      </c>
      <c r="C368" s="137">
        <v>16.849246000825044</v>
      </c>
      <c r="D368" s="137">
        <v>1.0</v>
      </c>
      <c r="E368" s="137">
        <v>1.0</v>
      </c>
      <c r="F368" s="137">
        <v>0.5891612556932035</v>
      </c>
      <c r="G368" s="137">
        <v>27942.22989590173</v>
      </c>
      <c r="H368" s="137">
        <v>16.849246000825044</v>
      </c>
      <c r="I368" s="137">
        <v>0.0</v>
      </c>
      <c r="J368" s="138">
        <v>0.0</v>
      </c>
      <c r="K368" s="140">
        <v>0.0</v>
      </c>
    </row>
    <row r="369">
      <c r="A369" s="55">
        <v>45107.95971451389</v>
      </c>
      <c r="B369" s="139">
        <v>1.09149</v>
      </c>
      <c r="C369" s="137">
        <v>17.508176895802983</v>
      </c>
      <c r="D369" s="137">
        <v>1.0</v>
      </c>
      <c r="E369" s="137">
        <v>1.0</v>
      </c>
      <c r="F369" s="137">
        <v>0.5898392997668571</v>
      </c>
      <c r="G369" s="137">
        <v>27912.862652789765</v>
      </c>
      <c r="H369" s="137">
        <v>17.508176895802983</v>
      </c>
      <c r="I369" s="137">
        <v>0.0</v>
      </c>
      <c r="J369" s="138">
        <v>0.0</v>
      </c>
      <c r="K369" s="140">
        <v>0.0</v>
      </c>
    </row>
    <row r="370">
      <c r="A370" s="55">
        <v>45106.960064513885</v>
      </c>
      <c r="B370" s="139">
        <v>1.08819</v>
      </c>
      <c r="C370" s="137">
        <v>16.2563522914197</v>
      </c>
      <c r="D370" s="137">
        <v>1.0</v>
      </c>
      <c r="E370" s="137">
        <v>1.0</v>
      </c>
      <c r="F370" s="137">
        <v>0.5845456842651457</v>
      </c>
      <c r="G370" s="137">
        <v>27645.42703504333</v>
      </c>
      <c r="H370" s="137">
        <v>16.2563522914197</v>
      </c>
      <c r="I370" s="137">
        <v>0.0</v>
      </c>
      <c r="J370" s="138">
        <v>0.0</v>
      </c>
      <c r="K370" s="140">
        <v>0.0</v>
      </c>
    </row>
    <row r="371">
      <c r="A371" s="55">
        <v>45105.959711724536</v>
      </c>
      <c r="B371" s="139">
        <v>1.09095</v>
      </c>
      <c r="C371" s="137">
        <v>14.702781979009119</v>
      </c>
      <c r="D371" s="137">
        <v>1.0</v>
      </c>
      <c r="E371" s="137">
        <v>1.0</v>
      </c>
      <c r="F371" s="137">
        <v>0.5690653726858068</v>
      </c>
      <c r="G371" s="137">
        <v>28134.695775304</v>
      </c>
      <c r="H371" s="137">
        <v>14.702781979009119</v>
      </c>
      <c r="I371" s="137">
        <v>0.0</v>
      </c>
      <c r="J371" s="138">
        <v>0.0</v>
      </c>
      <c r="K371" s="140">
        <v>0.0</v>
      </c>
    </row>
    <row r="372">
      <c r="A372" s="55">
        <v>45104.95971225694</v>
      </c>
      <c r="B372" s="139">
        <v>1.09593</v>
      </c>
      <c r="C372" s="137">
        <v>15.402443586725427</v>
      </c>
      <c r="D372" s="137">
        <v>1.0</v>
      </c>
      <c r="E372" s="137">
        <v>1.0</v>
      </c>
      <c r="F372" s="137">
        <v>0.5844027522508919</v>
      </c>
      <c r="G372" s="137">
        <v>27634.525073746223</v>
      </c>
      <c r="H372" s="137">
        <v>15.402443586725427</v>
      </c>
      <c r="I372" s="137">
        <v>0.0</v>
      </c>
      <c r="J372" s="138">
        <v>0.0</v>
      </c>
      <c r="K372" s="140">
        <v>0.0</v>
      </c>
    </row>
    <row r="373">
      <c r="A373" s="55">
        <v>45103.95970893519</v>
      </c>
      <c r="B373" s="139">
        <v>1.09187</v>
      </c>
      <c r="C373" s="137">
        <v>14.81861393755667</v>
      </c>
      <c r="D373" s="137">
        <v>1.0</v>
      </c>
      <c r="E373" s="137">
        <v>1.0</v>
      </c>
      <c r="F373" s="137">
        <v>0.5815100828586014</v>
      </c>
      <c r="G373" s="137">
        <v>27892.292099256872</v>
      </c>
      <c r="H373" s="137">
        <v>14.81861393755667</v>
      </c>
      <c r="I373" s="137">
        <v>0.0</v>
      </c>
      <c r="J373" s="138">
        <v>0.0</v>
      </c>
      <c r="K373" s="140">
        <v>0.0</v>
      </c>
    </row>
    <row r="374">
      <c r="A374" s="55">
        <v>45102.959695</v>
      </c>
      <c r="B374" s="139">
        <v>1.08829</v>
      </c>
      <c r="C374" s="137">
        <v>15.565703994339746</v>
      </c>
      <c r="D374" s="137">
        <v>1.0</v>
      </c>
      <c r="E374" s="137">
        <v>1.0</v>
      </c>
      <c r="F374" s="137">
        <v>0.589991564550844</v>
      </c>
      <c r="G374" s="137">
        <v>28060.36687338366</v>
      </c>
      <c r="H374" s="137">
        <v>15.565703994339746</v>
      </c>
      <c r="I374" s="137">
        <v>0.0</v>
      </c>
      <c r="J374" s="138">
        <v>0.0</v>
      </c>
      <c r="K374" s="140">
        <v>0.0</v>
      </c>
    </row>
    <row r="375">
      <c r="A375" s="55">
        <v>45101.95972706018</v>
      </c>
      <c r="B375" s="139">
        <v>1.0922100000000001</v>
      </c>
      <c r="C375" s="137">
        <v>15.180230907975568</v>
      </c>
      <c r="D375" s="137">
        <v>1.0</v>
      </c>
      <c r="E375" s="137">
        <v>1.0</v>
      </c>
      <c r="F375" s="137">
        <v>0.5899431285108605</v>
      </c>
      <c r="G375" s="137">
        <v>28043.36561040065</v>
      </c>
      <c r="H375" s="137">
        <v>15.180230907975568</v>
      </c>
      <c r="I375" s="137">
        <v>0.0</v>
      </c>
      <c r="J375" s="138">
        <v>0.0</v>
      </c>
      <c r="K375" s="140">
        <v>0.0</v>
      </c>
    </row>
    <row r="376">
      <c r="A376" s="55">
        <v>45100.959760011574</v>
      </c>
      <c r="B376" s="139">
        <v>1.08893</v>
      </c>
      <c r="C376" s="137">
        <v>15.731038726088913</v>
      </c>
      <c r="D376" s="137">
        <v>1.0</v>
      </c>
      <c r="E376" s="137">
        <v>1.0</v>
      </c>
      <c r="F376" s="137">
        <v>0.5963103131076084</v>
      </c>
      <c r="G376" s="137">
        <v>27490.869116242095</v>
      </c>
      <c r="H376" s="137">
        <v>15.731038726088913</v>
      </c>
      <c r="I376" s="137">
        <v>0.0</v>
      </c>
      <c r="J376" s="138">
        <v>0.0</v>
      </c>
      <c r="K376" s="140">
        <v>0.0</v>
      </c>
    </row>
    <row r="377">
      <c r="A377" s="55">
        <v>45099.959696192134</v>
      </c>
      <c r="B377" s="139">
        <v>1.0955899999999998</v>
      </c>
      <c r="C377" s="137">
        <v>15.315948484378284</v>
      </c>
      <c r="D377" s="137">
        <v>1.0</v>
      </c>
      <c r="E377" s="137">
        <v>1.0</v>
      </c>
      <c r="F377" s="137">
        <v>0.5811109381547761</v>
      </c>
      <c r="G377" s="137">
        <v>27475.39208963992</v>
      </c>
      <c r="H377" s="137">
        <v>15.315948484378284</v>
      </c>
      <c r="I377" s="137">
        <v>0.0</v>
      </c>
      <c r="J377" s="138">
        <v>0.0</v>
      </c>
      <c r="K377" s="140">
        <v>0.0</v>
      </c>
    </row>
    <row r="378">
      <c r="A378" s="55">
        <v>45098.959730625</v>
      </c>
      <c r="B378" s="139">
        <v>1.09867</v>
      </c>
      <c r="C378" s="137">
        <v>15.518763595984236</v>
      </c>
      <c r="D378" s="137">
        <v>1.0</v>
      </c>
      <c r="E378" s="137">
        <v>1.0</v>
      </c>
      <c r="F378" s="137">
        <v>0.5898597668911393</v>
      </c>
      <c r="G378" s="137">
        <v>25786.534100146084</v>
      </c>
      <c r="H378" s="137">
        <v>15.518763595984236</v>
      </c>
      <c r="I378" s="137">
        <v>0.0</v>
      </c>
      <c r="J378" s="138">
        <v>0.0</v>
      </c>
      <c r="K378" s="140">
        <v>0.0</v>
      </c>
    </row>
    <row r="379">
      <c r="A379" s="55">
        <v>45097.9597162037</v>
      </c>
      <c r="B379" s="139">
        <v>1.09104</v>
      </c>
      <c r="C379" s="137">
        <v>14.133304003519578</v>
      </c>
      <c r="D379" s="137">
        <v>1.0</v>
      </c>
      <c r="E379" s="137">
        <v>1.0</v>
      </c>
      <c r="F379" s="137">
        <v>0.5697024789816908</v>
      </c>
      <c r="G379" s="137">
        <v>24544.826460553966</v>
      </c>
      <c r="H379" s="137">
        <v>14.133304003519578</v>
      </c>
      <c r="I379" s="137">
        <v>0.0</v>
      </c>
      <c r="J379" s="138">
        <v>0.0</v>
      </c>
      <c r="K379" s="140">
        <v>0.0</v>
      </c>
    </row>
    <row r="380">
      <c r="A380" s="55">
        <v>45096.95969979167</v>
      </c>
      <c r="B380" s="139">
        <v>1.092</v>
      </c>
      <c r="C380" s="137">
        <v>14.12087912087912</v>
      </c>
      <c r="D380" s="137">
        <v>1.0</v>
      </c>
      <c r="E380" s="137">
        <v>1.0</v>
      </c>
      <c r="F380" s="137">
        <v>0.5556882979756602</v>
      </c>
      <c r="G380" s="137">
        <v>24114.55359859368</v>
      </c>
      <c r="H380" s="137">
        <v>14.12087912087912</v>
      </c>
      <c r="I380" s="137">
        <v>0.0</v>
      </c>
      <c r="J380" s="138">
        <v>0.0</v>
      </c>
      <c r="K380" s="140">
        <v>0.0</v>
      </c>
    </row>
    <row r="381">
      <c r="A381" s="55">
        <v>45095.95970910879</v>
      </c>
      <c r="B381" s="139">
        <v>1.09446</v>
      </c>
      <c r="C381" s="137">
        <v>14.125687553679441</v>
      </c>
      <c r="D381" s="137">
        <v>1.0</v>
      </c>
      <c r="E381" s="137">
        <v>1.0</v>
      </c>
      <c r="F381" s="137">
        <v>0.5520588820344198</v>
      </c>
      <c r="G381" s="137">
        <v>24213.8081265954</v>
      </c>
      <c r="H381" s="137">
        <v>14.125687553679441</v>
      </c>
      <c r="I381" s="137">
        <v>0.0</v>
      </c>
      <c r="J381" s="138">
        <v>0.0</v>
      </c>
      <c r="K381" s="140">
        <v>0.0</v>
      </c>
    </row>
    <row r="382">
      <c r="A382" s="55">
        <v>45094.9597009375</v>
      </c>
      <c r="B382" s="139">
        <v>1.09576</v>
      </c>
      <c r="C382" s="137">
        <v>14.300576768635466</v>
      </c>
      <c r="D382" s="137">
        <v>1.0</v>
      </c>
      <c r="E382" s="137">
        <v>1.0</v>
      </c>
      <c r="F382" s="137">
        <v>0.551463790778207</v>
      </c>
      <c r="G382" s="137">
        <v>24026.543832092702</v>
      </c>
      <c r="H382" s="137">
        <v>14.300576768635466</v>
      </c>
      <c r="I382" s="137">
        <v>0.0</v>
      </c>
      <c r="J382" s="138">
        <v>0.0</v>
      </c>
      <c r="K382" s="140">
        <v>0.0</v>
      </c>
    </row>
    <row r="383">
      <c r="A383" s="55">
        <v>45093.95970877315</v>
      </c>
      <c r="B383" s="139">
        <v>1.09416</v>
      </c>
      <c r="C383" s="137">
        <v>14.010747971046282</v>
      </c>
      <c r="D383" s="137">
        <v>1.0</v>
      </c>
      <c r="E383" s="137">
        <v>1.0</v>
      </c>
      <c r="F383" s="137">
        <v>0.5514376670171383</v>
      </c>
      <c r="G383" s="137">
        <v>23364.589852386398</v>
      </c>
      <c r="H383" s="137">
        <v>14.010747971046282</v>
      </c>
      <c r="I383" s="137">
        <v>0.0</v>
      </c>
      <c r="J383" s="138">
        <v>0.0</v>
      </c>
      <c r="K383" s="140">
        <v>0.0</v>
      </c>
    </row>
    <row r="384">
      <c r="A384" s="55">
        <v>45092.959711296295</v>
      </c>
      <c r="B384" s="139">
        <v>1.09464</v>
      </c>
      <c r="C384" s="137">
        <v>13.575239348096176</v>
      </c>
      <c r="D384" s="137">
        <v>1.0</v>
      </c>
      <c r="E384" s="137">
        <v>1.0</v>
      </c>
      <c r="F384" s="137">
        <v>0.5511244585666812</v>
      </c>
      <c r="G384" s="137">
        <v>22936.997273880454</v>
      </c>
      <c r="H384" s="137">
        <v>13.575239348096176</v>
      </c>
      <c r="I384" s="137">
        <v>0.0</v>
      </c>
      <c r="J384" s="138">
        <v>0.0</v>
      </c>
      <c r="K384" s="140">
        <v>0.0</v>
      </c>
    </row>
    <row r="385">
      <c r="A385" s="55">
        <v>45091.95973212963</v>
      </c>
      <c r="B385" s="139">
        <v>1.0831300000000001</v>
      </c>
      <c r="C385" s="137">
        <v>13.331733032969263</v>
      </c>
      <c r="D385" s="137">
        <v>1.0</v>
      </c>
      <c r="E385" s="137">
        <v>1.0</v>
      </c>
      <c r="F385" s="137">
        <v>0.5567210289816318</v>
      </c>
      <c r="G385" s="137">
        <v>23886.520047265793</v>
      </c>
      <c r="H385" s="137">
        <v>13.331733032969263</v>
      </c>
      <c r="I385" s="137">
        <v>0.0</v>
      </c>
      <c r="J385" s="138">
        <v>0.0</v>
      </c>
      <c r="K385" s="140">
        <v>0.0</v>
      </c>
    </row>
    <row r="386">
      <c r="A386" s="55">
        <v>45090.95846314815</v>
      </c>
      <c r="B386" s="139">
        <v>1.0791099999999998</v>
      </c>
      <c r="C386" s="137">
        <v>13.881810010100919</v>
      </c>
      <c r="D386" s="137">
        <v>1.0</v>
      </c>
      <c r="E386" s="137">
        <v>1.0</v>
      </c>
      <c r="F386" s="137">
        <v>0.5732145309760962</v>
      </c>
      <c r="G386" s="137">
        <v>24010.863343792018</v>
      </c>
      <c r="H386" s="137">
        <v>13.881810010100919</v>
      </c>
      <c r="I386" s="137">
        <v>0.0</v>
      </c>
      <c r="J386" s="138">
        <v>0.0</v>
      </c>
      <c r="K386" s="140">
        <v>0.0</v>
      </c>
    </row>
    <row r="387">
      <c r="A387" s="55">
        <v>45089.960061122685</v>
      </c>
      <c r="B387" s="139">
        <v>1.07565</v>
      </c>
      <c r="C387" s="137">
        <v>14.177474085436712</v>
      </c>
      <c r="D387" s="137">
        <v>1.0</v>
      </c>
      <c r="E387" s="137">
        <v>1.0</v>
      </c>
      <c r="F387" s="137">
        <v>0.5751598227066954</v>
      </c>
      <c r="G387" s="137">
        <v>24093.878023873753</v>
      </c>
      <c r="H387" s="137">
        <v>14.177474085436712</v>
      </c>
      <c r="I387" s="137">
        <v>0.0</v>
      </c>
      <c r="J387" s="138">
        <v>0.0</v>
      </c>
      <c r="K387" s="140">
        <v>0.0</v>
      </c>
    </row>
    <row r="388">
      <c r="A388" s="55">
        <v>45088.95971380787</v>
      </c>
      <c r="B388" s="139">
        <v>1.07471</v>
      </c>
      <c r="C388" s="137">
        <v>14.599287249583607</v>
      </c>
      <c r="D388" s="137">
        <v>1.0</v>
      </c>
      <c r="E388" s="137">
        <v>1.0</v>
      </c>
      <c r="F388" s="137">
        <v>0.5770436635574993</v>
      </c>
      <c r="G388" s="137">
        <v>24060.55856201729</v>
      </c>
      <c r="H388" s="137">
        <v>14.599287249583607</v>
      </c>
      <c r="I388" s="137">
        <v>0.0</v>
      </c>
      <c r="J388" s="138">
        <v>0.0</v>
      </c>
      <c r="K388" s="140">
        <v>0.0</v>
      </c>
    </row>
    <row r="389">
      <c r="A389" s="55">
        <v>45087.95971398149</v>
      </c>
      <c r="B389" s="139">
        <v>1.0756199999999998</v>
      </c>
      <c r="C389" s="137">
        <v>14.39169967088749</v>
      </c>
      <c r="D389" s="137">
        <v>1.0</v>
      </c>
      <c r="E389" s="137">
        <v>1.0</v>
      </c>
      <c r="F389" s="137">
        <v>0.5774822802480923</v>
      </c>
      <c r="G389" s="137">
        <v>24608.673773272163</v>
      </c>
      <c r="H389" s="137">
        <v>14.39169967088749</v>
      </c>
      <c r="I389" s="137">
        <v>0.0</v>
      </c>
      <c r="J389" s="138">
        <v>0.0</v>
      </c>
      <c r="K389" s="140">
        <v>0.0</v>
      </c>
    </row>
    <row r="390">
      <c r="A390" s="55">
        <v>45086.95971378472</v>
      </c>
      <c r="B390" s="139">
        <v>1.07558</v>
      </c>
      <c r="C390" s="137">
        <v>16.38185908997936</v>
      </c>
      <c r="D390" s="137">
        <v>1.0</v>
      </c>
      <c r="E390" s="137">
        <v>1.0</v>
      </c>
      <c r="F390" s="137">
        <v>0.5830376401757061</v>
      </c>
      <c r="G390" s="137">
        <v>24645.223871960152</v>
      </c>
      <c r="H390" s="137">
        <v>16.38185908997936</v>
      </c>
      <c r="I390" s="137">
        <v>0.0</v>
      </c>
      <c r="J390" s="138">
        <v>0.0</v>
      </c>
      <c r="K390" s="140">
        <v>0.0</v>
      </c>
    </row>
    <row r="391">
      <c r="A391" s="55">
        <v>45085.959729305556</v>
      </c>
      <c r="B391" s="139">
        <v>1.07814</v>
      </c>
      <c r="C391" s="137">
        <v>17.520915651028623</v>
      </c>
      <c r="D391" s="137">
        <v>1.0</v>
      </c>
      <c r="E391" s="137">
        <v>1.0</v>
      </c>
      <c r="F391" s="137">
        <v>0.5851887219146447</v>
      </c>
      <c r="G391" s="137">
        <v>24436.756400038583</v>
      </c>
      <c r="H391" s="137">
        <v>17.520915651028623</v>
      </c>
      <c r="I391" s="137">
        <v>0.0</v>
      </c>
      <c r="J391" s="138">
        <v>0.0</v>
      </c>
      <c r="K391" s="140">
        <v>0.0</v>
      </c>
    </row>
    <row r="392">
      <c r="A392" s="55">
        <v>45084.95971782407</v>
      </c>
      <c r="B392" s="139">
        <v>1.06979</v>
      </c>
      <c r="C392" s="137">
        <v>17.470718552239227</v>
      </c>
      <c r="D392" s="137">
        <v>1.0</v>
      </c>
      <c r="E392" s="137">
        <v>1.0</v>
      </c>
      <c r="F392" s="137">
        <v>0.602548746401863</v>
      </c>
      <c r="G392" s="137">
        <v>25441.0824224359</v>
      </c>
      <c r="H392" s="137">
        <v>17.470718552239227</v>
      </c>
      <c r="I392" s="137">
        <v>0.0</v>
      </c>
      <c r="J392" s="138">
        <v>0.0</v>
      </c>
      <c r="K392" s="140">
        <v>0.0</v>
      </c>
    </row>
    <row r="393">
      <c r="A393" s="55">
        <v>45083.95971627315</v>
      </c>
      <c r="B393" s="139">
        <v>1.06911</v>
      </c>
      <c r="C393" s="137">
        <v>19.081291915705584</v>
      </c>
      <c r="D393" s="137">
        <v>1.0</v>
      </c>
      <c r="E393" s="137">
        <v>1.0</v>
      </c>
      <c r="F393" s="137">
        <v>0.6193293856731019</v>
      </c>
      <c r="G393" s="137">
        <v>24125.315533699435</v>
      </c>
      <c r="H393" s="137">
        <v>19.081291915705584</v>
      </c>
      <c r="I393" s="137">
        <v>0.0</v>
      </c>
      <c r="J393" s="138">
        <v>0.0</v>
      </c>
      <c r="K393" s="140">
        <v>0.0</v>
      </c>
    </row>
    <row r="394">
      <c r="A394" s="55">
        <v>45082.95970177083</v>
      </c>
      <c r="B394" s="139">
        <v>1.07125</v>
      </c>
      <c r="C394" s="137">
        <v>18.539089848308052</v>
      </c>
      <c r="D394" s="137">
        <v>1.0</v>
      </c>
      <c r="E394" s="137">
        <v>1.0</v>
      </c>
      <c r="F394" s="137">
        <v>0.5961508573254207</v>
      </c>
      <c r="G394" s="137">
        <v>25498.6675262428</v>
      </c>
      <c r="H394" s="137">
        <v>18.539089848308052</v>
      </c>
      <c r="I394" s="137">
        <v>0.0</v>
      </c>
      <c r="J394" s="138">
        <v>0.0</v>
      </c>
      <c r="K394" s="140">
        <v>0.0</v>
      </c>
    </row>
    <row r="395">
      <c r="A395" s="55">
        <v>45081.959693425924</v>
      </c>
      <c r="B395" s="139">
        <v>1.07274</v>
      </c>
      <c r="C395" s="137">
        <v>20.573484721367713</v>
      </c>
      <c r="D395" s="137">
        <v>1.0</v>
      </c>
      <c r="E395" s="137">
        <v>1.0</v>
      </c>
      <c r="F395" s="137">
        <v>0.6137029241170675</v>
      </c>
      <c r="G395" s="137">
        <v>25231.063751259575</v>
      </c>
      <c r="H395" s="137">
        <v>20.573484721367713</v>
      </c>
      <c r="I395" s="137">
        <v>0.0</v>
      </c>
      <c r="J395" s="138">
        <v>0.0</v>
      </c>
      <c r="K395" s="140">
        <v>0.0</v>
      </c>
    </row>
    <row r="396">
      <c r="A396" s="55">
        <v>45080.95971321759</v>
      </c>
      <c r="B396" s="139">
        <v>1.07208</v>
      </c>
      <c r="C396" s="137">
        <v>19.625401089470934</v>
      </c>
      <c r="D396" s="137">
        <v>1.0</v>
      </c>
      <c r="E396" s="137">
        <v>1.0</v>
      </c>
      <c r="F396" s="137">
        <v>0.6121001637747734</v>
      </c>
      <c r="G396" s="137">
        <v>25415.771287083986</v>
      </c>
      <c r="H396" s="137">
        <v>19.625401089470934</v>
      </c>
      <c r="I396" s="137">
        <v>0.0</v>
      </c>
      <c r="J396" s="138">
        <v>0.0</v>
      </c>
      <c r="K396" s="14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2" t="s">
        <v>32</v>
      </c>
      <c r="B1" s="117" t="str">
        <f t="array" ref="B1:E1">TRANSPOSE(Dashboard!$A$4:$A$7)</f>
        <v>Transfered</v>
      </c>
      <c r="C1" s="117" t="s">
        <v>7</v>
      </c>
      <c r="D1" s="117" t="s">
        <v>8</v>
      </c>
      <c r="E1" s="117" t="s">
        <v>9</v>
      </c>
      <c r="F1" s="117" t="str">
        <f>Dashboard!$A$13</f>
        <v>TOTAL</v>
      </c>
      <c r="G1" s="117" t="str">
        <f>Dashboard!$A$14</f>
        <v>Bought Price</v>
      </c>
      <c r="H1" s="117" t="str">
        <f>IFERROR(__xludf.DUMMYFUNCTION("INDEX(SPLIT(Dashboard!$A$15,"" ""),1)"),"Price")</f>
        <v>Price</v>
      </c>
      <c r="I1" s="117" t="str">
        <f>Dashboard!$A$16</f>
        <v>Profit</v>
      </c>
      <c r="J1" s="117" t="s">
        <v>99</v>
      </c>
      <c r="K1" s="117" t="s">
        <v>38</v>
      </c>
      <c r="L1" s="117" t="s">
        <v>39</v>
      </c>
    </row>
    <row r="2">
      <c r="A2" s="47">
        <f>TODAY()</f>
        <v>45476</v>
      </c>
      <c r="B2" s="143">
        <f t="array" ref="B2:E2">TRANSPOSE(Dashboard!$C$4:Dashboard!$C$7)</f>
        <v>291056.5389</v>
      </c>
      <c r="C2" s="143">
        <v>-1950.2099586567817</v>
      </c>
      <c r="D2" s="143">
        <v>-43823.480405486654</v>
      </c>
      <c r="E2" s="143">
        <v>379510.68709381676</v>
      </c>
      <c r="F2" s="143">
        <f>Dashboard!$C$13</f>
        <v>603873.1756</v>
      </c>
      <c r="G2" s="143">
        <f t="array" ref="G2:I2">TRANSPOSE(Dashboard!$C$14:$C$16)</f>
        <v>57.72776385</v>
      </c>
      <c r="H2" s="143">
        <v>133.50437697895327</v>
      </c>
      <c r="I2" s="143">
        <v>312816.6367296733</v>
      </c>
      <c r="J2" s="144">
        <f>Dashboard!$D$16</f>
        <v>1.074762443</v>
      </c>
      <c r="K2" s="143">
        <f t="shared" ref="K2:L2" si="1">INDEX(I:I,ROW())-INDEX(I:I,ROW()+1)</f>
        <v>-29044.12846</v>
      </c>
      <c r="L2" s="144">
        <f t="shared" si="1"/>
        <v>-0.09978861347</v>
      </c>
    </row>
    <row r="3">
      <c r="A3" s="55">
        <v>45474.0</v>
      </c>
      <c r="B3" s="143">
        <v>291056.5389032249</v>
      </c>
      <c r="C3" s="143">
        <v>-1950.2099586567817</v>
      </c>
      <c r="D3" s="143">
        <v>-32986.51722195535</v>
      </c>
      <c r="E3" s="143">
        <v>397717.85236766125</v>
      </c>
      <c r="F3" s="143">
        <v>632917.304090274</v>
      </c>
      <c r="G3" s="143">
        <v>57.72776385277226</v>
      </c>
      <c r="H3" s="143">
        <v>137.1397879594601</v>
      </c>
      <c r="I3" s="143">
        <v>341860.7651870491</v>
      </c>
      <c r="J3" s="144">
        <v>1.1745510562149453</v>
      </c>
      <c r="K3" s="143">
        <v>-71322.38736592385</v>
      </c>
      <c r="L3" s="144">
        <v>-0.24504650414206353</v>
      </c>
    </row>
    <row r="4">
      <c r="A4" s="55">
        <v>45444.0</v>
      </c>
      <c r="B4" s="143">
        <v>291056.5389032249</v>
      </c>
      <c r="C4" s="143">
        <v>-1950.2099586567817</v>
      </c>
      <c r="D4" s="143">
        <v>-42005.17612029868</v>
      </c>
      <c r="E4" s="143">
        <v>478058.8986319285</v>
      </c>
      <c r="F4" s="143">
        <v>704239.6914561979</v>
      </c>
      <c r="G4" s="143">
        <v>57.72776385277226</v>
      </c>
      <c r="H4" s="143">
        <v>153.18142417144645</v>
      </c>
      <c r="I4" s="143">
        <v>413183.15255297296</v>
      </c>
      <c r="J4" s="144">
        <v>1.4195975603570088</v>
      </c>
      <c r="K4" s="143">
        <v>163388.25709930045</v>
      </c>
      <c r="L4" s="144">
        <v>0.554545806306014</v>
      </c>
    </row>
    <row r="5">
      <c r="A5" s="55">
        <v>45413.0</v>
      </c>
      <c r="B5" s="143">
        <v>288762.9489032249</v>
      </c>
      <c r="C5" s="143">
        <v>-1947.9132834872096</v>
      </c>
      <c r="D5" s="143">
        <v>-36186.437411058694</v>
      </c>
      <c r="E5" s="143">
        <v>308849.60614821845</v>
      </c>
      <c r="F5" s="143">
        <v>538557.8443568974</v>
      </c>
      <c r="G5" s="143">
        <v>57.46038068434421</v>
      </c>
      <c r="H5" s="143">
        <v>119.33286483954087</v>
      </c>
      <c r="I5" s="143">
        <v>249794.8954536725</v>
      </c>
      <c r="J5" s="144">
        <v>0.8650517540509948</v>
      </c>
      <c r="K5" s="143">
        <v>-338625.3944075942</v>
      </c>
      <c r="L5" s="144">
        <v>-1.1934806883003017</v>
      </c>
    </row>
    <row r="6">
      <c r="A6" s="55">
        <v>45383.0</v>
      </c>
      <c r="B6" s="143">
        <v>285844.55496322486</v>
      </c>
      <c r="C6" s="143">
        <v>-1953.0394565372096</v>
      </c>
      <c r="D6" s="143">
        <v>-26195.917839952628</v>
      </c>
      <c r="E6" s="143">
        <v>637489.6071577566</v>
      </c>
      <c r="F6" s="143">
        <v>874264.8448244915</v>
      </c>
      <c r="G6" s="143">
        <v>57.0767983138204</v>
      </c>
      <c r="H6" s="143">
        <v>185.23657786505615</v>
      </c>
      <c r="I6" s="143">
        <v>588420.2898612667</v>
      </c>
      <c r="J6" s="144">
        <v>2.0585324423512965</v>
      </c>
      <c r="K6" s="143">
        <v>345153.8004166301</v>
      </c>
      <c r="L6" s="144">
        <v>1.164015668040894</v>
      </c>
    </row>
    <row r="7">
      <c r="A7" s="55">
        <v>45352.0</v>
      </c>
      <c r="B7" s="143">
        <v>271952.9654792385</v>
      </c>
      <c r="C7" s="143">
        <v>-1918.3283445038285</v>
      </c>
      <c r="D7" s="143">
        <v>-12162.750017501588</v>
      </c>
      <c r="E7" s="143">
        <v>278267.927806642</v>
      </c>
      <c r="F7" s="143">
        <v>515219.4549238751</v>
      </c>
      <c r="G7" s="143">
        <v>57.382780512209735</v>
      </c>
      <c r="H7" s="143">
        <v>116.51566331960576</v>
      </c>
      <c r="I7" s="143">
        <v>243266.48944463662</v>
      </c>
      <c r="J7" s="144">
        <v>0.8945167743104026</v>
      </c>
      <c r="K7" s="143">
        <v>137417.67243023537</v>
      </c>
      <c r="L7" s="144">
        <v>0.5052994078887003</v>
      </c>
    </row>
    <row r="8">
      <c r="A8" s="55">
        <v>45323.0</v>
      </c>
      <c r="B8" s="143">
        <v>271952.9654792385</v>
      </c>
      <c r="C8" s="143">
        <v>-1903.5583445038285</v>
      </c>
      <c r="D8" s="143">
        <v>-40906.63461164135</v>
      </c>
      <c r="E8" s="143">
        <v>150464.66997054635</v>
      </c>
      <c r="F8" s="143">
        <v>377801.78249363974</v>
      </c>
      <c r="G8" s="143">
        <v>57.382780512209735</v>
      </c>
      <c r="H8" s="143">
        <v>89.35703556255932</v>
      </c>
      <c r="I8" s="143">
        <v>105848.81701440125</v>
      </c>
      <c r="J8" s="144">
        <v>0.38921736642170224</v>
      </c>
      <c r="K8" s="143">
        <v>30479.65399812447</v>
      </c>
      <c r="L8" s="144">
        <v>0.11207693192244794</v>
      </c>
    </row>
    <row r="9">
      <c r="A9" s="55">
        <v>45292.0</v>
      </c>
      <c r="B9" s="143">
        <v>271952.9654792385</v>
      </c>
      <c r="C9" s="143">
        <v>-1903.5603945038285</v>
      </c>
      <c r="D9" s="143">
        <v>-83436.28008801304</v>
      </c>
      <c r="E9" s="143">
        <v>162514.66349879358</v>
      </c>
      <c r="F9" s="143">
        <v>347322.12849551527</v>
      </c>
      <c r="G9" s="143">
        <v>57.382780512209735</v>
      </c>
      <c r="H9" s="143">
        <v>91.91770024552217</v>
      </c>
      <c r="I9" s="143">
        <v>75369.16301627678</v>
      </c>
      <c r="J9" s="144">
        <v>0.2771404344992543</v>
      </c>
      <c r="K9" s="143">
        <v>154400.02286777063</v>
      </c>
      <c r="L9" s="144">
        <v>0.5653818017055965</v>
      </c>
    </row>
    <row r="10">
      <c r="A10" s="55">
        <v>45261.0</v>
      </c>
      <c r="B10" s="143">
        <v>261952.96547923854</v>
      </c>
      <c r="C10" s="143">
        <v>-1958.6399806274294</v>
      </c>
      <c r="D10" s="143">
        <v>-74330.3944844539</v>
      </c>
      <c r="E10" s="143">
        <v>-2741.825386412517</v>
      </c>
      <c r="F10" s="143">
        <v>182922.1056277447</v>
      </c>
      <c r="G10" s="143">
        <v>54.939862036157734</v>
      </c>
      <c r="H10" s="143">
        <v>54.349423260598044</v>
      </c>
      <c r="I10" s="143">
        <v>-79030.85985149385</v>
      </c>
      <c r="J10" s="144">
        <v>-0.2882413672063422</v>
      </c>
      <c r="K10" s="143">
        <v>80012.03290835267</v>
      </c>
      <c r="L10" s="144">
        <v>0.2855485466057084</v>
      </c>
    </row>
    <row r="11">
      <c r="A11" s="55">
        <v>45231.0</v>
      </c>
      <c r="B11" s="143">
        <v>278098.39559610985</v>
      </c>
      <c r="C11" s="143">
        <v>-1964.4508044630536</v>
      </c>
      <c r="D11" s="143">
        <v>-61309.375364432795</v>
      </c>
      <c r="E11" s="143">
        <v>-95769.06659095068</v>
      </c>
      <c r="F11" s="143">
        <v>119055.50283626332</v>
      </c>
      <c r="G11" s="143">
        <v>55.54204071641654</v>
      </c>
      <c r="H11" s="143">
        <v>36.36673096561897</v>
      </c>
      <c r="I11" s="143">
        <v>-159042.89275984652</v>
      </c>
      <c r="J11" s="144">
        <v>-0.5737899138120506</v>
      </c>
      <c r="K11" s="143">
        <v>80939.12634783873</v>
      </c>
      <c r="L11" s="144">
        <v>0.2830510686523682</v>
      </c>
    </row>
    <row r="12">
      <c r="A12" s="55">
        <v>45200.0</v>
      </c>
      <c r="B12" s="143">
        <v>280235.69559610984</v>
      </c>
      <c r="C12" s="143">
        <v>-1962.3409013071223</v>
      </c>
      <c r="D12" s="143">
        <v>-61008.52057535169</v>
      </c>
      <c r="E12" s="143">
        <v>-177011.15763102644</v>
      </c>
      <c r="F12" s="143">
        <v>40253.67648842459</v>
      </c>
      <c r="G12" s="143">
        <v>55.16223434349872</v>
      </c>
      <c r="H12" s="143">
        <v>20.195341280486648</v>
      </c>
      <c r="I12" s="143">
        <v>-239982.01910768525</v>
      </c>
      <c r="J12" s="144">
        <v>-0.8568409824644188</v>
      </c>
      <c r="K12" s="143">
        <v>9093.761591617164</v>
      </c>
      <c r="L12" s="144">
        <v>0.029656268806194874</v>
      </c>
    </row>
    <row r="13">
      <c r="A13" s="55">
        <v>45170.0</v>
      </c>
      <c r="B13" s="143">
        <v>280235.69559610984</v>
      </c>
      <c r="C13" s="143">
        <v>-1962.3409013071223</v>
      </c>
      <c r="D13" s="143">
        <v>-66726.39431563969</v>
      </c>
      <c r="E13" s="143">
        <v>-180387.0454823556</v>
      </c>
      <c r="F13" s="143">
        <v>31159.914896807422</v>
      </c>
      <c r="G13" s="143">
        <v>53.85733877773733</v>
      </c>
      <c r="H13" s="143">
        <v>18.223570750062255</v>
      </c>
      <c r="I13" s="143">
        <v>-249075.7806993024</v>
      </c>
      <c r="J13" s="144">
        <v>-0.8864972512706136</v>
      </c>
      <c r="K13" s="143">
        <v>-11225.715365327167</v>
      </c>
      <c r="L13" s="144">
        <v>-0.04325431326555873</v>
      </c>
    </row>
    <row r="14">
      <c r="A14" s="55">
        <v>45139.0</v>
      </c>
      <c r="B14" s="143">
        <v>280235.69559610984</v>
      </c>
      <c r="C14" s="143">
        <v>-1962.3409013071223</v>
      </c>
      <c r="D14" s="143">
        <v>-76659.58188024937</v>
      </c>
      <c r="E14" s="143">
        <v>-159228.14255241875</v>
      </c>
      <c r="F14" s="143">
        <v>42385.63026213459</v>
      </c>
      <c r="G14" s="143">
        <v>53.04525438963072</v>
      </c>
      <c r="H14" s="143">
        <v>21.591229074129583</v>
      </c>
      <c r="I14" s="143">
        <v>-237850.06533397525</v>
      </c>
      <c r="J14" s="144">
        <v>-0.8432429380050549</v>
      </c>
      <c r="K14" s="143">
        <v>18241.80686849117</v>
      </c>
      <c r="L14" s="144">
        <v>0.06822869362218709</v>
      </c>
    </row>
    <row r="15">
      <c r="A15" s="55">
        <v>45108.0</v>
      </c>
      <c r="B15" s="143">
        <v>280235.69559610984</v>
      </c>
      <c r="C15" s="143">
        <v>-1962.3409013071223</v>
      </c>
      <c r="D15" s="143">
        <v>-72656.51750155067</v>
      </c>
      <c r="E15" s="143">
        <v>-181473.01379960863</v>
      </c>
      <c r="F15" s="143">
        <v>24143.823393643434</v>
      </c>
      <c r="G15" s="143">
        <v>53.50305638172439</v>
      </c>
      <c r="H15" s="143">
        <v>17.654765504035765</v>
      </c>
      <c r="I15" s="143">
        <v>-256091.87220246642</v>
      </c>
      <c r="J15" s="144">
        <v>-0.911471631627242</v>
      </c>
      <c r="K15" s="143">
        <v>-6167.7379842097</v>
      </c>
      <c r="L15" s="144">
        <v>-0.02018162222734665</v>
      </c>
    </row>
    <row r="16">
      <c r="A16" s="55">
        <v>45078.0</v>
      </c>
      <c r="B16" s="143">
        <v>280235.69559610984</v>
      </c>
      <c r="C16" s="143">
        <v>-1962.3409013071223</v>
      </c>
      <c r="D16" s="143">
        <v>-69586.21636984192</v>
      </c>
      <c r="E16" s="143">
        <v>-178375.57694710768</v>
      </c>
      <c r="F16" s="143">
        <v>30311.561377853133</v>
      </c>
      <c r="G16" s="143">
        <v>54.70082242254833</v>
      </c>
      <c r="H16" s="143">
        <v>19.464401127773776</v>
      </c>
      <c r="I16" s="143">
        <v>-249924.13421825672</v>
      </c>
      <c r="J16" s="144">
        <v>-0.8912900093998953</v>
      </c>
      <c r="K16" s="143">
        <v>-6845.232352649822</v>
      </c>
      <c r="L16" s="144">
        <v>-0.02899482813762211</v>
      </c>
    </row>
    <row r="17">
      <c r="A17" s="55">
        <v>45047.0</v>
      </c>
      <c r="B17" s="143">
        <v>280235.69559610984</v>
      </c>
      <c r="C17" s="143">
        <v>-1962.3409013071223</v>
      </c>
      <c r="D17" s="143">
        <v>-79419.83600635448</v>
      </c>
      <c r="E17" s="143">
        <v>-161696.7249579453</v>
      </c>
      <c r="F17" s="143">
        <v>37156.79373050295</v>
      </c>
      <c r="G17" s="143">
        <v>52.93514413532303</v>
      </c>
      <c r="H17" s="143">
        <v>20.9934735315446</v>
      </c>
      <c r="I17" s="143">
        <v>-243078.9018656069</v>
      </c>
      <c r="J17" s="144">
        <v>-0.8622951812622732</v>
      </c>
      <c r="K17" s="143">
        <v>6724.6460740320035</v>
      </c>
      <c r="L17" s="144">
        <v>0.026807021959476596</v>
      </c>
    </row>
    <row r="18">
      <c r="A18" s="55">
        <v>45017.0</v>
      </c>
      <c r="B18" s="143">
        <v>280235.69559610984</v>
      </c>
      <c r="C18" s="143">
        <v>-1962.3409013071223</v>
      </c>
      <c r="D18" s="143">
        <v>-75182.3819195782</v>
      </c>
      <c r="E18" s="143">
        <v>-172658.82511875356</v>
      </c>
      <c r="F18" s="143">
        <v>30432.14765647096</v>
      </c>
      <c r="G18" s="143">
        <v>53.83499669059364</v>
      </c>
      <c r="H18" s="143">
        <v>19.72786607175781</v>
      </c>
      <c r="I18" s="143">
        <v>-249803.5479396389</v>
      </c>
      <c r="J18" s="144">
        <v>-0.8891022032217498</v>
      </c>
      <c r="K18" s="143">
        <v>-2135.587513897801</v>
      </c>
      <c r="L18" s="144">
        <v>-0.004843629046207831</v>
      </c>
    </row>
    <row r="19">
      <c r="A19" s="55">
        <v>44986.0</v>
      </c>
      <c r="B19" s="143">
        <v>280235.69559610984</v>
      </c>
      <c r="C19" s="143">
        <v>-1962.3409013071223</v>
      </c>
      <c r="D19" s="143">
        <v>-71151.29767180876</v>
      </c>
      <c r="E19" s="143">
        <v>-174554.32185262523</v>
      </c>
      <c r="F19" s="143">
        <v>32567.73517036873</v>
      </c>
      <c r="G19" s="143">
        <v>55.201863134595285</v>
      </c>
      <c r="H19" s="143">
        <v>20.72029492390585</v>
      </c>
      <c r="I19" s="143">
        <v>-247667.9604257411</v>
      </c>
      <c r="J19" s="144">
        <v>-0.884258574175542</v>
      </c>
      <c r="K19" s="143">
        <v>-5487.079488605843</v>
      </c>
      <c r="L19" s="144">
        <v>-0.023197483755256654</v>
      </c>
    </row>
    <row r="20">
      <c r="A20" s="55">
        <v>44958.0</v>
      </c>
      <c r="B20" s="143">
        <v>280235.69559610984</v>
      </c>
      <c r="C20" s="143">
        <v>-1962.3409013071223</v>
      </c>
      <c r="D20" s="143">
        <v>-79764.50956087066</v>
      </c>
      <c r="E20" s="143">
        <v>-160454.0304749575</v>
      </c>
      <c r="F20" s="143">
        <v>38054.814658974574</v>
      </c>
      <c r="G20" s="143">
        <v>53.732955788528336</v>
      </c>
      <c r="H20" s="143">
        <v>22.036767818037948</v>
      </c>
      <c r="I20" s="143">
        <v>-242180.88093713525</v>
      </c>
      <c r="J20" s="144">
        <v>-0.8610610904202853</v>
      </c>
      <c r="K20" s="143">
        <v>-8647.412007981271</v>
      </c>
      <c r="L20" s="144">
        <v>-0.029359734979498953</v>
      </c>
    </row>
    <row r="21">
      <c r="A21" s="55">
        <v>44927.0</v>
      </c>
      <c r="B21" s="143">
        <v>280235.69559610984</v>
      </c>
      <c r="C21" s="143">
        <v>-1962.3409013071223</v>
      </c>
      <c r="D21" s="143">
        <v>-3035.344515571647</v>
      </c>
      <c r="E21" s="143">
        <v>-228535.78351227523</v>
      </c>
      <c r="F21" s="143">
        <v>46702.226666955845</v>
      </c>
      <c r="G21" s="143">
        <v>54.43923019062603</v>
      </c>
      <c r="H21" s="143">
        <v>9.294130807666493</v>
      </c>
      <c r="I21" s="143">
        <v>-233533.46892915398</v>
      </c>
      <c r="J21" s="144">
        <v>-0.8317013554407864</v>
      </c>
      <c r="K21" s="143">
        <v>-22371.02874457842</v>
      </c>
      <c r="L21" s="144">
        <v>-0.0732129771369513</v>
      </c>
    </row>
    <row r="22">
      <c r="A22" s="55">
        <v>44896.0</v>
      </c>
      <c r="B22" s="143">
        <v>280235.69559610984</v>
      </c>
      <c r="C22" s="143">
        <v>-1962.3409013071223</v>
      </c>
      <c r="D22" s="143">
        <v>5768.615275028991</v>
      </c>
      <c r="E22" s="143">
        <v>-214968.71455829742</v>
      </c>
      <c r="F22" s="143">
        <v>69073.2554115343</v>
      </c>
      <c r="G22" s="143">
        <v>56.10827241291721</v>
      </c>
      <c r="H22" s="143">
        <v>13.643220184279551</v>
      </c>
      <c r="I22" s="143">
        <v>-211162.44018457556</v>
      </c>
      <c r="J22" s="144">
        <v>-0.7584883783038351</v>
      </c>
      <c r="K22" s="143">
        <v>-81175.66344571201</v>
      </c>
      <c r="L22" s="144">
        <v>-0.2759342365364451</v>
      </c>
    </row>
    <row r="23">
      <c r="A23" s="55">
        <v>44866.0</v>
      </c>
      <c r="B23" s="143">
        <v>291999.99999999994</v>
      </c>
      <c r="C23" s="143">
        <v>-1939.0069367545923</v>
      </c>
      <c r="D23" s="143">
        <v>4310.3327443073795</v>
      </c>
      <c r="E23" s="143">
        <v>-132358.10254641637</v>
      </c>
      <c r="F23" s="143">
        <v>162013.2232611364</v>
      </c>
      <c r="G23" s="143">
        <v>57.48452891396124</v>
      </c>
      <c r="H23" s="143">
        <v>33.021541950113374</v>
      </c>
      <c r="I23" s="143">
        <v>-129986.77673886355</v>
      </c>
      <c r="J23" s="144">
        <v>-0.48255414176739</v>
      </c>
      <c r="K23" s="143">
        <v>-1414.1141732034448</v>
      </c>
      <c r="L23" s="144">
        <v>-4.6901950791033986E-4</v>
      </c>
    </row>
    <row r="24">
      <c r="A24" s="55">
        <v>44835.0</v>
      </c>
      <c r="B24" s="143">
        <v>291999.99999999994</v>
      </c>
      <c r="C24" s="143">
        <v>-1939.0069367545923</v>
      </c>
      <c r="D24" s="143">
        <v>6206.815994196426</v>
      </c>
      <c r="E24" s="143">
        <v>-132840.47162310197</v>
      </c>
      <c r="F24" s="143">
        <v>163427.33743433983</v>
      </c>
      <c r="G24" s="143">
        <v>57.933764249798486</v>
      </c>
      <c r="H24" s="143">
        <v>33.38162378338673</v>
      </c>
      <c r="I24" s="143">
        <v>-128572.66256566011</v>
      </c>
      <c r="J24" s="144">
        <v>-0.48208512225947964</v>
      </c>
      <c r="K24" s="143">
        <v>11050.934597037092</v>
      </c>
      <c r="L24" s="144">
        <v>0.02236219768558667</v>
      </c>
    </row>
    <row r="25">
      <c r="A25" s="55">
        <v>44805.0</v>
      </c>
      <c r="B25" s="143">
        <v>291999.99999999994</v>
      </c>
      <c r="C25" s="143">
        <v>-1951.7104465482175</v>
      </c>
      <c r="D25" s="143">
        <v>-4184.634839658072</v>
      </c>
      <c r="E25" s="143">
        <v>-133487.2518764909</v>
      </c>
      <c r="F25" s="143">
        <v>152389.9353858489</v>
      </c>
      <c r="G25" s="143">
        <v>56.45637636814121</v>
      </c>
      <c r="H25" s="143">
        <v>31.784695226827594</v>
      </c>
      <c r="I25" s="143">
        <v>-139623.5971626972</v>
      </c>
      <c r="J25" s="144">
        <v>-0.5044473199450663</v>
      </c>
      <c r="K25" s="143">
        <v>-40421.353766746135</v>
      </c>
      <c r="L25" s="144">
        <v>0.022661156325193055</v>
      </c>
    </row>
    <row r="26">
      <c r="A26" s="55">
        <v>44774.0</v>
      </c>
      <c r="B26" s="143">
        <v>197000.0</v>
      </c>
      <c r="C26" s="143">
        <v>-1532.0308276763358</v>
      </c>
      <c r="D26" s="143">
        <v>-20444.985510717568</v>
      </c>
      <c r="E26" s="143">
        <v>-77225.22705755717</v>
      </c>
      <c r="F26" s="143">
        <v>97797.75660404893</v>
      </c>
      <c r="G26" s="143">
        <v>66.57615531626674</v>
      </c>
      <c r="H26" s="143">
        <v>41.52076527318609</v>
      </c>
      <c r="I26" s="143">
        <v>-99202.24339595107</v>
      </c>
      <c r="J26" s="144">
        <v>-0.5271084762702594</v>
      </c>
      <c r="K26" s="143">
        <v>19431.409007061957</v>
      </c>
      <c r="L26" s="144">
        <v>0.18032721372491833</v>
      </c>
    </row>
    <row r="27">
      <c r="A27" s="55">
        <v>44743.0</v>
      </c>
      <c r="B27" s="143">
        <v>170700.0</v>
      </c>
      <c r="C27" s="143">
        <v>-1526.6259547250622</v>
      </c>
      <c r="D27" s="143">
        <v>-24229.34283282014</v>
      </c>
      <c r="E27" s="143">
        <v>-91534.60523428526</v>
      </c>
      <c r="F27" s="143">
        <v>52066.34759698697</v>
      </c>
      <c r="G27" s="143">
        <v>71.44891332932649</v>
      </c>
      <c r="H27" s="143">
        <v>31.552348651531023</v>
      </c>
      <c r="I27" s="143">
        <v>-118633.65240301302</v>
      </c>
      <c r="J27" s="144">
        <v>-0.7074356899951777</v>
      </c>
      <c r="K27" s="143">
        <v>-4291.13240301302</v>
      </c>
      <c r="L27" s="144">
        <v>0.16986431000482227</v>
      </c>
    </row>
    <row r="28">
      <c r="A28" s="55">
        <v>44713.0</v>
      </c>
      <c r="B28" s="143">
        <v>130700.0</v>
      </c>
      <c r="C28" s="143">
        <v>-1368.8953791232839</v>
      </c>
      <c r="D28" s="143">
        <v>-39087.8</v>
      </c>
      <c r="E28" s="143">
        <v>-72447.83</v>
      </c>
      <c r="F28" s="143">
        <v>16357.48</v>
      </c>
      <c r="G28" s="143">
        <v>98.18</v>
      </c>
      <c r="H28" s="143">
        <v>42.56</v>
      </c>
      <c r="I28" s="143">
        <v>-114342.52</v>
      </c>
      <c r="J28" s="144">
        <v>-0.8773</v>
      </c>
      <c r="K28" s="143">
        <v>-95721.89</v>
      </c>
      <c r="L28" s="144">
        <v>-0.7256</v>
      </c>
    </row>
    <row r="29">
      <c r="A29" s="55">
        <v>44682.0</v>
      </c>
      <c r="B29" s="143">
        <v>128000.0</v>
      </c>
      <c r="C29" s="143">
        <v>-1356.938015007654</v>
      </c>
      <c r="D29" s="143">
        <v>739.0</v>
      </c>
      <c r="E29" s="143">
        <v>-16523.37</v>
      </c>
      <c r="F29" s="143">
        <v>109379.37</v>
      </c>
      <c r="G29" s="143">
        <v>99.3</v>
      </c>
      <c r="H29" s="143">
        <v>86.2</v>
      </c>
      <c r="I29" s="143">
        <v>-18620.63</v>
      </c>
      <c r="J29" s="144">
        <v>-0.1517</v>
      </c>
      <c r="K29" s="143">
        <v>-20833.21</v>
      </c>
      <c r="L29" s="144">
        <v>-0.3106</v>
      </c>
    </row>
    <row r="30">
      <c r="A30" s="47">
        <v>44652.0</v>
      </c>
      <c r="B30" s="143">
        <v>14000.0</v>
      </c>
      <c r="C30" s="143">
        <v>-307.0412585692232</v>
      </c>
      <c r="D30" s="143">
        <v>135.78</v>
      </c>
      <c r="E30" s="143">
        <v>2378.11</v>
      </c>
      <c r="F30" s="143">
        <v>16212.58</v>
      </c>
      <c r="G30" s="143">
        <v>92.76</v>
      </c>
      <c r="H30" s="143">
        <v>79.04</v>
      </c>
      <c r="I30" s="143">
        <v>2212.58</v>
      </c>
      <c r="J30" s="144">
        <v>0.1589</v>
      </c>
      <c r="K30" s="143">
        <v>2259.7799999999997</v>
      </c>
      <c r="L30" s="144">
        <v>0.3805</v>
      </c>
    </row>
    <row r="31">
      <c r="A31" s="55">
        <v>44621.0</v>
      </c>
      <c r="B31" s="143">
        <v>213.02</v>
      </c>
      <c r="C31" s="143">
        <v>-7.334737408137676</v>
      </c>
      <c r="D31" s="143">
        <v>-14.9</v>
      </c>
      <c r="E31" s="143">
        <v>-12.86</v>
      </c>
      <c r="F31" s="143">
        <v>165.82</v>
      </c>
      <c r="G31" s="143">
        <v>76.38</v>
      </c>
      <c r="H31" s="143">
        <v>81.81</v>
      </c>
      <c r="I31" s="143">
        <v>-47.2</v>
      </c>
      <c r="J31" s="144">
        <v>-0.2216</v>
      </c>
      <c r="K31" s="143">
        <v>-47.2</v>
      </c>
      <c r="L31" s="144">
        <v>-0.2216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6.0"/>
    <col customWidth="1" min="5" max="5" width="13.25"/>
  </cols>
  <sheetData>
    <row r="1">
      <c r="A1" s="85" t="s">
        <v>63</v>
      </c>
      <c r="B1" s="85" t="s">
        <v>18</v>
      </c>
      <c r="C1" s="85" t="s">
        <v>100</v>
      </c>
      <c r="D1" s="145"/>
      <c r="E1" s="146" t="s">
        <v>24</v>
      </c>
    </row>
    <row r="2">
      <c r="A2" s="147" t="str">
        <f t="array" ref="A2:A11">TRANSPOSE(OFFSET(Price!A:AAE,0,1,1))</f>
        <v>EUR to USD</v>
      </c>
      <c r="B2" s="148">
        <v>1.0737999999999999</v>
      </c>
      <c r="C2" s="149">
        <v>45476.57081122685</v>
      </c>
      <c r="D2" s="150"/>
      <c r="E2" s="151">
        <f>IFERROR(__xludf.DUMMYFUNCTION("IMPORTXML(""https://www.xe.com/en/currencyconverter/convert/?Amount=1000&amp;From=EUR&amp;To=USD""&amp;$D$2,""//p[@class='sc-295edd9f-1 jqMUXt']"")/1000"),1.0737999999999999)</f>
        <v>1.0738</v>
      </c>
    </row>
    <row r="3">
      <c r="A3" s="152" t="s">
        <v>101</v>
      </c>
      <c r="B3" s="51">
        <v>152.05997392438073</v>
      </c>
      <c r="C3" s="149">
        <v>45476.57081122685</v>
      </c>
      <c r="D3" s="26" t="s">
        <v>102</v>
      </c>
      <c r="E3" s="153">
        <f t="array" ref="E3">ROUND(INDEX(ImportJSON("https://price.jup.ag/v4/price?ids="&amp;$D3&amp;$D$2,,"noHeaders,noInherit"),5),3)/$B$2</f>
        <v>152.388713</v>
      </c>
    </row>
    <row r="4">
      <c r="A4" s="152" t="s">
        <v>57</v>
      </c>
      <c r="B4" s="154">
        <v>1.081867496194904</v>
      </c>
      <c r="C4" s="149">
        <v>45476.57081122685</v>
      </c>
      <c r="E4" s="155">
        <f>MAX(1,FiMsData!$B$6/FiMsData!$B$2,1+FiMsData!$B$7/FiMsData!$B$2)</f>
        <v>1.081628586</v>
      </c>
    </row>
    <row r="5">
      <c r="A5" s="152" t="s">
        <v>94</v>
      </c>
      <c r="B5" s="156">
        <v>1.0</v>
      </c>
      <c r="C5" s="149">
        <v>45476.57081122685</v>
      </c>
      <c r="E5" s="157">
        <v>1.0</v>
      </c>
    </row>
    <row r="6">
      <c r="A6" s="152" t="s">
        <v>56</v>
      </c>
      <c r="B6" s="158">
        <v>1.067441166772863</v>
      </c>
      <c r="C6" s="149">
        <v>45476.57081122685</v>
      </c>
      <c r="D6" s="26" t="s">
        <v>31</v>
      </c>
      <c r="E6" s="155">
        <f>ImportJSON("https://pro-api.coinmarketcap.com/v1/cryptocurrency/quotes/latest?CMC_PRO_API_KEY=2fa02d68-aea8-492f-a91f-d62d65688826&amp;symbol="&amp;$D6&amp;$D$2,"/data/"&amp;$D6&amp;"/quote/USD/price","noHeaders,noInherit")/$B$2</f>
        <v>1.068132694</v>
      </c>
    </row>
    <row r="7">
      <c r="A7" s="152" t="s">
        <v>55</v>
      </c>
      <c r="B7" s="159">
        <v>56069.992549823066</v>
      </c>
      <c r="C7" s="149">
        <v>45476.57081122685</v>
      </c>
      <c r="D7" s="26" t="s">
        <v>103</v>
      </c>
      <c r="E7" s="153">
        <f t="shared" ref="E7:E11" si="1">ROUND(INDEX(ImportJSON("https://price.jup.ag/v4/price?ids="&amp;$D7&amp;$D$2,,"noHeaders,noInherit"),5),3)/$B$2</f>
        <v>56200.26541</v>
      </c>
    </row>
    <row r="8">
      <c r="A8" s="152" t="s">
        <v>95</v>
      </c>
      <c r="B8" s="159">
        <v>133.50437697895327</v>
      </c>
      <c r="C8" s="149">
        <v>45476.57081122685</v>
      </c>
      <c r="D8" s="26" t="s">
        <v>1</v>
      </c>
      <c r="E8" s="153">
        <f t="shared" si="1"/>
        <v>133.788415</v>
      </c>
    </row>
    <row r="9">
      <c r="A9" s="152" t="s">
        <v>96</v>
      </c>
      <c r="B9" s="159">
        <v>0.7459489662879495</v>
      </c>
      <c r="C9" s="149">
        <v>45476.57081122685</v>
      </c>
      <c r="D9" s="26" t="s">
        <v>28</v>
      </c>
      <c r="E9" s="153">
        <f t="shared" si="1"/>
        <v>0.7468802384</v>
      </c>
    </row>
    <row r="10">
      <c r="A10" s="152" t="s">
        <v>97</v>
      </c>
      <c r="B10" s="160">
        <v>9.312721177127958E-4</v>
      </c>
      <c r="C10" s="149">
        <v>45476.57081122685</v>
      </c>
      <c r="D10" s="26" t="s">
        <v>27</v>
      </c>
      <c r="E10" s="161">
        <f t="shared" si="1"/>
        <v>0.0009312721177</v>
      </c>
    </row>
    <row r="11">
      <c r="A11" s="152" t="s">
        <v>98</v>
      </c>
      <c r="B11" s="162">
        <v>136.61016949152545</v>
      </c>
      <c r="C11" s="149">
        <v>45476.57081122685</v>
      </c>
      <c r="D11" s="26" t="s">
        <v>104</v>
      </c>
      <c r="E11" s="153">
        <f t="shared" si="1"/>
        <v>136.9323896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105</v>
      </c>
    </row>
    <row r="2">
      <c r="A2" s="163" t="s">
        <v>106</v>
      </c>
    </row>
    <row r="3">
      <c r="A3" s="163" t="s">
        <v>107</v>
      </c>
    </row>
    <row r="4">
      <c r="A4" s="163" t="s">
        <v>108</v>
      </c>
    </row>
    <row r="5">
      <c r="A5" s="163" t="s">
        <v>109</v>
      </c>
    </row>
    <row r="6">
      <c r="A6" s="163" t="s">
        <v>110</v>
      </c>
    </row>
    <row r="7">
      <c r="A7" s="163" t="s">
        <v>111</v>
      </c>
    </row>
    <row r="8">
      <c r="A8" s="163" t="s">
        <v>112</v>
      </c>
    </row>
    <row r="9">
      <c r="A9" s="164">
        <v>44997.63</v>
      </c>
    </row>
    <row r="10">
      <c r="A10" s="163" t="s">
        <v>113</v>
      </c>
    </row>
    <row r="11">
      <c r="A11" s="164">
        <v>10986.28</v>
      </c>
    </row>
    <row r="12">
      <c r="A12" s="163" t="s">
        <v>114</v>
      </c>
    </row>
    <row r="13">
      <c r="A13" s="164">
        <v>34011.36</v>
      </c>
    </row>
    <row r="14">
      <c r="A14" s="163" t="s">
        <v>115</v>
      </c>
    </row>
    <row r="15">
      <c r="A15" s="7">
        <v>0.8286</v>
      </c>
    </row>
    <row r="16">
      <c r="A16" s="163" t="s">
        <v>116</v>
      </c>
    </row>
    <row r="17">
      <c r="A17" s="164">
        <v>33748.23</v>
      </c>
    </row>
    <row r="18">
      <c r="A18" s="163">
        <v>75.0</v>
      </c>
    </row>
    <row r="19">
      <c r="A19" s="163" t="s">
        <v>117</v>
      </c>
    </row>
    <row r="20">
      <c r="A20" s="164">
        <v>35998.11</v>
      </c>
    </row>
    <row r="21">
      <c r="A21" s="163">
        <v>80.0</v>
      </c>
    </row>
    <row r="22">
      <c r="A22" s="163" t="s">
        <v>118</v>
      </c>
    </row>
    <row r="23">
      <c r="A23" s="163" t="s">
        <v>119</v>
      </c>
    </row>
    <row r="24">
      <c r="A24" s="163" t="s">
        <v>120</v>
      </c>
    </row>
    <row r="25">
      <c r="A25" s="163" t="s">
        <v>121</v>
      </c>
    </row>
    <row r="26">
      <c r="A26" s="163" t="s">
        <v>122</v>
      </c>
    </row>
    <row r="27">
      <c r="A27" s="163" t="s">
        <v>123</v>
      </c>
      <c r="B27" s="163" t="s">
        <v>112</v>
      </c>
      <c r="C27" s="163" t="s">
        <v>124</v>
      </c>
      <c r="D27" s="163" t="s">
        <v>125</v>
      </c>
      <c r="E27" s="163" t="s">
        <v>126</v>
      </c>
      <c r="F27" s="163" t="s">
        <v>127</v>
      </c>
    </row>
    <row r="28">
      <c r="A28" s="163" t="s">
        <v>128</v>
      </c>
      <c r="B28" s="26" t="s">
        <v>129</v>
      </c>
      <c r="C28" s="163" t="s">
        <v>130</v>
      </c>
      <c r="D28" s="163" t="s">
        <v>131</v>
      </c>
      <c r="F28" s="163" t="s">
        <v>132</v>
      </c>
    </row>
    <row r="29">
      <c r="A29" s="163" t="s">
        <v>133</v>
      </c>
    </row>
    <row r="30">
      <c r="A30" s="163" t="s">
        <v>123</v>
      </c>
      <c r="B30" s="163" t="s">
        <v>114</v>
      </c>
      <c r="C30" s="163" t="s">
        <v>134</v>
      </c>
      <c r="D30" s="163" t="s">
        <v>125</v>
      </c>
      <c r="E30" s="163" t="s">
        <v>135</v>
      </c>
      <c r="F30" s="163" t="s">
        <v>136</v>
      </c>
    </row>
    <row r="31">
      <c r="A31" s="163" t="s">
        <v>137</v>
      </c>
      <c r="B31" s="26" t="s">
        <v>138</v>
      </c>
      <c r="C31" s="163" t="s">
        <v>139</v>
      </c>
      <c r="D31" s="163" t="s">
        <v>140</v>
      </c>
      <c r="E31" s="163" t="s">
        <v>141</v>
      </c>
      <c r="F31" s="163" t="s">
        <v>142</v>
      </c>
    </row>
    <row r="32">
      <c r="A32" s="163" t="s">
        <v>143</v>
      </c>
    </row>
    <row r="33">
      <c r="A33" s="163" t="s">
        <v>123</v>
      </c>
      <c r="B33" s="163" t="s">
        <v>144</v>
      </c>
      <c r="C33" s="163" t="s">
        <v>145</v>
      </c>
      <c r="D33" s="163" t="s">
        <v>17</v>
      </c>
      <c r="E33" s="163" t="s">
        <v>146</v>
      </c>
      <c r="F33" s="163" t="s">
        <v>147</v>
      </c>
    </row>
    <row r="34">
      <c r="A34" s="163" t="s">
        <v>148</v>
      </c>
      <c r="B34" s="163" t="s">
        <v>149</v>
      </c>
      <c r="C34" s="163" t="s">
        <v>150</v>
      </c>
      <c r="D34" s="163" t="s">
        <v>151</v>
      </c>
      <c r="E34" s="163" t="s">
        <v>152</v>
      </c>
      <c r="F34" s="163" t="s">
        <v>153</v>
      </c>
    </row>
    <row r="35">
      <c r="A35" s="163" t="s">
        <v>148</v>
      </c>
      <c r="B35" s="163" t="s">
        <v>154</v>
      </c>
      <c r="C35" s="163" t="s">
        <v>155</v>
      </c>
      <c r="D35" s="163" t="s">
        <v>156</v>
      </c>
      <c r="E35" s="163" t="s">
        <v>157</v>
      </c>
      <c r="F35" s="163" t="s">
        <v>153</v>
      </c>
    </row>
    <row r="36">
      <c r="A36" s="163" t="s">
        <v>148</v>
      </c>
      <c r="B36" s="163" t="s">
        <v>154</v>
      </c>
      <c r="C36" s="163" t="s">
        <v>155</v>
      </c>
      <c r="D36" s="163" t="s">
        <v>158</v>
      </c>
      <c r="E36" s="163" t="s">
        <v>159</v>
      </c>
      <c r="F36" s="163" t="s">
        <v>153</v>
      </c>
    </row>
    <row r="37">
      <c r="A37" s="163" t="s">
        <v>148</v>
      </c>
      <c r="B37" s="163" t="s">
        <v>160</v>
      </c>
      <c r="C37" s="163" t="s">
        <v>161</v>
      </c>
      <c r="D37" s="163" t="s">
        <v>162</v>
      </c>
      <c r="E37" s="163" t="s">
        <v>163</v>
      </c>
      <c r="F37" s="163" t="s">
        <v>153</v>
      </c>
    </row>
    <row r="38">
      <c r="A38" s="163" t="s">
        <v>148</v>
      </c>
      <c r="B38" s="163" t="s">
        <v>164</v>
      </c>
      <c r="C38" s="163" t="s">
        <v>165</v>
      </c>
      <c r="D38" s="163" t="s">
        <v>166</v>
      </c>
      <c r="E38" s="163" t="s">
        <v>167</v>
      </c>
      <c r="F38" s="163" t="s">
        <v>153</v>
      </c>
    </row>
    <row r="39">
      <c r="A39" s="163" t="s">
        <v>148</v>
      </c>
      <c r="B39" s="163" t="s">
        <v>168</v>
      </c>
      <c r="C39" s="163" t="s">
        <v>169</v>
      </c>
      <c r="D39" s="163" t="s">
        <v>170</v>
      </c>
      <c r="E39" s="163" t="s">
        <v>171</v>
      </c>
      <c r="F39" s="163" t="s">
        <v>153</v>
      </c>
    </row>
    <row r="40">
      <c r="A40" s="163" t="s">
        <v>148</v>
      </c>
      <c r="B40" s="163" t="s">
        <v>172</v>
      </c>
      <c r="C40" s="163" t="s">
        <v>173</v>
      </c>
      <c r="D40" s="163" t="s">
        <v>174</v>
      </c>
      <c r="E40" s="163" t="s">
        <v>175</v>
      </c>
      <c r="F40" s="163" t="s">
        <v>153</v>
      </c>
    </row>
    <row r="41">
      <c r="A41" s="165" t="s">
        <v>176</v>
      </c>
    </row>
    <row r="42">
      <c r="A42" s="163" t="s">
        <v>177</v>
      </c>
    </row>
    <row r="43">
      <c r="A43" s="163" t="s">
        <v>178</v>
      </c>
    </row>
    <row r="44">
      <c r="A44" s="163"/>
    </row>
  </sheetData>
  <hyperlinks>
    <hyperlink r:id="rId1" ref="A4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0.75"/>
  </cols>
  <sheetData>
    <row r="1">
      <c r="A1" s="26" t="s">
        <v>179</v>
      </c>
      <c r="B1" s="32">
        <f>IFERROR(__xludf.DUMMYFUNCTION("SUM(IMPORTRANGE(""https://docs.google.com/spreadsheets/d/1pMnJel8OYtwk1Zu4YgTG3JwmTA-WLIMf6OnCQlSgprU"",""Portfolio!E3:E""))"),1711.47)</f>
        <v>1711.47</v>
      </c>
    </row>
    <row r="2">
      <c r="A2" s="26" t="s">
        <v>180</v>
      </c>
      <c r="B2" s="32">
        <f>IFERROR(__xludf.DUMMYFUNCTION("SUM(IMPORTRANGE(""https://docs.google.com/spreadsheets/d/1pMnJel8OYtwk1Zu4YgTG3JwmTA-WLIMf6OnCQlSgprU"",""Portfolio!F3:F""))"),59755.0)</f>
        <v>59755</v>
      </c>
    </row>
    <row r="3">
      <c r="A3" s="26" t="s">
        <v>181</v>
      </c>
      <c r="B3" s="32">
        <f>IFERROR(__xludf.DUMMYFUNCTION("SUM(IMPORTRANGE(""https://docs.google.com/spreadsheets/d/1pMnJel8OYtwk1Zu4YgTG3JwmTA-WLIMf6OnCQlSgprU"",""Portfolio!G3:G""))"),170.0)</f>
        <v>170</v>
      </c>
    </row>
    <row r="4">
      <c r="A4" s="26" t="s">
        <v>182</v>
      </c>
      <c r="B4" s="51">
        <f>IFERROR(__xludf.DUMMYFUNCTION("SUMIF(IMPORTRANGE(""https://docs.google.com/spreadsheets/d/1pMnJel8OYtwk1Zu4YgTG3JwmTA-WLIMf6OnCQlSgprU"",""TransactionsView!E:E""),""&gt;0"")"),20920.359999999997)</f>
        <v>20920.36</v>
      </c>
    </row>
    <row r="5">
      <c r="A5" s="26" t="s">
        <v>183</v>
      </c>
      <c r="B5" s="51">
        <f>IFERROR(__xludf.DUMMYFUNCTION("SUMIF(IMPORTRANGE(""https://docs.google.com/spreadsheets/d/1pMnJel8OYtwk1Zu4YgTG3JwmTA-WLIMf6OnCQlSgprU"",""TransactionsView!E:E""),""&lt;0"")"),-22.49)</f>
        <v>-22.49</v>
      </c>
    </row>
    <row r="6">
      <c r="A6" s="26" t="s">
        <v>184</v>
      </c>
      <c r="B6" s="166">
        <f>IFERROR(__xludf.DUMMYFUNCTION("SUMPRODUCT(FILTER(Token!$E:$E,Token!$J:$J=""Invest""),FILTER(Token!$D:$D,Token!$J:$J=""Invest""))"),44001.94119243256)</f>
        <v>44001.94119</v>
      </c>
    </row>
    <row r="7">
      <c r="A7" s="26" t="s">
        <v>185</v>
      </c>
      <c r="B7" s="166">
        <f>IFERROR(__xludf.DUMMYFUNCTION("MAX($B$6*$B$8,SUMPRODUCT(FILTER(Token!$E:$E,Token!$A:$A=INDEX(SPLIT(A7,"" ""),1)),FILTER(Token!$D:$D,Token!$A:$A=INDEX(SPLIT(A7,"" ""),1))))"),4877.716158477912)</f>
        <v>4877.716158</v>
      </c>
    </row>
    <row r="8">
      <c r="A8" s="26" t="s">
        <v>186</v>
      </c>
      <c r="B8" s="97">
        <f>Interest!$B$2</f>
        <v>0.07158610815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5" t="s">
        <v>187</v>
      </c>
    </row>
    <row r="2">
      <c r="A2" s="163" t="s">
        <v>188</v>
      </c>
    </row>
    <row r="3">
      <c r="A3" s="164">
        <v>3.81</v>
      </c>
    </row>
    <row r="4">
      <c r="A4" s="164" t="s">
        <v>189</v>
      </c>
    </row>
    <row r="5">
      <c r="A5" s="163" t="s">
        <v>190</v>
      </c>
    </row>
    <row r="6">
      <c r="A6" s="163" t="s">
        <v>191</v>
      </c>
    </row>
    <row r="7">
      <c r="A7" s="164">
        <v>10.02</v>
      </c>
    </row>
    <row r="8">
      <c r="A8" s="167" t="s">
        <v>192</v>
      </c>
    </row>
    <row r="9">
      <c r="A9" s="165" t="s">
        <v>193</v>
      </c>
    </row>
    <row r="10">
      <c r="A10" s="165" t="s">
        <v>107</v>
      </c>
    </row>
    <row r="11">
      <c r="A11" s="165" t="s">
        <v>194</v>
      </c>
    </row>
    <row r="12">
      <c r="A12" s="165" t="s">
        <v>195</v>
      </c>
    </row>
    <row r="13">
      <c r="A13" s="165" t="s">
        <v>196</v>
      </c>
    </row>
    <row r="14">
      <c r="A14" s="165" t="s">
        <v>197</v>
      </c>
    </row>
    <row r="15">
      <c r="A15" s="165" t="s">
        <v>198</v>
      </c>
    </row>
    <row r="16">
      <c r="A16" s="163" t="s">
        <v>199</v>
      </c>
    </row>
    <row r="17">
      <c r="A17" s="165" t="s">
        <v>200</v>
      </c>
    </row>
    <row r="18">
      <c r="A18" s="165" t="s">
        <v>201</v>
      </c>
    </row>
    <row r="19">
      <c r="A19" s="165" t="s">
        <v>202</v>
      </c>
    </row>
    <row r="20">
      <c r="A20" s="163" t="s">
        <v>203</v>
      </c>
    </row>
    <row r="21">
      <c r="A21" s="163" t="s">
        <v>196</v>
      </c>
    </row>
    <row r="22">
      <c r="A22" s="165" t="s">
        <v>204</v>
      </c>
    </row>
    <row r="23">
      <c r="A23" s="163" t="s">
        <v>205</v>
      </c>
    </row>
    <row r="24">
      <c r="A24" s="163" t="s">
        <v>206</v>
      </c>
    </row>
    <row r="25">
      <c r="A25" s="163" t="s">
        <v>207</v>
      </c>
    </row>
    <row r="26">
      <c r="A26" s="163" t="s">
        <v>208</v>
      </c>
    </row>
    <row r="27">
      <c r="A27" s="163" t="s">
        <v>187</v>
      </c>
    </row>
    <row r="28">
      <c r="A28" s="163" t="s">
        <v>209</v>
      </c>
    </row>
    <row r="29">
      <c r="A29" s="163" t="s">
        <v>37</v>
      </c>
    </row>
    <row r="30">
      <c r="A30" s="163" t="s">
        <v>210</v>
      </c>
    </row>
    <row r="31">
      <c r="A31" s="163" t="s">
        <v>211</v>
      </c>
    </row>
    <row r="32">
      <c r="A32" s="163" t="s">
        <v>212</v>
      </c>
    </row>
    <row r="33">
      <c r="A33" s="163" t="s">
        <v>213</v>
      </c>
    </row>
    <row r="34">
      <c r="A34" s="163" t="s">
        <v>214</v>
      </c>
    </row>
    <row r="35">
      <c r="A35" s="163" t="s">
        <v>215</v>
      </c>
    </row>
    <row r="36">
      <c r="A36" s="164" t="s">
        <v>216</v>
      </c>
    </row>
    <row r="37">
      <c r="A37" s="168" t="s">
        <v>217</v>
      </c>
    </row>
    <row r="38">
      <c r="A38" s="169" t="s">
        <v>218</v>
      </c>
    </row>
    <row r="39">
      <c r="A39" s="164" t="s">
        <v>219</v>
      </c>
    </row>
    <row r="40">
      <c r="A40" s="163" t="s">
        <v>220</v>
      </c>
    </row>
    <row r="41">
      <c r="A41" s="163" t="s">
        <v>221</v>
      </c>
    </row>
    <row r="42">
      <c r="A42" s="164" t="s">
        <v>222</v>
      </c>
    </row>
    <row r="43">
      <c r="A43" s="164">
        <v>0.0</v>
      </c>
    </row>
    <row r="44">
      <c r="A44" s="164">
        <v>0.0</v>
      </c>
    </row>
    <row r="45">
      <c r="A45" s="164">
        <v>0.0</v>
      </c>
    </row>
    <row r="46">
      <c r="A46" s="170">
        <v>0.0</v>
      </c>
    </row>
    <row r="47">
      <c r="A47" s="170">
        <v>10.036894</v>
      </c>
    </row>
    <row r="48">
      <c r="A48" s="164">
        <v>10.02</v>
      </c>
    </row>
    <row r="49">
      <c r="A49" s="163" t="s">
        <v>223</v>
      </c>
    </row>
    <row r="50">
      <c r="A50" s="163" t="s">
        <v>224</v>
      </c>
    </row>
    <row r="51">
      <c r="A51" s="163" t="s">
        <v>225</v>
      </c>
    </row>
    <row r="52">
      <c r="A52" s="163" t="s">
        <v>226</v>
      </c>
    </row>
    <row r="53">
      <c r="A53" s="163" t="s">
        <v>227</v>
      </c>
    </row>
    <row r="54">
      <c r="A54" s="163" t="s">
        <v>228</v>
      </c>
    </row>
    <row r="55">
      <c r="A55" s="163" t="s">
        <v>229</v>
      </c>
    </row>
    <row r="56">
      <c r="A56" s="171">
        <v>0.0</v>
      </c>
    </row>
    <row r="57">
      <c r="A57" s="163" t="s">
        <v>230</v>
      </c>
    </row>
    <row r="58">
      <c r="A58" s="163" t="s">
        <v>229</v>
      </c>
    </row>
    <row r="59">
      <c r="A59" s="171">
        <v>0.0</v>
      </c>
    </row>
    <row r="60">
      <c r="A60" s="163" t="s">
        <v>231</v>
      </c>
    </row>
    <row r="61">
      <c r="A61" s="163" t="s">
        <v>229</v>
      </c>
    </row>
    <row r="62">
      <c r="A62" s="171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105</v>
      </c>
    </row>
    <row r="2">
      <c r="A2" s="163" t="s">
        <v>232</v>
      </c>
    </row>
    <row r="3">
      <c r="A3" s="163" t="s">
        <v>233</v>
      </c>
    </row>
    <row r="4">
      <c r="A4" s="163" t="s">
        <v>197</v>
      </c>
    </row>
    <row r="5">
      <c r="A5" s="164" t="s">
        <v>234</v>
      </c>
    </row>
    <row r="6">
      <c r="A6" s="163" t="s">
        <v>235</v>
      </c>
    </row>
    <row r="7">
      <c r="A7" s="164" t="s">
        <v>236</v>
      </c>
    </row>
    <row r="8">
      <c r="A8" s="163" t="s">
        <v>237</v>
      </c>
    </row>
    <row r="9">
      <c r="A9" s="163" t="s">
        <v>202</v>
      </c>
    </row>
    <row r="10">
      <c r="A10" s="163" t="s">
        <v>238</v>
      </c>
    </row>
    <row r="11">
      <c r="A11" s="164" t="s">
        <v>239</v>
      </c>
    </row>
    <row r="12">
      <c r="A12" s="164">
        <v>1.705090635E7</v>
      </c>
    </row>
    <row r="13">
      <c r="A13" s="163" t="s">
        <v>240</v>
      </c>
      <c r="C13" s="7"/>
    </row>
    <row r="14">
      <c r="A14" s="164">
        <v>5319233.09</v>
      </c>
      <c r="C14" s="7"/>
    </row>
    <row r="15">
      <c r="A15" s="163" t="s">
        <v>241</v>
      </c>
      <c r="C15" s="7"/>
    </row>
    <row r="16">
      <c r="A16" s="163" t="s">
        <v>242</v>
      </c>
    </row>
    <row r="17">
      <c r="A17" s="164" t="s">
        <v>243</v>
      </c>
    </row>
    <row r="18">
      <c r="A18" s="163" t="s">
        <v>244</v>
      </c>
    </row>
    <row r="19">
      <c r="A19" s="163" t="s">
        <v>245</v>
      </c>
      <c r="C19" s="7"/>
    </row>
    <row r="20">
      <c r="A20" s="164">
        <v>0.0</v>
      </c>
    </row>
    <row r="21">
      <c r="A21" s="163" t="s">
        <v>123</v>
      </c>
      <c r="B21" s="163" t="s">
        <v>246</v>
      </c>
      <c r="C21" s="163" t="s">
        <v>49</v>
      </c>
    </row>
    <row r="22">
      <c r="A22" s="163"/>
      <c r="B22" s="163"/>
      <c r="C22" s="163"/>
      <c r="D22" s="163"/>
    </row>
    <row r="23">
      <c r="A23" s="163" t="s">
        <v>133</v>
      </c>
      <c r="C23" s="7"/>
    </row>
    <row r="24">
      <c r="A24" s="172">
        <v>0.0</v>
      </c>
      <c r="B24" s="7"/>
      <c r="C24" s="171"/>
      <c r="D24" s="171"/>
    </row>
    <row r="25">
      <c r="A25" s="172" t="s">
        <v>123</v>
      </c>
      <c r="B25" s="163" t="s">
        <v>246</v>
      </c>
      <c r="C25" s="163" t="s">
        <v>49</v>
      </c>
    </row>
    <row r="26">
      <c r="A26" s="172"/>
      <c r="B26" s="172"/>
      <c r="C26" s="172"/>
      <c r="D26" s="172"/>
    </row>
    <row r="27">
      <c r="A27" s="172" t="s">
        <v>247</v>
      </c>
      <c r="B27" s="172"/>
      <c r="C27" s="7"/>
      <c r="D27" s="172"/>
    </row>
    <row r="28">
      <c r="A28" s="172" t="s">
        <v>123</v>
      </c>
      <c r="B28" s="172" t="s">
        <v>248</v>
      </c>
      <c r="C28" s="172" t="s">
        <v>249</v>
      </c>
      <c r="D28" s="172" t="s">
        <v>250</v>
      </c>
      <c r="E28" s="163" t="s">
        <v>251</v>
      </c>
      <c r="F28" s="163" t="s">
        <v>134</v>
      </c>
    </row>
    <row r="29">
      <c r="A29" s="163" t="s">
        <v>252</v>
      </c>
      <c r="B29" s="163" t="s">
        <v>253</v>
      </c>
      <c r="C29" s="163" t="s">
        <v>254</v>
      </c>
      <c r="D29" s="163" t="s">
        <v>255</v>
      </c>
      <c r="E29" s="163" t="s">
        <v>256</v>
      </c>
    </row>
    <row r="30">
      <c r="A30" s="164" t="s">
        <v>257</v>
      </c>
      <c r="B30" s="164"/>
      <c r="C30" s="164"/>
      <c r="D30" s="164"/>
    </row>
    <row r="31">
      <c r="A31" s="163" t="s">
        <v>258</v>
      </c>
    </row>
    <row r="32">
      <c r="A32" s="163" t="s">
        <v>259</v>
      </c>
    </row>
    <row r="33">
      <c r="A33" s="163" t="s">
        <v>123</v>
      </c>
      <c r="B33" s="163" t="s">
        <v>248</v>
      </c>
      <c r="C33" s="163" t="s">
        <v>249</v>
      </c>
      <c r="D33" s="163" t="s">
        <v>250</v>
      </c>
      <c r="E33" s="163" t="s">
        <v>251</v>
      </c>
      <c r="F33" s="163" t="s">
        <v>134</v>
      </c>
    </row>
    <row r="34">
      <c r="A34" s="163" t="s">
        <v>260</v>
      </c>
      <c r="B34" s="163" t="s">
        <v>261</v>
      </c>
      <c r="C34" s="163" t="s">
        <v>262</v>
      </c>
      <c r="D34" s="163" t="s">
        <v>263</v>
      </c>
      <c r="E34" s="163" t="s">
        <v>264</v>
      </c>
      <c r="F34" s="163" t="s">
        <v>265</v>
      </c>
    </row>
    <row r="35">
      <c r="A35" s="164" t="s">
        <v>266</v>
      </c>
      <c r="B35" s="163" t="s">
        <v>253</v>
      </c>
      <c r="C35" s="163" t="s">
        <v>267</v>
      </c>
      <c r="D35" s="163" t="s">
        <v>268</v>
      </c>
      <c r="E35" s="163" t="s">
        <v>269</v>
      </c>
      <c r="F35" s="163" t="s">
        <v>270</v>
      </c>
    </row>
    <row r="36">
      <c r="A36" s="164" t="s">
        <v>271</v>
      </c>
      <c r="B36" s="163" t="s">
        <v>253</v>
      </c>
      <c r="C36" s="163" t="s">
        <v>272</v>
      </c>
      <c r="D36" s="163" t="s">
        <v>273</v>
      </c>
      <c r="E36" s="163" t="s">
        <v>274</v>
      </c>
      <c r="F36" s="163" t="s">
        <v>275</v>
      </c>
    </row>
    <row r="37">
      <c r="A37" s="165" t="s">
        <v>276</v>
      </c>
      <c r="B37" s="163"/>
      <c r="C37" s="163"/>
      <c r="D37" s="163"/>
      <c r="E37" s="163"/>
      <c r="F37" s="163"/>
    </row>
    <row r="38">
      <c r="A38" s="172" t="s">
        <v>277</v>
      </c>
      <c r="B38" s="163" t="s">
        <v>253</v>
      </c>
      <c r="C38" s="163" t="s">
        <v>278</v>
      </c>
      <c r="D38" s="163" t="s">
        <v>279</v>
      </c>
      <c r="E38" s="163" t="s">
        <v>280</v>
      </c>
      <c r="F38" s="163" t="s">
        <v>281</v>
      </c>
    </row>
    <row r="39">
      <c r="A39" s="163" t="s">
        <v>282</v>
      </c>
      <c r="B39" s="163" t="s">
        <v>253</v>
      </c>
      <c r="C39" s="163" t="s">
        <v>283</v>
      </c>
      <c r="D39" s="163" t="s">
        <v>284</v>
      </c>
      <c r="E39" s="163" t="s">
        <v>285</v>
      </c>
      <c r="F39" s="163" t="s">
        <v>286</v>
      </c>
    </row>
    <row r="40">
      <c r="A40" s="164" t="s">
        <v>287</v>
      </c>
      <c r="B40" s="163" t="s">
        <v>253</v>
      </c>
      <c r="C40" s="163" t="s">
        <v>288</v>
      </c>
      <c r="D40" s="163" t="s">
        <v>289</v>
      </c>
      <c r="E40" s="163" t="s">
        <v>290</v>
      </c>
      <c r="F40" s="163" t="s">
        <v>291</v>
      </c>
    </row>
    <row r="41">
      <c r="A41" s="164" t="s">
        <v>292</v>
      </c>
      <c r="B41" s="163" t="s">
        <v>253</v>
      </c>
      <c r="C41" s="163" t="s">
        <v>293</v>
      </c>
      <c r="D41" s="163" t="s">
        <v>294</v>
      </c>
      <c r="E41" s="163" t="s">
        <v>295</v>
      </c>
      <c r="F41" s="163" t="s">
        <v>296</v>
      </c>
    </row>
    <row r="42">
      <c r="A42" s="163" t="s">
        <v>297</v>
      </c>
      <c r="B42" s="163" t="s">
        <v>253</v>
      </c>
      <c r="C42" s="163" t="s">
        <v>298</v>
      </c>
      <c r="D42" s="163" t="s">
        <v>299</v>
      </c>
      <c r="E42" s="163" t="s">
        <v>300</v>
      </c>
      <c r="F42" s="163" t="s">
        <v>301</v>
      </c>
    </row>
    <row r="43">
      <c r="A43" s="163" t="s">
        <v>302</v>
      </c>
      <c r="B43" s="163" t="s">
        <v>253</v>
      </c>
      <c r="C43" s="163" t="s">
        <v>303</v>
      </c>
      <c r="D43" s="163" t="s">
        <v>304</v>
      </c>
      <c r="E43" s="163" t="s">
        <v>305</v>
      </c>
      <c r="F43" s="163" t="s">
        <v>306</v>
      </c>
    </row>
    <row r="44">
      <c r="A44" s="163" t="s">
        <v>307</v>
      </c>
      <c r="B44" s="163" t="s">
        <v>253</v>
      </c>
      <c r="C44" s="163" t="s">
        <v>308</v>
      </c>
      <c r="D44" s="163" t="s">
        <v>309</v>
      </c>
      <c r="E44" s="163" t="s">
        <v>310</v>
      </c>
      <c r="F44" s="163" t="s">
        <v>311</v>
      </c>
    </row>
    <row r="45">
      <c r="A45" s="164" t="s">
        <v>312</v>
      </c>
      <c r="B45" s="163" t="s">
        <v>253</v>
      </c>
      <c r="C45" s="163" t="s">
        <v>313</v>
      </c>
      <c r="D45" s="163" t="s">
        <v>314</v>
      </c>
      <c r="E45" s="163" t="s">
        <v>315</v>
      </c>
      <c r="F45" s="163" t="s">
        <v>316</v>
      </c>
    </row>
    <row r="46">
      <c r="A46" s="164" t="s">
        <v>317</v>
      </c>
      <c r="B46" s="163" t="s">
        <v>253</v>
      </c>
      <c r="C46" s="163" t="s">
        <v>318</v>
      </c>
      <c r="D46" s="163" t="s">
        <v>319</v>
      </c>
      <c r="E46" s="163" t="s">
        <v>320</v>
      </c>
      <c r="F46" s="163" t="s">
        <v>321</v>
      </c>
    </row>
    <row r="47">
      <c r="A47" s="165" t="s">
        <v>322</v>
      </c>
      <c r="B47" s="163" t="s">
        <v>253</v>
      </c>
      <c r="C47" s="163" t="s">
        <v>323</v>
      </c>
      <c r="D47" s="163" t="s">
        <v>253</v>
      </c>
      <c r="E47" s="163" t="s">
        <v>324</v>
      </c>
    </row>
    <row r="48">
      <c r="A48" s="165" t="s">
        <v>325</v>
      </c>
      <c r="B48" s="163" t="s">
        <v>253</v>
      </c>
      <c r="C48" s="163" t="s">
        <v>326</v>
      </c>
      <c r="D48" s="163" t="s">
        <v>253</v>
      </c>
      <c r="E48" s="163" t="s">
        <v>327</v>
      </c>
    </row>
    <row r="49">
      <c r="A49" s="165" t="s">
        <v>328</v>
      </c>
      <c r="B49" s="163" t="s">
        <v>253</v>
      </c>
      <c r="C49" s="163" t="s">
        <v>329</v>
      </c>
      <c r="D49" s="163" t="s">
        <v>253</v>
      </c>
      <c r="E49" s="163" t="s">
        <v>330</v>
      </c>
      <c r="F49" s="7"/>
    </row>
    <row r="50">
      <c r="A50" s="163" t="s">
        <v>115</v>
      </c>
      <c r="F50" s="7"/>
    </row>
    <row r="51">
      <c r="A51" s="7">
        <v>0.0</v>
      </c>
      <c r="F51" s="7"/>
    </row>
    <row r="52">
      <c r="A52" s="163" t="s">
        <v>331</v>
      </c>
      <c r="B52" s="171"/>
      <c r="D52" s="7"/>
      <c r="F52" s="7"/>
    </row>
    <row r="53">
      <c r="A53" s="164">
        <v>0.0</v>
      </c>
      <c r="B53" s="171"/>
      <c r="D53" s="7"/>
      <c r="F53" s="7"/>
    </row>
    <row r="54">
      <c r="A54" s="163" t="s">
        <v>332</v>
      </c>
      <c r="B54" s="171"/>
      <c r="D54" s="7"/>
      <c r="F54" s="7"/>
    </row>
    <row r="55">
      <c r="A55" s="163" t="s">
        <v>333</v>
      </c>
      <c r="B55" s="171"/>
      <c r="D55" s="7"/>
      <c r="F55" s="7"/>
    </row>
    <row r="56">
      <c r="A56" s="163" t="s">
        <v>334</v>
      </c>
    </row>
    <row r="57">
      <c r="A57" s="171">
        <v>0.0</v>
      </c>
    </row>
    <row r="58">
      <c r="A58" s="163" t="s">
        <v>335</v>
      </c>
    </row>
    <row r="59">
      <c r="A59" s="7">
        <v>0.95</v>
      </c>
    </row>
    <row r="60">
      <c r="A60" s="163" t="s">
        <v>336</v>
      </c>
    </row>
    <row r="61">
      <c r="A61" s="171">
        <v>0.9</v>
      </c>
    </row>
    <row r="62">
      <c r="A62" s="163" t="s">
        <v>337</v>
      </c>
    </row>
    <row r="63">
      <c r="A63" s="163" t="s">
        <v>338</v>
      </c>
    </row>
    <row r="64">
      <c r="A64" s="163" t="s">
        <v>339</v>
      </c>
    </row>
    <row r="65">
      <c r="A65" s="164" t="s">
        <v>340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5" t="s">
        <v>341</v>
      </c>
    </row>
    <row r="2">
      <c r="A2" s="165" t="s">
        <v>105</v>
      </c>
    </row>
    <row r="3">
      <c r="A3" s="165" t="s">
        <v>342</v>
      </c>
    </row>
    <row r="4">
      <c r="A4" s="165" t="s">
        <v>343</v>
      </c>
    </row>
    <row r="5">
      <c r="A5" s="165" t="s">
        <v>344</v>
      </c>
    </row>
    <row r="6">
      <c r="A6" s="165" t="s">
        <v>345</v>
      </c>
    </row>
    <row r="7">
      <c r="A7" s="165" t="s">
        <v>202</v>
      </c>
    </row>
    <row r="8">
      <c r="A8" s="163" t="s">
        <v>346</v>
      </c>
    </row>
    <row r="9">
      <c r="A9" s="163" t="s">
        <v>347</v>
      </c>
    </row>
    <row r="10">
      <c r="A10" s="163" t="s">
        <v>348</v>
      </c>
    </row>
    <row r="11">
      <c r="A11" s="163" t="s">
        <v>349</v>
      </c>
    </row>
    <row r="12">
      <c r="A12" s="164" t="s">
        <v>350</v>
      </c>
    </row>
    <row r="13">
      <c r="A13" s="163" t="s">
        <v>351</v>
      </c>
    </row>
    <row r="14">
      <c r="A14" s="164" t="s">
        <v>352</v>
      </c>
    </row>
    <row r="15">
      <c r="A15" s="163" t="s">
        <v>353</v>
      </c>
    </row>
    <row r="16">
      <c r="A16" s="163" t="s">
        <v>354</v>
      </c>
    </row>
    <row r="17">
      <c r="A17" s="163" t="s">
        <v>355</v>
      </c>
    </row>
    <row r="18">
      <c r="A18" s="163" t="s">
        <v>356</v>
      </c>
    </row>
    <row r="19">
      <c r="A19" s="165" t="s">
        <v>357</v>
      </c>
    </row>
    <row r="20">
      <c r="A20" s="164" t="s">
        <v>358</v>
      </c>
    </row>
    <row r="21">
      <c r="A21" s="163" t="s">
        <v>359</v>
      </c>
    </row>
    <row r="22">
      <c r="A22" s="163" t="s">
        <v>360</v>
      </c>
      <c r="C22" s="7"/>
    </row>
    <row r="23">
      <c r="A23" s="163" t="s">
        <v>361</v>
      </c>
      <c r="C23" s="7"/>
    </row>
    <row r="24">
      <c r="A24" s="163" t="s">
        <v>362</v>
      </c>
    </row>
    <row r="25">
      <c r="A25" s="164" t="s">
        <v>363</v>
      </c>
    </row>
    <row r="26">
      <c r="A26" s="163" t="s">
        <v>364</v>
      </c>
    </row>
    <row r="27">
      <c r="A27" s="165" t="s">
        <v>365</v>
      </c>
      <c r="C27" s="7"/>
    </row>
    <row r="28">
      <c r="A28" s="163" t="s">
        <v>366</v>
      </c>
    </row>
    <row r="29">
      <c r="A29" s="163" t="s">
        <v>367</v>
      </c>
    </row>
    <row r="30">
      <c r="A30" s="163" t="s">
        <v>368</v>
      </c>
    </row>
    <row r="31">
      <c r="A31" s="163" t="s">
        <v>369</v>
      </c>
      <c r="B31" s="163" t="s">
        <v>370</v>
      </c>
      <c r="C31" s="163" t="s">
        <v>371</v>
      </c>
      <c r="D31" s="163" t="s">
        <v>124</v>
      </c>
      <c r="E31" s="163" t="s">
        <v>372</v>
      </c>
      <c r="F31" s="163" t="s">
        <v>134</v>
      </c>
    </row>
    <row r="32">
      <c r="A32" s="163" t="s">
        <v>373</v>
      </c>
      <c r="B32" s="171">
        <v>0.35</v>
      </c>
      <c r="C32" s="163" t="s">
        <v>374</v>
      </c>
      <c r="D32" s="163" t="s">
        <v>375</v>
      </c>
      <c r="E32" s="163" t="s">
        <v>376</v>
      </c>
      <c r="F32" s="7">
        <v>1.0151</v>
      </c>
    </row>
    <row r="33">
      <c r="A33" s="163" t="s">
        <v>377</v>
      </c>
      <c r="B33" s="171">
        <v>0.75</v>
      </c>
      <c r="C33" s="163" t="s">
        <v>378</v>
      </c>
      <c r="D33" s="7">
        <v>0.0178</v>
      </c>
      <c r="E33" s="163" t="s">
        <v>379</v>
      </c>
      <c r="F33" s="163" t="s">
        <v>380</v>
      </c>
    </row>
    <row r="34">
      <c r="A34" s="163" t="s">
        <v>49</v>
      </c>
      <c r="B34" s="171">
        <v>0.75</v>
      </c>
      <c r="C34" s="163" t="s">
        <v>381</v>
      </c>
      <c r="D34" s="7">
        <v>0.0362</v>
      </c>
      <c r="E34" s="163" t="s">
        <v>382</v>
      </c>
      <c r="F34" s="163" t="s">
        <v>383</v>
      </c>
    </row>
    <row r="35">
      <c r="A35" s="163" t="s">
        <v>384</v>
      </c>
      <c r="B35" s="163" t="s">
        <v>370</v>
      </c>
      <c r="C35" s="163" t="s">
        <v>371</v>
      </c>
      <c r="D35" s="163" t="s">
        <v>124</v>
      </c>
      <c r="E35" s="163" t="s">
        <v>372</v>
      </c>
      <c r="F35" s="163" t="s">
        <v>134</v>
      </c>
    </row>
    <row r="36">
      <c r="A36" s="163" t="s">
        <v>385</v>
      </c>
      <c r="B36" s="171">
        <v>0.35</v>
      </c>
      <c r="C36" s="163" t="s">
        <v>386</v>
      </c>
      <c r="D36" s="163" t="s">
        <v>387</v>
      </c>
      <c r="E36" s="163" t="s">
        <v>388</v>
      </c>
      <c r="F36" s="7">
        <v>1.0336</v>
      </c>
    </row>
    <row r="37">
      <c r="A37" s="163" t="s">
        <v>389</v>
      </c>
      <c r="B37" s="171">
        <v>0.75</v>
      </c>
      <c r="C37" s="163" t="s">
        <v>390</v>
      </c>
      <c r="D37" s="7">
        <v>0.0359</v>
      </c>
      <c r="E37" s="163" t="s">
        <v>391</v>
      </c>
      <c r="F37" s="163" t="s">
        <v>392</v>
      </c>
    </row>
    <row r="38">
      <c r="A38" s="163" t="s">
        <v>393</v>
      </c>
      <c r="B38" s="171">
        <v>0.75</v>
      </c>
      <c r="C38" s="163" t="s">
        <v>394</v>
      </c>
      <c r="D38" s="7">
        <v>0.037</v>
      </c>
      <c r="E38" s="163" t="s">
        <v>395</v>
      </c>
      <c r="F38" s="163" t="s">
        <v>396</v>
      </c>
    </row>
    <row r="39">
      <c r="A39" s="163" t="s">
        <v>397</v>
      </c>
      <c r="B39" s="171">
        <v>0.75</v>
      </c>
      <c r="C39" s="163" t="s">
        <v>398</v>
      </c>
      <c r="D39" s="7">
        <v>0.0553</v>
      </c>
      <c r="E39" s="163" t="s">
        <v>399</v>
      </c>
      <c r="F39" s="163" t="s">
        <v>400</v>
      </c>
    </row>
    <row r="40">
      <c r="A40" s="163" t="s">
        <v>401</v>
      </c>
      <c r="B40" s="171">
        <v>0.75</v>
      </c>
      <c r="C40" s="163" t="s">
        <v>402</v>
      </c>
      <c r="D40" s="7">
        <v>0.0047</v>
      </c>
      <c r="E40" s="163" t="s">
        <v>403</v>
      </c>
      <c r="F40" s="7">
        <v>0.0218</v>
      </c>
    </row>
    <row r="41">
      <c r="A41" s="163" t="s">
        <v>404</v>
      </c>
      <c r="B41" s="171">
        <v>0.75</v>
      </c>
      <c r="C41" s="163" t="s">
        <v>405</v>
      </c>
      <c r="D41" s="7">
        <v>4.0E-4</v>
      </c>
      <c r="E41" s="163" t="s">
        <v>406</v>
      </c>
      <c r="F41" s="7">
        <v>0.0059</v>
      </c>
    </row>
    <row r="42">
      <c r="A42" s="163" t="s">
        <v>407</v>
      </c>
      <c r="B42" s="171">
        <v>0.75</v>
      </c>
      <c r="C42" s="163" t="s">
        <v>408</v>
      </c>
      <c r="D42" s="163" t="s">
        <v>409</v>
      </c>
      <c r="E42" s="163" t="s">
        <v>410</v>
      </c>
      <c r="F42" s="7">
        <v>9.0E-4</v>
      </c>
    </row>
    <row r="43">
      <c r="A43" s="163" t="s">
        <v>411</v>
      </c>
      <c r="B43" s="171">
        <v>0.75</v>
      </c>
      <c r="C43" s="163" t="s">
        <v>412</v>
      </c>
      <c r="D43" s="163" t="s">
        <v>413</v>
      </c>
      <c r="E43" s="163" t="s">
        <v>414</v>
      </c>
      <c r="F43" s="7">
        <v>0.0047</v>
      </c>
    </row>
    <row r="44">
      <c r="A44" s="163" t="s">
        <v>415</v>
      </c>
      <c r="B44" s="171">
        <v>0.65</v>
      </c>
      <c r="C44" s="163" t="s">
        <v>416</v>
      </c>
      <c r="D44" s="7">
        <v>0.0</v>
      </c>
      <c r="E44" s="163" t="s">
        <v>417</v>
      </c>
      <c r="F44" s="7">
        <v>0.0</v>
      </c>
    </row>
    <row r="45">
      <c r="A45" s="163" t="s">
        <v>418</v>
      </c>
      <c r="B45" s="171">
        <v>0.65</v>
      </c>
      <c r="C45" s="163" t="s">
        <v>419</v>
      </c>
      <c r="D45" s="7">
        <v>0.0</v>
      </c>
      <c r="E45" s="163" t="s">
        <v>417</v>
      </c>
      <c r="F45" s="7">
        <v>0.0</v>
      </c>
    </row>
    <row r="46">
      <c r="A46" s="163" t="s">
        <v>420</v>
      </c>
      <c r="B46" s="171">
        <v>0.65</v>
      </c>
      <c r="C46" s="163" t="s">
        <v>421</v>
      </c>
      <c r="D46" s="7">
        <v>0.0626</v>
      </c>
      <c r="E46" s="163" t="s">
        <v>422</v>
      </c>
      <c r="F46" s="7">
        <v>0.1532</v>
      </c>
    </row>
    <row r="47">
      <c r="A47" s="163" t="s">
        <v>423</v>
      </c>
      <c r="B47" s="171">
        <v>0.65</v>
      </c>
      <c r="C47" s="163" t="s">
        <v>424</v>
      </c>
      <c r="D47" s="7">
        <v>0.0244</v>
      </c>
      <c r="E47" s="163" t="s">
        <v>425</v>
      </c>
      <c r="F47" s="7">
        <v>0.0605</v>
      </c>
    </row>
    <row r="48">
      <c r="A48" s="163" t="s">
        <v>426</v>
      </c>
      <c r="B48" s="171">
        <v>0.65</v>
      </c>
      <c r="C48" s="163" t="s">
        <v>427</v>
      </c>
      <c r="D48" s="7">
        <v>5.0E-4</v>
      </c>
      <c r="E48" s="163" t="s">
        <v>428</v>
      </c>
      <c r="F48" s="7">
        <v>0.0084</v>
      </c>
    </row>
    <row r="49">
      <c r="A49" s="163" t="s">
        <v>429</v>
      </c>
      <c r="B49" s="171">
        <v>0.35</v>
      </c>
      <c r="C49" s="163" t="s">
        <v>430</v>
      </c>
      <c r="D49" s="7">
        <v>0.0135</v>
      </c>
      <c r="E49" s="163" t="s">
        <v>431</v>
      </c>
      <c r="F49" s="7">
        <v>0.0712</v>
      </c>
    </row>
    <row r="50">
      <c r="A50" s="163" t="s">
        <v>432</v>
      </c>
      <c r="B50" s="171">
        <v>0.75</v>
      </c>
      <c r="C50" s="163" t="s">
        <v>433</v>
      </c>
      <c r="D50" s="7">
        <v>0.0</v>
      </c>
      <c r="E50" s="163" t="s">
        <v>434</v>
      </c>
      <c r="F50" s="7">
        <v>4.0E-4</v>
      </c>
    </row>
    <row r="51">
      <c r="A51" s="163" t="s">
        <v>435</v>
      </c>
      <c r="B51" s="171">
        <v>0.0</v>
      </c>
      <c r="C51" s="163" t="s">
        <v>436</v>
      </c>
      <c r="D51" s="7">
        <v>0.0025</v>
      </c>
      <c r="E51" s="163" t="s">
        <v>437</v>
      </c>
      <c r="F51" s="7">
        <v>0.0159</v>
      </c>
    </row>
    <row r="52">
      <c r="A52" s="163" t="s">
        <v>438</v>
      </c>
      <c r="B52" s="171">
        <v>0.0</v>
      </c>
      <c r="C52" s="163" t="s">
        <v>439</v>
      </c>
      <c r="D52" s="7">
        <v>7.0E-4</v>
      </c>
      <c r="E52" s="163" t="s">
        <v>440</v>
      </c>
      <c r="F52" s="7">
        <v>0.0104</v>
      </c>
    </row>
    <row r="53">
      <c r="A53" s="163" t="s">
        <v>441</v>
      </c>
      <c r="B53" s="171">
        <v>0.0</v>
      </c>
      <c r="C53" s="163" t="s">
        <v>442</v>
      </c>
      <c r="D53" s="7">
        <v>1.0E-4</v>
      </c>
      <c r="E53" s="163" t="s">
        <v>443</v>
      </c>
      <c r="F53" s="7">
        <v>0.004</v>
      </c>
    </row>
    <row r="54">
      <c r="A54" s="163" t="s">
        <v>444</v>
      </c>
      <c r="B54" s="171">
        <v>0.0</v>
      </c>
      <c r="C54" s="163" t="s">
        <v>445</v>
      </c>
      <c r="D54" s="7">
        <v>3.0E-4</v>
      </c>
      <c r="E54" s="163" t="s">
        <v>446</v>
      </c>
      <c r="F54" s="7">
        <v>0.0104</v>
      </c>
    </row>
    <row r="55">
      <c r="A55" s="163" t="s">
        <v>447</v>
      </c>
      <c r="B55" s="171">
        <v>0.0</v>
      </c>
      <c r="C55" s="163" t="s">
        <v>448</v>
      </c>
      <c r="D55" s="7">
        <v>0.0</v>
      </c>
      <c r="E55" s="163" t="s">
        <v>449</v>
      </c>
      <c r="F55" s="7">
        <v>0.0</v>
      </c>
    </row>
    <row r="56">
      <c r="A56" s="163" t="s">
        <v>450</v>
      </c>
    </row>
    <row r="57">
      <c r="A57" s="163" t="s">
        <v>451</v>
      </c>
    </row>
    <row r="58">
      <c r="A58" s="163" t="s">
        <v>452</v>
      </c>
    </row>
    <row r="59">
      <c r="A59" s="163" t="s">
        <v>453</v>
      </c>
    </row>
    <row r="60">
      <c r="A60" s="163" t="s">
        <v>454</v>
      </c>
    </row>
    <row r="61">
      <c r="A61" s="163" t="s">
        <v>455</v>
      </c>
    </row>
    <row r="62">
      <c r="A62" s="164" t="s">
        <v>456</v>
      </c>
    </row>
    <row r="63">
      <c r="A63" s="164">
        <v>1586.01</v>
      </c>
    </row>
    <row r="64">
      <c r="A64" s="164" t="s">
        <v>457</v>
      </c>
    </row>
    <row r="65">
      <c r="A65" s="164">
        <v>1797.48</v>
      </c>
      <c r="B65" s="163" t="s">
        <v>246</v>
      </c>
    </row>
    <row r="66">
      <c r="A66" s="163" t="s">
        <v>458</v>
      </c>
      <c r="B66" s="163" t="s">
        <v>246</v>
      </c>
    </row>
    <row r="67">
      <c r="A67" s="26" t="s">
        <v>459</v>
      </c>
      <c r="B67" s="26" t="s">
        <v>460</v>
      </c>
    </row>
    <row r="68">
      <c r="A68" s="163" t="s">
        <v>461</v>
      </c>
      <c r="B68" s="163" t="s">
        <v>246</v>
      </c>
    </row>
    <row r="69">
      <c r="A69" s="163"/>
      <c r="B69" s="163"/>
    </row>
    <row r="70">
      <c r="A70" s="163" t="s">
        <v>462</v>
      </c>
      <c r="B70" s="163" t="s">
        <v>246</v>
      </c>
    </row>
    <row r="71">
      <c r="A71" s="163" t="s">
        <v>389</v>
      </c>
      <c r="B71" s="163" t="s">
        <v>463</v>
      </c>
    </row>
    <row r="72">
      <c r="A72" s="163" t="s">
        <v>464</v>
      </c>
      <c r="B72" s="163" t="s">
        <v>465</v>
      </c>
    </row>
    <row r="73">
      <c r="A73" s="165" t="s">
        <v>349</v>
      </c>
      <c r="B73" s="163" t="s">
        <v>466</v>
      </c>
    </row>
    <row r="74">
      <c r="A74" s="165" t="s">
        <v>350</v>
      </c>
    </row>
    <row r="75">
      <c r="A75" s="165" t="s">
        <v>351</v>
      </c>
    </row>
    <row r="76">
      <c r="A76" s="165" t="s">
        <v>352</v>
      </c>
    </row>
    <row r="77">
      <c r="A77" s="165" t="s">
        <v>353</v>
      </c>
    </row>
    <row r="78">
      <c r="A78" s="165" t="s">
        <v>354</v>
      </c>
    </row>
    <row r="79">
      <c r="A79" s="165" t="s">
        <v>355</v>
      </c>
    </row>
    <row r="80">
      <c r="A80" s="165" t="s">
        <v>356</v>
      </c>
    </row>
    <row r="81">
      <c r="A81" s="165" t="s">
        <v>467</v>
      </c>
    </row>
    <row r="82">
      <c r="A82" s="165" t="s">
        <v>468</v>
      </c>
    </row>
    <row r="83">
      <c r="A83" s="165" t="s">
        <v>469</v>
      </c>
    </row>
    <row r="84">
      <c r="A84" s="165" t="s">
        <v>470</v>
      </c>
    </row>
    <row r="85">
      <c r="A85" s="165" t="s">
        <v>471</v>
      </c>
    </row>
    <row r="86">
      <c r="A86" s="165" t="s">
        <v>472</v>
      </c>
    </row>
    <row r="87">
      <c r="A87" s="165" t="s">
        <v>473</v>
      </c>
    </row>
    <row r="88">
      <c r="A88" s="165" t="s">
        <v>474</v>
      </c>
    </row>
    <row r="89">
      <c r="A89" s="165" t="s">
        <v>475</v>
      </c>
    </row>
    <row r="90">
      <c r="A90" s="163" t="s">
        <v>476</v>
      </c>
    </row>
    <row r="91">
      <c r="A91" s="165" t="s">
        <v>477</v>
      </c>
    </row>
    <row r="92">
      <c r="A92" s="165" t="s">
        <v>478</v>
      </c>
    </row>
    <row r="93">
      <c r="A93" s="165" t="s">
        <v>479</v>
      </c>
    </row>
    <row r="94">
      <c r="A94" s="165" t="s">
        <v>480</v>
      </c>
    </row>
    <row r="95">
      <c r="A95" s="165" t="s">
        <v>481</v>
      </c>
    </row>
    <row r="96">
      <c r="A96" s="16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3" t="str">
        <f>SUBSTITUTE(SUBSTITUTE('_Apricot'!A42,"K",),".",)*1</f>
        <v>#VALUE!</v>
      </c>
      <c r="B1" s="57" t="str">
        <f>IFERROR(__xludf.DUMMYFUNCTION("INDEX(SPLIT('_Apricot'!$C34,"" 
""),2)"),"$1.41M")</f>
        <v>$1.41M</v>
      </c>
      <c r="C1" s="57" t="str">
        <f>IFERROR(__xludf.DUMMYFUNCTION("SUBSTITUTE(INDEX(SPLIT('_Apricot'!$C38,"" 
""),2),""−"",""-"")*1"),"#VALUE!")</f>
        <v>#VALUE!</v>
      </c>
      <c r="D1" s="174" t="str">
        <f t="shared" ref="D1:D22" si="1">A1*$B$5*$C$5*(1-0.075%)</f>
        <v>#VALUE!</v>
      </c>
      <c r="E1" s="174" t="str">
        <f t="shared" ref="E1:E21" si="2">D2-D1</f>
        <v>#VALUE!</v>
      </c>
      <c r="F1" s="174" t="str">
        <f t="shared" ref="F1:F22" si="3">D1/A2</f>
        <v>#VALUE!</v>
      </c>
      <c r="H1" s="26" t="s">
        <v>482</v>
      </c>
      <c r="I1" s="7"/>
    </row>
    <row r="2">
      <c r="A2" s="147" t="str">
        <f t="shared" ref="A2:A23" si="4">$A$1+D1</f>
        <v>#VALUE!</v>
      </c>
      <c r="B2" s="57" t="str">
        <f>IFERROR(__xludf.DUMMYFUNCTION("INDEX(SPLIT('_Apricot'!$C34,"" 
""),4)"),"#REF!")</f>
        <v>#REF!</v>
      </c>
      <c r="C2" s="57" t="str">
        <f>IFERROR(__xludf.DUMMYFUNCTION("INDEX(SPLIT('_Apricot'!$C38,"" 
""),4)"),"#REF!")</f>
        <v>#REF!</v>
      </c>
      <c r="D2" s="174" t="str">
        <f t="shared" si="1"/>
        <v>#VALUE!</v>
      </c>
      <c r="E2" s="174" t="str">
        <f t="shared" si="2"/>
        <v>#VALUE!</v>
      </c>
      <c r="F2" s="174" t="str">
        <f t="shared" si="3"/>
        <v>#VALUE!</v>
      </c>
      <c r="G2" s="26" t="s">
        <v>483</v>
      </c>
      <c r="H2" s="174" t="str">
        <f>$A$1*$B1</f>
        <v>#VALUE!</v>
      </c>
      <c r="I2" s="7" t="str">
        <f t="shared" ref="I2:I3" si="6">$H2/$A$1</f>
        <v>#VALUE!</v>
      </c>
    </row>
    <row r="3">
      <c r="A3" s="147" t="str">
        <f t="shared" si="4"/>
        <v>#VALUE!</v>
      </c>
      <c r="B3" s="57" t="str">
        <f t="shared" ref="B3:C3" si="5">B1+B2</f>
        <v>#REF!</v>
      </c>
      <c r="C3" s="57" t="str">
        <f t="shared" si="5"/>
        <v>#VALUE!</v>
      </c>
      <c r="D3" s="174" t="str">
        <f t="shared" si="1"/>
        <v>#VALUE!</v>
      </c>
      <c r="E3" s="174" t="str">
        <f t="shared" si="2"/>
        <v>#VALUE!</v>
      </c>
      <c r="F3" s="174" t="str">
        <f t="shared" si="3"/>
        <v>#VALUE!</v>
      </c>
      <c r="G3" s="26" t="s">
        <v>484</v>
      </c>
      <c r="H3" s="174" t="str">
        <f>$A$1*$B3</f>
        <v>#VALUE!</v>
      </c>
      <c r="I3" s="7" t="str">
        <f t="shared" si="6"/>
        <v>#VALUE!</v>
      </c>
    </row>
    <row r="4">
      <c r="A4" s="147" t="str">
        <f t="shared" si="4"/>
        <v>#VALUE!</v>
      </c>
      <c r="D4" s="174" t="str">
        <f t="shared" si="1"/>
        <v>#VALUE!</v>
      </c>
      <c r="E4" s="174" t="str">
        <f t="shared" si="2"/>
        <v>#VALUE!</v>
      </c>
      <c r="F4" s="174" t="str">
        <f t="shared" si="3"/>
        <v>#VALUE!</v>
      </c>
      <c r="I4" s="7"/>
    </row>
    <row r="5">
      <c r="A5" s="147" t="str">
        <f t="shared" si="4"/>
        <v>#VALUE!</v>
      </c>
      <c r="B5" s="93">
        <v>0.812</v>
      </c>
      <c r="C5" s="93">
        <v>1.0</v>
      </c>
      <c r="D5" s="174" t="str">
        <f t="shared" si="1"/>
        <v>#VALUE!</v>
      </c>
      <c r="E5" s="174" t="str">
        <f t="shared" si="2"/>
        <v>#VALUE!</v>
      </c>
      <c r="F5" s="174" t="str">
        <f t="shared" si="3"/>
        <v>#VALUE!</v>
      </c>
      <c r="H5" s="26" t="s">
        <v>485</v>
      </c>
      <c r="I5" s="7"/>
    </row>
    <row r="6">
      <c r="A6" s="147" t="str">
        <f t="shared" si="4"/>
        <v>#VALUE!</v>
      </c>
      <c r="D6" s="174" t="str">
        <f t="shared" si="1"/>
        <v>#VALUE!</v>
      </c>
      <c r="E6" s="174" t="str">
        <f t="shared" si="2"/>
        <v>#VALUE!</v>
      </c>
      <c r="F6" s="174" t="str">
        <f t="shared" si="3"/>
        <v>#VALUE!</v>
      </c>
      <c r="G6" s="26" t="s">
        <v>483</v>
      </c>
      <c r="H6" s="147" t="str">
        <f>MAXIFS($A:$A,$F:$F,"&lt;"&amp;$B$5)*$B1+MAXIFS($D:$D,$F:$F,"&lt;"&amp;$B$5)*$C1</f>
        <v>#VALUE!</v>
      </c>
      <c r="I6" s="7" t="str">
        <f t="shared" ref="I6:I7" si="7">$H6/$A$1</f>
        <v>#VALUE!</v>
      </c>
    </row>
    <row r="7">
      <c r="A7" s="147" t="str">
        <f t="shared" si="4"/>
        <v>#VALUE!</v>
      </c>
      <c r="D7" s="174" t="str">
        <f t="shared" si="1"/>
        <v>#VALUE!</v>
      </c>
      <c r="E7" s="174" t="str">
        <f t="shared" si="2"/>
        <v>#VALUE!</v>
      </c>
      <c r="F7" s="174" t="str">
        <f t="shared" si="3"/>
        <v>#VALUE!</v>
      </c>
      <c r="G7" s="26" t="s">
        <v>484</v>
      </c>
      <c r="H7" s="147" t="str">
        <f>MAXIFS($A:$A,$F:$F,"&lt;"&amp;$B$5)*$B3+MAXIFS($D:$D,$F:$F,"&lt;"&amp;$B$5)*$C3</f>
        <v>#REF!</v>
      </c>
      <c r="I7" s="7" t="str">
        <f t="shared" si="7"/>
        <v>#REF!</v>
      </c>
    </row>
    <row r="8">
      <c r="A8" s="147" t="str">
        <f t="shared" si="4"/>
        <v>#VALUE!</v>
      </c>
      <c r="D8" s="174" t="str">
        <f t="shared" si="1"/>
        <v>#VALUE!</v>
      </c>
      <c r="E8" s="174" t="str">
        <f t="shared" si="2"/>
        <v>#VALUE!</v>
      </c>
      <c r="F8" s="174" t="str">
        <f t="shared" si="3"/>
        <v>#VALUE!</v>
      </c>
      <c r="I8" s="7"/>
    </row>
    <row r="9">
      <c r="A9" s="147" t="str">
        <f t="shared" si="4"/>
        <v>#VALUE!</v>
      </c>
      <c r="D9" s="174" t="str">
        <f t="shared" si="1"/>
        <v>#VALUE!</v>
      </c>
      <c r="E9" s="174" t="str">
        <f t="shared" si="2"/>
        <v>#VALUE!</v>
      </c>
      <c r="F9" s="174" t="str">
        <f t="shared" si="3"/>
        <v>#VALUE!</v>
      </c>
      <c r="I9" s="7"/>
    </row>
    <row r="10">
      <c r="A10" s="147" t="str">
        <f t="shared" si="4"/>
        <v>#VALUE!</v>
      </c>
      <c r="D10" s="174" t="str">
        <f t="shared" si="1"/>
        <v>#VALUE!</v>
      </c>
      <c r="E10" s="174" t="str">
        <f t="shared" si="2"/>
        <v>#VALUE!</v>
      </c>
      <c r="F10" s="174" t="str">
        <f t="shared" si="3"/>
        <v>#VALUE!</v>
      </c>
      <c r="I10" s="7"/>
    </row>
    <row r="11">
      <c r="A11" s="147" t="str">
        <f t="shared" si="4"/>
        <v>#VALUE!</v>
      </c>
      <c r="D11" s="174" t="str">
        <f t="shared" si="1"/>
        <v>#VALUE!</v>
      </c>
      <c r="E11" s="174" t="str">
        <f t="shared" si="2"/>
        <v>#VALUE!</v>
      </c>
      <c r="F11" s="174" t="str">
        <f t="shared" si="3"/>
        <v>#VALUE!</v>
      </c>
      <c r="I11" s="7"/>
    </row>
    <row r="12">
      <c r="A12" s="147" t="str">
        <f t="shared" si="4"/>
        <v>#VALUE!</v>
      </c>
      <c r="D12" s="174" t="str">
        <f t="shared" si="1"/>
        <v>#VALUE!</v>
      </c>
      <c r="E12" s="174" t="str">
        <f t="shared" si="2"/>
        <v>#VALUE!</v>
      </c>
      <c r="F12" s="174" t="str">
        <f t="shared" si="3"/>
        <v>#VALUE!</v>
      </c>
      <c r="I12" s="7"/>
    </row>
    <row r="13">
      <c r="A13" s="147" t="str">
        <f t="shared" si="4"/>
        <v>#VALUE!</v>
      </c>
      <c r="D13" s="174" t="str">
        <f t="shared" si="1"/>
        <v>#VALUE!</v>
      </c>
      <c r="E13" s="174" t="str">
        <f t="shared" si="2"/>
        <v>#VALUE!</v>
      </c>
      <c r="F13" s="174" t="str">
        <f t="shared" si="3"/>
        <v>#VALUE!</v>
      </c>
      <c r="I13" s="7"/>
    </row>
    <row r="14">
      <c r="A14" s="147" t="str">
        <f t="shared" si="4"/>
        <v>#VALUE!</v>
      </c>
      <c r="D14" s="174" t="str">
        <f t="shared" si="1"/>
        <v>#VALUE!</v>
      </c>
      <c r="E14" s="174" t="str">
        <f t="shared" si="2"/>
        <v>#VALUE!</v>
      </c>
      <c r="F14" s="174" t="str">
        <f t="shared" si="3"/>
        <v>#VALUE!</v>
      </c>
      <c r="I14" s="7"/>
    </row>
    <row r="15">
      <c r="A15" s="147" t="str">
        <f t="shared" si="4"/>
        <v>#VALUE!</v>
      </c>
      <c r="D15" s="174" t="str">
        <f t="shared" si="1"/>
        <v>#VALUE!</v>
      </c>
      <c r="E15" s="174" t="str">
        <f t="shared" si="2"/>
        <v>#VALUE!</v>
      </c>
      <c r="F15" s="174" t="str">
        <f t="shared" si="3"/>
        <v>#VALUE!</v>
      </c>
      <c r="I15" s="7"/>
    </row>
    <row r="16">
      <c r="A16" s="147" t="str">
        <f t="shared" si="4"/>
        <v>#VALUE!</v>
      </c>
      <c r="D16" s="174" t="str">
        <f t="shared" si="1"/>
        <v>#VALUE!</v>
      </c>
      <c r="E16" s="174" t="str">
        <f t="shared" si="2"/>
        <v>#VALUE!</v>
      </c>
      <c r="F16" s="174" t="str">
        <f t="shared" si="3"/>
        <v>#VALUE!</v>
      </c>
      <c r="I16" s="7"/>
    </row>
    <row r="17">
      <c r="A17" s="147" t="str">
        <f t="shared" si="4"/>
        <v>#VALUE!</v>
      </c>
      <c r="D17" s="174" t="str">
        <f t="shared" si="1"/>
        <v>#VALUE!</v>
      </c>
      <c r="E17" s="174" t="str">
        <f t="shared" si="2"/>
        <v>#VALUE!</v>
      </c>
      <c r="F17" s="174" t="str">
        <f t="shared" si="3"/>
        <v>#VALUE!</v>
      </c>
      <c r="I17" s="7"/>
    </row>
    <row r="18">
      <c r="A18" s="147" t="str">
        <f t="shared" si="4"/>
        <v>#VALUE!</v>
      </c>
      <c r="D18" s="174" t="str">
        <f t="shared" si="1"/>
        <v>#VALUE!</v>
      </c>
      <c r="E18" s="174" t="str">
        <f t="shared" si="2"/>
        <v>#VALUE!</v>
      </c>
      <c r="F18" s="174" t="str">
        <f t="shared" si="3"/>
        <v>#VALUE!</v>
      </c>
      <c r="I18" s="7"/>
    </row>
    <row r="19">
      <c r="A19" s="147" t="str">
        <f t="shared" si="4"/>
        <v>#VALUE!</v>
      </c>
      <c r="D19" s="174" t="str">
        <f t="shared" si="1"/>
        <v>#VALUE!</v>
      </c>
      <c r="E19" s="174" t="str">
        <f t="shared" si="2"/>
        <v>#VALUE!</v>
      </c>
      <c r="F19" s="174" t="str">
        <f t="shared" si="3"/>
        <v>#VALUE!</v>
      </c>
      <c r="I19" s="7"/>
    </row>
    <row r="20">
      <c r="A20" s="147" t="str">
        <f t="shared" si="4"/>
        <v>#VALUE!</v>
      </c>
      <c r="D20" s="174" t="str">
        <f t="shared" si="1"/>
        <v>#VALUE!</v>
      </c>
      <c r="E20" s="174" t="str">
        <f t="shared" si="2"/>
        <v>#VALUE!</v>
      </c>
      <c r="F20" s="174" t="str">
        <f t="shared" si="3"/>
        <v>#VALUE!</v>
      </c>
      <c r="I20" s="7"/>
    </row>
    <row r="21">
      <c r="A21" s="147" t="str">
        <f t="shared" si="4"/>
        <v>#VALUE!</v>
      </c>
      <c r="D21" s="174" t="str">
        <f t="shared" si="1"/>
        <v>#VALUE!</v>
      </c>
      <c r="E21" s="174" t="str">
        <f t="shared" si="2"/>
        <v>#VALUE!</v>
      </c>
      <c r="F21" s="174" t="str">
        <f t="shared" si="3"/>
        <v>#VALUE!</v>
      </c>
      <c r="I21" s="7"/>
    </row>
    <row r="22">
      <c r="A22" s="147" t="str">
        <f t="shared" si="4"/>
        <v>#VALUE!</v>
      </c>
      <c r="D22" s="174" t="str">
        <f t="shared" si="1"/>
        <v>#VALUE!</v>
      </c>
      <c r="F22" s="174" t="str">
        <f t="shared" si="3"/>
        <v>#VALUE!</v>
      </c>
      <c r="I22" s="7"/>
    </row>
    <row r="23">
      <c r="A23" s="147" t="str">
        <f t="shared" si="4"/>
        <v>#VALUE!</v>
      </c>
      <c r="I23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26"/>
      <c r="B1" s="23" t="s">
        <v>1</v>
      </c>
      <c r="C1" s="23" t="s">
        <v>486</v>
      </c>
      <c r="D1" s="23" t="s">
        <v>487</v>
      </c>
      <c r="E1" s="23" t="s">
        <v>488</v>
      </c>
      <c r="F1" s="23" t="s">
        <v>489</v>
      </c>
      <c r="G1" s="175" t="s">
        <v>490</v>
      </c>
      <c r="H1" s="176" t="s">
        <v>491</v>
      </c>
      <c r="I1" s="176" t="s">
        <v>492</v>
      </c>
      <c r="J1" s="176" t="s">
        <v>493</v>
      </c>
      <c r="K1" s="176" t="s">
        <v>494</v>
      </c>
    </row>
    <row r="2">
      <c r="A2" s="26" t="s">
        <v>495</v>
      </c>
      <c r="B2" s="177">
        <f>HLOOKUP("*("&amp;B$1&amp;")*",Price!$A:$CC,2,0)</f>
        <v>133.504377</v>
      </c>
      <c r="C2" s="177">
        <f>$B$2*94.85/91.15</f>
        <v>138.9236441</v>
      </c>
      <c r="D2" s="177">
        <f>$B$2*95.69/91.15</f>
        <v>140.1539642</v>
      </c>
      <c r="E2" s="177">
        <f>$B$2*94.58/91.15</f>
        <v>138.528184</v>
      </c>
      <c r="F2" s="26" t="str">
        <f>HLOOKUP("*("&amp;F$1&amp;")*",Price!$A:$CC,2,0)</f>
        <v>#N/A</v>
      </c>
      <c r="G2" s="178">
        <f t="shared" ref="G2:I2" si="1">$B$2</f>
        <v>133.504377</v>
      </c>
      <c r="H2" s="177">
        <f t="shared" si="1"/>
        <v>133.504377</v>
      </c>
      <c r="I2" s="177">
        <f t="shared" si="1"/>
        <v>133.504377</v>
      </c>
      <c r="J2" s="26" t="str">
        <f>$F$2</f>
        <v>#N/A</v>
      </c>
      <c r="K2" s="177">
        <f>$B$2</f>
        <v>133.504377</v>
      </c>
    </row>
    <row r="3">
      <c r="A3" s="26" t="s">
        <v>496</v>
      </c>
      <c r="B3" s="26">
        <v>117.36</v>
      </c>
      <c r="C3" s="26">
        <v>121.31</v>
      </c>
      <c r="D3" s="26">
        <v>120.31</v>
      </c>
      <c r="E3" s="26">
        <v>120.31</v>
      </c>
      <c r="F3" s="26">
        <v>1.0E-4</v>
      </c>
      <c r="G3" s="179">
        <v>84.6</v>
      </c>
      <c r="H3" s="26">
        <v>27.0</v>
      </c>
      <c r="I3" s="26">
        <v>81.54</v>
      </c>
      <c r="J3" s="26">
        <v>73.15</v>
      </c>
      <c r="K3" s="26">
        <v>80.0</v>
      </c>
    </row>
    <row r="4">
      <c r="A4" s="180" t="s">
        <v>497</v>
      </c>
      <c r="B4" s="181">
        <f t="shared" ref="B4:K4" si="2">IF(B2&lt;B3,(B3-B2)/B2,(B2-B3)/B3)</f>
        <v>0.1375628577</v>
      </c>
      <c r="C4" s="181">
        <f t="shared" si="2"/>
        <v>0.1451953183</v>
      </c>
      <c r="D4" s="181">
        <f t="shared" si="2"/>
        <v>0.1649402723</v>
      </c>
      <c r="E4" s="181">
        <f t="shared" si="2"/>
        <v>0.1514270138</v>
      </c>
      <c r="F4" s="181" t="str">
        <f t="shared" si="2"/>
        <v>#N/A</v>
      </c>
      <c r="G4" s="182">
        <f t="shared" si="2"/>
        <v>0.5780659217</v>
      </c>
      <c r="H4" s="181">
        <f t="shared" si="2"/>
        <v>3.944606555</v>
      </c>
      <c r="I4" s="181">
        <f t="shared" si="2"/>
        <v>0.6372869387</v>
      </c>
      <c r="J4" s="181" t="str">
        <f t="shared" si="2"/>
        <v>#N/A</v>
      </c>
      <c r="K4" s="181">
        <f t="shared" si="2"/>
        <v>0.6688047122</v>
      </c>
    </row>
    <row r="5">
      <c r="A5" s="26" t="s">
        <v>498</v>
      </c>
      <c r="B5" s="57">
        <v>0.2731</v>
      </c>
      <c r="C5" s="57">
        <v>0.2156</v>
      </c>
      <c r="D5" s="57">
        <v>0.1678</v>
      </c>
      <c r="E5" s="57">
        <v>0.2108</v>
      </c>
      <c r="F5" s="57">
        <v>0.1692</v>
      </c>
      <c r="G5" s="59">
        <v>0.246</v>
      </c>
      <c r="H5" s="57">
        <v>0.1964</v>
      </c>
      <c r="I5" s="57">
        <v>-0.0077</v>
      </c>
      <c r="J5" s="57">
        <v>0.1892</v>
      </c>
      <c r="K5" s="57">
        <v>0.0</v>
      </c>
    </row>
    <row r="6">
      <c r="A6" s="26" t="s">
        <v>198</v>
      </c>
      <c r="B6" s="57">
        <v>0.0</v>
      </c>
      <c r="C6" s="57">
        <v>0.0606</v>
      </c>
      <c r="D6" s="57">
        <v>0.0484</v>
      </c>
      <c r="E6" s="57">
        <v>0.065</v>
      </c>
      <c r="F6" s="57">
        <v>0.0</v>
      </c>
      <c r="G6" s="59">
        <v>0.0</v>
      </c>
      <c r="H6" s="57">
        <v>0.0509</v>
      </c>
      <c r="I6" s="57">
        <v>0.0</v>
      </c>
      <c r="J6" s="57">
        <v>0.0</v>
      </c>
      <c r="K6" s="93">
        <v>0.0</v>
      </c>
    </row>
    <row r="7">
      <c r="A7" s="180" t="s">
        <v>499</v>
      </c>
      <c r="B7" s="181">
        <f t="shared" ref="B7:K7" si="3">(B5+B6)*B4</f>
        <v>0.03756841644</v>
      </c>
      <c r="C7" s="181">
        <f t="shared" si="3"/>
        <v>0.04010294692</v>
      </c>
      <c r="D7" s="181">
        <f t="shared" si="3"/>
        <v>0.03566008687</v>
      </c>
      <c r="E7" s="181">
        <f t="shared" si="3"/>
        <v>0.04176357041</v>
      </c>
      <c r="F7" s="181" t="str">
        <f t="shared" si="3"/>
        <v>#N/A</v>
      </c>
      <c r="G7" s="182">
        <f t="shared" si="3"/>
        <v>0.1422042167</v>
      </c>
      <c r="H7" s="181">
        <f t="shared" si="3"/>
        <v>0.975501201</v>
      </c>
      <c r="I7" s="181">
        <f t="shared" si="3"/>
        <v>-0.004907109428</v>
      </c>
      <c r="J7" s="181" t="str">
        <f t="shared" si="3"/>
        <v>#N/A</v>
      </c>
      <c r="K7" s="181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500</v>
      </c>
    </row>
    <row r="2">
      <c r="A2" s="163" t="s">
        <v>501</v>
      </c>
    </row>
    <row r="3">
      <c r="A3" s="163" t="s">
        <v>63</v>
      </c>
    </row>
    <row r="4">
      <c r="A4" s="163" t="s">
        <v>17</v>
      </c>
    </row>
    <row r="5">
      <c r="A5" s="183">
        <v>44674.0</v>
      </c>
    </row>
    <row r="6">
      <c r="A6" s="184">
        <v>0.7085532407407408</v>
      </c>
    </row>
    <row r="7">
      <c r="A7" s="163" t="s">
        <v>502</v>
      </c>
    </row>
    <row r="8">
      <c r="A8" s="163" t="s">
        <v>492</v>
      </c>
    </row>
    <row r="9">
      <c r="A9" s="13">
        <v>24772.4</v>
      </c>
    </row>
    <row r="10">
      <c r="A10" s="164">
        <v>24772.39</v>
      </c>
    </row>
    <row r="11">
      <c r="A11" s="183">
        <v>44674.0</v>
      </c>
    </row>
    <row r="12">
      <c r="A12" s="184">
        <v>0.6731828703703704</v>
      </c>
    </row>
    <row r="13">
      <c r="A13" s="163" t="s">
        <v>230</v>
      </c>
    </row>
    <row r="14">
      <c r="A14" s="163" t="s">
        <v>503</v>
      </c>
    </row>
    <row r="15">
      <c r="A15" s="163">
        <v>68.213</v>
      </c>
    </row>
    <row r="16">
      <c r="A16" s="164">
        <v>68.34</v>
      </c>
    </row>
    <row r="17">
      <c r="A17" s="183">
        <v>44674.0</v>
      </c>
    </row>
    <row r="18">
      <c r="A18" s="184">
        <v>0.5745717592592593</v>
      </c>
    </row>
    <row r="19">
      <c r="A19" s="163" t="s">
        <v>230</v>
      </c>
    </row>
    <row r="20">
      <c r="A20" s="163" t="s">
        <v>503</v>
      </c>
    </row>
    <row r="21">
      <c r="A21" s="13">
        <v>1571.902</v>
      </c>
    </row>
    <row r="22">
      <c r="A22" s="164">
        <v>1574.74</v>
      </c>
    </row>
    <row r="23">
      <c r="A23" s="183">
        <v>44674.0</v>
      </c>
    </row>
    <row r="24">
      <c r="A24" s="184">
        <v>0.12619212962962964</v>
      </c>
    </row>
    <row r="25">
      <c r="A25" s="163" t="s">
        <v>502</v>
      </c>
    </row>
    <row r="26">
      <c r="A26" s="163" t="s">
        <v>492</v>
      </c>
    </row>
    <row r="27">
      <c r="A27" s="13">
        <v>1077.23</v>
      </c>
    </row>
    <row r="28">
      <c r="A28" s="164">
        <v>1077.23</v>
      </c>
    </row>
    <row r="29">
      <c r="A29" s="183">
        <v>44673.0</v>
      </c>
    </row>
    <row r="30">
      <c r="A30" s="184">
        <v>0.9246875</v>
      </c>
    </row>
    <row r="31">
      <c r="A31" s="163" t="s">
        <v>502</v>
      </c>
    </row>
    <row r="32">
      <c r="A32" s="163" t="s">
        <v>492</v>
      </c>
    </row>
    <row r="33">
      <c r="A33" s="13">
        <v>1055.25</v>
      </c>
    </row>
    <row r="34">
      <c r="A34" s="164">
        <v>1055.25</v>
      </c>
    </row>
    <row r="35">
      <c r="A35" s="183">
        <v>44673.0</v>
      </c>
    </row>
    <row r="36">
      <c r="A36" s="184">
        <v>0.7713425925925926</v>
      </c>
    </row>
    <row r="37">
      <c r="A37" s="163" t="s">
        <v>230</v>
      </c>
    </row>
    <row r="38">
      <c r="A38" s="163" t="s">
        <v>504</v>
      </c>
    </row>
    <row r="39">
      <c r="A39" s="163">
        <v>183.2</v>
      </c>
    </row>
    <row r="40">
      <c r="A40" s="164">
        <v>5.04</v>
      </c>
    </row>
    <row r="41">
      <c r="A41" s="183">
        <v>44673.0</v>
      </c>
    </row>
    <row r="42">
      <c r="A42" s="184">
        <v>0.770625</v>
      </c>
    </row>
    <row r="43">
      <c r="A43" s="163" t="s">
        <v>502</v>
      </c>
    </row>
    <row r="44">
      <c r="A44" s="163" t="s">
        <v>492</v>
      </c>
    </row>
    <row r="45">
      <c r="A45" s="163">
        <v>5.0</v>
      </c>
    </row>
    <row r="46">
      <c r="A46" s="172">
        <v>5.0</v>
      </c>
    </row>
    <row r="47">
      <c r="A47" s="183">
        <v>44673.0</v>
      </c>
    </row>
    <row r="48">
      <c r="A48" s="184">
        <v>0.7685300925925926</v>
      </c>
    </row>
    <row r="49">
      <c r="A49" s="163" t="s">
        <v>230</v>
      </c>
    </row>
    <row r="50">
      <c r="A50" s="163" t="s">
        <v>503</v>
      </c>
    </row>
    <row r="51">
      <c r="A51" s="13">
        <v>1966.019</v>
      </c>
    </row>
    <row r="52">
      <c r="A52" s="164">
        <v>1969.56</v>
      </c>
    </row>
    <row r="53">
      <c r="A53" s="183">
        <v>44673.0</v>
      </c>
    </row>
    <row r="54">
      <c r="A54" s="184">
        <v>0.7066898148148149</v>
      </c>
    </row>
    <row r="55">
      <c r="A55" s="163" t="s">
        <v>230</v>
      </c>
    </row>
    <row r="56">
      <c r="A56" s="163" t="s">
        <v>504</v>
      </c>
    </row>
    <row r="57">
      <c r="A57" s="185">
        <v>1279.0</v>
      </c>
    </row>
    <row r="58">
      <c r="A58" s="164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505</v>
      </c>
      <c r="B1" s="3" t="s">
        <v>39</v>
      </c>
      <c r="C1" s="3" t="s">
        <v>506</v>
      </c>
      <c r="D1" s="98"/>
      <c r="E1" s="3"/>
      <c r="F1" s="3"/>
      <c r="G1" s="3"/>
      <c r="H1" s="2"/>
      <c r="I1" s="3"/>
      <c r="J1" s="3"/>
    </row>
    <row r="2">
      <c r="A2" s="26" t="str">
        <f t="shared" ref="A2:A1122" si="1">IF(D2&lt;&gt;"",IF(AND(C2="",F2="SOL"),"RECV",IF(B2&lt;&gt;"",F2&amp;"-"&amp;H2,"TRANS")),)</f>
        <v>TRANS</v>
      </c>
      <c r="B2" s="26" t="str">
        <f t="shared" ref="B2:B1122" si="2">IF(AND(OR(C2="",I2&lt;&gt;""),G2&lt;&gt;""),E2/G2,)</f>
        <v/>
      </c>
      <c r="C2" s="186" t="str">
        <f t="shared" ref="C2:C1122" si="3">IF(I2&lt;&gt;"",I2,IF(AND(G2&lt;&gt;"",H2="SOL"),IF(AND(ABS(G2)&gt;0,ABS(G2)&lt;0.05),G2,-0.000005),IF(AND(ABS(E2)&gt;0,ABS(E2)&lt;0.05,F2="SOL"),E2,)))</f>
        <v/>
      </c>
      <c r="D2" s="179" t="s">
        <v>507</v>
      </c>
      <c r="E2" s="174">
        <f>IFERROR(__xludf.DUMMYFUNCTION("IF(D2&lt;&gt;"""",SPLIT(D2,"" 
""),)"),1.88607002)</f>
        <v>1.88607002</v>
      </c>
      <c r="F2" s="174" t="str">
        <f>IFERROR(__xludf.DUMMYFUNCTION("""COMPUTED_VALUE"""),"LDO")</f>
        <v>LDO</v>
      </c>
    </row>
    <row r="3">
      <c r="A3" s="26" t="str">
        <f t="shared" si="1"/>
        <v>TRANS</v>
      </c>
      <c r="B3" s="26" t="str">
        <f t="shared" si="2"/>
        <v/>
      </c>
      <c r="C3" s="186">
        <f t="shared" si="3"/>
        <v>-0.000005</v>
      </c>
      <c r="D3" s="179" t="s">
        <v>508</v>
      </c>
      <c r="E3" s="174">
        <f>IFERROR(__xludf.DUMMYFUNCTION("IF(D3&lt;&gt;"""",SPLIT(D3,"" 
""),)"),-0.638321)</f>
        <v>-0.638321</v>
      </c>
      <c r="F3" s="174" t="str">
        <f>IFERROR(__xludf.DUMMYFUNCTION("""COMPUTED_VALUE"""),"UST")</f>
        <v>UST</v>
      </c>
      <c r="G3" s="174">
        <f>IFERROR(__xludf.DUMMYFUNCTION("""COMPUTED_VALUE"""),-5.0E-6)</f>
        <v>-0.000005</v>
      </c>
      <c r="H3" s="174" t="str">
        <f>IFERROR(__xludf.DUMMYFUNCTION("""COMPUTED_VALUE"""),"SOL")</f>
        <v>SOL</v>
      </c>
    </row>
    <row r="4">
      <c r="A4" s="26" t="str">
        <f t="shared" si="1"/>
        <v>UST-USDC</v>
      </c>
      <c r="B4" s="26">
        <f t="shared" si="2"/>
        <v>-0.9959790715</v>
      </c>
      <c r="C4" s="186">
        <f t="shared" si="3"/>
        <v>-0.000005</v>
      </c>
      <c r="D4" s="179" t="s">
        <v>509</v>
      </c>
      <c r="E4" s="174">
        <f>IFERROR(__xludf.DUMMYFUNCTION("IF(D4&lt;&gt;"""",SPLIT(D4,"" 
""),)"),0.182554)</f>
        <v>0.182554</v>
      </c>
      <c r="F4" s="174" t="str">
        <f>IFERROR(__xludf.DUMMYFUNCTION("""COMPUTED_VALUE"""),"UST")</f>
        <v>UST</v>
      </c>
      <c r="G4" s="174">
        <f>IFERROR(__xludf.DUMMYFUNCTION("""COMPUTED_VALUE"""),-0.183291)</f>
        <v>-0.183291</v>
      </c>
      <c r="H4" s="174" t="str">
        <f>IFERROR(__xludf.DUMMYFUNCTION("""COMPUTED_VALUE"""),"USDC")</f>
        <v>USDC</v>
      </c>
      <c r="I4" s="174">
        <f>IFERROR(__xludf.DUMMYFUNCTION("""COMPUTED_VALUE"""),-5.0E-6)</f>
        <v>-0.000005</v>
      </c>
      <c r="J4" s="174" t="str">
        <f>IFERROR(__xludf.DUMMYFUNCTION("""COMPUTED_VALUE"""),"SOL")</f>
        <v>SOL</v>
      </c>
    </row>
    <row r="5">
      <c r="A5" s="26" t="str">
        <f t="shared" si="1"/>
        <v>UST-LARIX</v>
      </c>
      <c r="B5" s="26">
        <f t="shared" si="2"/>
        <v>-0.003740374343</v>
      </c>
      <c r="C5" s="186">
        <f t="shared" si="3"/>
        <v>-0.000005</v>
      </c>
      <c r="D5" s="179" t="s">
        <v>510</v>
      </c>
      <c r="E5" s="174">
        <f>IFERROR(__xludf.DUMMYFUNCTION("IF(D5&lt;&gt;"""",SPLIT(D5,"" 
""),)"),0.455767)</f>
        <v>0.455767</v>
      </c>
      <c r="F5" s="174" t="str">
        <f>IFERROR(__xludf.DUMMYFUNCTION("""COMPUTED_VALUE"""),"UST")</f>
        <v>UST</v>
      </c>
      <c r="G5" s="174">
        <f>IFERROR(__xludf.DUMMYFUNCTION("""COMPUTED_VALUE"""),-121.850638)</f>
        <v>-121.850638</v>
      </c>
      <c r="H5" s="174" t="str">
        <f>IFERROR(__xludf.DUMMYFUNCTION("""COMPUTED_VALUE"""),"LARIX")</f>
        <v>LARIX</v>
      </c>
      <c r="I5" s="174">
        <f>IFERROR(__xludf.DUMMYFUNCTION("""COMPUTED_VALUE"""),-5.0E-6)</f>
        <v>-0.000005</v>
      </c>
      <c r="J5" s="174" t="str">
        <f>IFERROR(__xludf.DUMMYFUNCTION("""COMPUTED_VALUE"""),"SOL")</f>
        <v>SOL</v>
      </c>
    </row>
    <row r="6">
      <c r="A6" s="26" t="str">
        <f t="shared" si="1"/>
        <v>TRANS</v>
      </c>
      <c r="B6" s="26" t="str">
        <f t="shared" si="2"/>
        <v/>
      </c>
      <c r="C6" s="186">
        <f t="shared" si="3"/>
        <v>-0.000005</v>
      </c>
      <c r="D6" s="179" t="s">
        <v>511</v>
      </c>
      <c r="E6" s="174">
        <f>IFERROR(__xludf.DUMMYFUNCTION("IF(D6&lt;&gt;"""",SPLIT(D6,"" 
""),)"),121.850638)</f>
        <v>121.850638</v>
      </c>
      <c r="F6" s="174" t="str">
        <f>IFERROR(__xludf.DUMMYFUNCTION("""COMPUTED_VALUE"""),"LARIX")</f>
        <v>LARIX</v>
      </c>
      <c r="G6" s="174">
        <f>IFERROR(__xludf.DUMMYFUNCTION("""COMPUTED_VALUE"""),-5.0E-6)</f>
        <v>-0.000005</v>
      </c>
      <c r="H6" s="174" t="str">
        <f>IFERROR(__xludf.DUMMYFUNCTION("""COMPUTED_VALUE"""),"SOL")</f>
        <v>SOL</v>
      </c>
    </row>
    <row r="7">
      <c r="A7" s="26" t="str">
        <f t="shared" si="1"/>
        <v>TRANS</v>
      </c>
      <c r="B7" s="26" t="str">
        <f t="shared" si="2"/>
        <v/>
      </c>
      <c r="C7" s="186">
        <f t="shared" si="3"/>
        <v>-0.000005</v>
      </c>
      <c r="D7" s="179" t="s">
        <v>512</v>
      </c>
      <c r="E7" s="174">
        <f>IFERROR(__xludf.DUMMYFUNCTION("IF(D7&lt;&gt;"""",SPLIT(D7,"" 
""),)"),0.183291)</f>
        <v>0.183291</v>
      </c>
      <c r="F7" s="174" t="str">
        <f>IFERROR(__xludf.DUMMYFUNCTION("""COMPUTED_VALUE"""),"USDC")</f>
        <v>USDC</v>
      </c>
      <c r="G7" s="174">
        <f>IFERROR(__xludf.DUMMYFUNCTION("""COMPUTED_VALUE"""),-5.0E-6)</f>
        <v>-0.000005</v>
      </c>
      <c r="H7" s="174" t="str">
        <f>IFERROR(__xludf.DUMMYFUNCTION("""COMPUTED_VALUE"""),"SOL")</f>
        <v>SOL</v>
      </c>
    </row>
    <row r="8">
      <c r="A8" s="26" t="str">
        <f t="shared" si="1"/>
        <v>TRANS</v>
      </c>
      <c r="B8" s="26" t="str">
        <f t="shared" si="2"/>
        <v/>
      </c>
      <c r="C8" s="186" t="str">
        <f t="shared" si="3"/>
        <v/>
      </c>
      <c r="D8" s="179" t="s">
        <v>513</v>
      </c>
      <c r="E8" s="174">
        <f>IFERROR(__xludf.DUMMYFUNCTION("IF(D8&lt;&gt;"""",SPLIT(D8,"" 
""),)"),1.62902423)</f>
        <v>1.62902423</v>
      </c>
      <c r="F8" s="174" t="str">
        <f>IFERROR(__xludf.DUMMYFUNCTION("""COMPUTED_VALUE"""),"LDO")</f>
        <v>LDO</v>
      </c>
    </row>
    <row r="9">
      <c r="A9" s="26" t="str">
        <f t="shared" si="1"/>
        <v>TRANS</v>
      </c>
      <c r="B9" s="26" t="str">
        <f t="shared" si="2"/>
        <v/>
      </c>
      <c r="C9" s="186">
        <f t="shared" si="3"/>
        <v>-0.000005</v>
      </c>
      <c r="D9" s="179" t="s">
        <v>514</v>
      </c>
      <c r="E9" s="174">
        <f>IFERROR(__xludf.DUMMYFUNCTION("IF(D9&lt;&gt;"""",SPLIT(D9,"" 
""),)"),-26.879967116)</f>
        <v>-26.87996712</v>
      </c>
      <c r="F9" s="174" t="str">
        <f>IFERROR(__xludf.DUMMYFUNCTION("""COMPUTED_VALUE"""),"stSOL")</f>
        <v>stSOL</v>
      </c>
      <c r="G9" s="174">
        <f>IFERROR(__xludf.DUMMYFUNCTION("""COMPUTED_VALUE"""),-5.0E-6)</f>
        <v>-0.000005</v>
      </c>
      <c r="H9" s="174" t="str">
        <f>IFERROR(__xludf.DUMMYFUNCTION("""COMPUTED_VALUE"""),"SOL")</f>
        <v>SOL</v>
      </c>
    </row>
    <row r="10">
      <c r="A10" s="26" t="str">
        <f t="shared" si="1"/>
        <v>TRANS</v>
      </c>
      <c r="B10" s="26" t="str">
        <f t="shared" si="2"/>
        <v/>
      </c>
      <c r="C10" s="186">
        <f t="shared" si="3"/>
        <v>-0.000005</v>
      </c>
      <c r="D10" s="179" t="s">
        <v>515</v>
      </c>
      <c r="E10" s="174">
        <f>IFERROR(__xludf.DUMMYFUNCTION("IF(D10&lt;&gt;"""",SPLIT(D10,"" 
""),)"),26.879967116)</f>
        <v>26.87996712</v>
      </c>
      <c r="F10" s="174" t="str">
        <f>IFERROR(__xludf.DUMMYFUNCTION("""COMPUTED_VALUE"""),"stSOL")</f>
        <v>stSOL</v>
      </c>
      <c r="G10" s="174">
        <f>IFERROR(__xludf.DUMMYFUNCTION("""COMPUTED_VALUE"""),-27.680005)</f>
        <v>-27.680005</v>
      </c>
      <c r="H10" s="174" t="str">
        <f>IFERROR(__xludf.DUMMYFUNCTION("""COMPUTED_VALUE"""),"SOL")</f>
        <v>SOL</v>
      </c>
    </row>
    <row r="11">
      <c r="A11" s="26" t="str">
        <f t="shared" si="1"/>
        <v>RECV</v>
      </c>
      <c r="B11" s="26" t="str">
        <f t="shared" si="2"/>
        <v/>
      </c>
      <c r="C11" s="186" t="str">
        <f t="shared" si="3"/>
        <v/>
      </c>
      <c r="D11" s="179" t="s">
        <v>516</v>
      </c>
      <c r="E11" s="174">
        <f>IFERROR(__xludf.DUMMYFUNCTION("IF(D11&lt;&gt;"""",SPLIT(D11,"" 
""),)"),15.079995)</f>
        <v>15.079995</v>
      </c>
      <c r="F11" s="174" t="str">
        <f>IFERROR(__xludf.DUMMYFUNCTION("""COMPUTED_VALUE"""),"SOL")</f>
        <v>SOL</v>
      </c>
      <c r="G11" s="174"/>
      <c r="H11" s="174"/>
    </row>
    <row r="12">
      <c r="A12" s="26" t="str">
        <f t="shared" si="1"/>
        <v>RECV</v>
      </c>
      <c r="B12" s="26" t="str">
        <f t="shared" si="2"/>
        <v/>
      </c>
      <c r="C12" s="186" t="str">
        <f t="shared" si="3"/>
        <v/>
      </c>
      <c r="D12" s="179" t="s">
        <v>517</v>
      </c>
      <c r="E12" s="174">
        <f>IFERROR(__xludf.DUMMYFUNCTION("IF(D12&lt;&gt;"""",SPLIT(D12,"" 
""),)"),12.57803537)</f>
        <v>12.57803537</v>
      </c>
      <c r="F12" s="174" t="str">
        <f>IFERROR(__xludf.DUMMYFUNCTION("""COMPUTED_VALUE"""),"SOL")</f>
        <v>SOL</v>
      </c>
      <c r="G12" s="174"/>
      <c r="H12" s="174"/>
    </row>
    <row r="13">
      <c r="A13" s="26" t="str">
        <f t="shared" si="1"/>
        <v>TRANS</v>
      </c>
      <c r="B13" s="26" t="str">
        <f t="shared" si="2"/>
        <v/>
      </c>
      <c r="C13" s="186" t="str">
        <f t="shared" si="3"/>
        <v/>
      </c>
      <c r="D13" s="179" t="s">
        <v>518</v>
      </c>
      <c r="E13" s="174">
        <f>IFERROR(__xludf.DUMMYFUNCTION("IF(D13&lt;&gt;"""",SPLIT(D13,"" 
""),)"),1.49157721)</f>
        <v>1.49157721</v>
      </c>
      <c r="F13" s="174" t="str">
        <f>IFERROR(__xludf.DUMMYFUNCTION("""COMPUTED_VALUE"""),"LDO")</f>
        <v>LDO</v>
      </c>
    </row>
    <row r="14">
      <c r="A14" s="26" t="str">
        <f t="shared" si="1"/>
        <v>TRANS</v>
      </c>
      <c r="B14" s="26" t="str">
        <f t="shared" si="2"/>
        <v/>
      </c>
      <c r="C14" s="186">
        <f t="shared" si="3"/>
        <v>-0.000005</v>
      </c>
      <c r="D14" s="179" t="s">
        <v>519</v>
      </c>
      <c r="E14" s="174">
        <f>IFERROR(__xludf.DUMMYFUNCTION("IF(D14&lt;&gt;"""",SPLIT(D14,"" 
""),)"),-0.186166008)</f>
        <v>-0.186166008</v>
      </c>
      <c r="F14" s="174" t="str">
        <f>IFERROR(__xludf.DUMMYFUNCTION("""COMPUTED_VALUE"""),"stSOL")</f>
        <v>stSOL</v>
      </c>
      <c r="G14" s="174">
        <f>IFERROR(__xludf.DUMMYFUNCTION("""COMPUTED_VALUE"""),-5.0E-6)</f>
        <v>-0.000005</v>
      </c>
      <c r="H14" s="174" t="str">
        <f>IFERROR(__xludf.DUMMYFUNCTION("""COMPUTED_VALUE"""),"SOL")</f>
        <v>SOL</v>
      </c>
    </row>
    <row r="15">
      <c r="A15" s="26" t="str">
        <f t="shared" si="1"/>
        <v>stSOL-LDO</v>
      </c>
      <c r="B15" s="26">
        <f t="shared" si="2"/>
        <v>-0.03012638463</v>
      </c>
      <c r="C15" s="186">
        <f t="shared" si="3"/>
        <v>-0.000005</v>
      </c>
      <c r="D15" s="179" t="s">
        <v>520</v>
      </c>
      <c r="E15" s="174">
        <f>IFERROR(__xludf.DUMMYFUNCTION("IF(D15&lt;&gt;"""",SPLIT(D15,"" 
""),)"),0.186166008)</f>
        <v>0.186166008</v>
      </c>
      <c r="F15" s="174" t="str">
        <f>IFERROR(__xludf.DUMMYFUNCTION("""COMPUTED_VALUE"""),"stSOL")</f>
        <v>stSOL</v>
      </c>
      <c r="G15" s="174">
        <f>IFERROR(__xludf.DUMMYFUNCTION("""COMPUTED_VALUE"""),-6.17950047)</f>
        <v>-6.17950047</v>
      </c>
      <c r="H15" s="174" t="str">
        <f>IFERROR(__xludf.DUMMYFUNCTION("""COMPUTED_VALUE"""),"LDO")</f>
        <v>LDO</v>
      </c>
      <c r="I15" s="174">
        <f>IFERROR(__xludf.DUMMYFUNCTION("""COMPUTED_VALUE"""),-5.0E-6)</f>
        <v>-0.000005</v>
      </c>
      <c r="J15" s="174" t="str">
        <f>IFERROR(__xludf.DUMMYFUNCTION("""COMPUTED_VALUE"""),"SOL")</f>
        <v>SOL</v>
      </c>
    </row>
    <row r="16">
      <c r="A16" s="26" t="str">
        <f t="shared" si="1"/>
        <v>TRANS</v>
      </c>
      <c r="B16" s="26" t="str">
        <f t="shared" si="2"/>
        <v/>
      </c>
      <c r="C16" s="186">
        <f t="shared" si="3"/>
        <v>-0.000005</v>
      </c>
      <c r="D16" s="179" t="s">
        <v>521</v>
      </c>
      <c r="E16" s="174">
        <f>IFERROR(__xludf.DUMMYFUNCTION("IF(D16&lt;&gt;"""",SPLIT(D16,"" 
""),)"),-0.531531)</f>
        <v>-0.531531</v>
      </c>
      <c r="F16" s="174" t="str">
        <f>IFERROR(__xludf.DUMMYFUNCTION("""COMPUTED_VALUE"""),"UST")</f>
        <v>UST</v>
      </c>
      <c r="G16" s="174">
        <f>IFERROR(__xludf.DUMMYFUNCTION("""COMPUTED_VALUE"""),-5.0E-6)</f>
        <v>-0.000005</v>
      </c>
      <c r="H16" s="174" t="str">
        <f>IFERROR(__xludf.DUMMYFUNCTION("""COMPUTED_VALUE"""),"SOL")</f>
        <v>SOL</v>
      </c>
    </row>
    <row r="17">
      <c r="A17" s="26" t="str">
        <f t="shared" si="1"/>
        <v>UST-LARIX</v>
      </c>
      <c r="B17" s="26">
        <f t="shared" si="2"/>
        <v>-0.003734629173</v>
      </c>
      <c r="C17" s="186">
        <f t="shared" si="3"/>
        <v>-0.000005</v>
      </c>
      <c r="D17" s="179" t="s">
        <v>522</v>
      </c>
      <c r="E17" s="174">
        <f>IFERROR(__xludf.DUMMYFUNCTION("IF(D17&lt;&gt;"""",SPLIT(D17,"" 
""),)"),0.531531)</f>
        <v>0.531531</v>
      </c>
      <c r="F17" s="174" t="str">
        <f>IFERROR(__xludf.DUMMYFUNCTION("""COMPUTED_VALUE"""),"UST")</f>
        <v>UST</v>
      </c>
      <c r="G17" s="174">
        <f>IFERROR(__xludf.DUMMYFUNCTION("""COMPUTED_VALUE"""),-142.324974)</f>
        <v>-142.324974</v>
      </c>
      <c r="H17" s="174" t="str">
        <f>IFERROR(__xludf.DUMMYFUNCTION("""COMPUTED_VALUE"""),"LARIX")</f>
        <v>LARIX</v>
      </c>
      <c r="I17" s="174">
        <f>IFERROR(__xludf.DUMMYFUNCTION("""COMPUTED_VALUE"""),-5.0E-6)</f>
        <v>-0.000005</v>
      </c>
      <c r="J17" s="174" t="str">
        <f>IFERROR(__xludf.DUMMYFUNCTION("""COMPUTED_VALUE"""),"SOL")</f>
        <v>SOL</v>
      </c>
    </row>
    <row r="18">
      <c r="A18" s="26" t="str">
        <f t="shared" si="1"/>
        <v>TRANS</v>
      </c>
      <c r="B18" s="26" t="str">
        <f t="shared" si="2"/>
        <v/>
      </c>
      <c r="C18" s="186">
        <f t="shared" si="3"/>
        <v>-0.000005</v>
      </c>
      <c r="D18" s="179" t="s">
        <v>523</v>
      </c>
      <c r="E18" s="174">
        <f>IFERROR(__xludf.DUMMYFUNCTION("IF(D18&lt;&gt;"""",SPLIT(D18,"" 
""),)"),-24.957194901)</f>
        <v>-24.9571949</v>
      </c>
      <c r="F18" s="174" t="str">
        <f>IFERROR(__xludf.DUMMYFUNCTION("""COMPUTED_VALUE"""),"stSOL")</f>
        <v>stSOL</v>
      </c>
      <c r="G18" s="174">
        <f>IFERROR(__xludf.DUMMYFUNCTION("""COMPUTED_VALUE"""),-5.0E-6)</f>
        <v>-0.000005</v>
      </c>
      <c r="H18" s="174" t="str">
        <f>IFERROR(__xludf.DUMMYFUNCTION("""COMPUTED_VALUE"""),"SOL")</f>
        <v>SOL</v>
      </c>
    </row>
    <row r="19">
      <c r="A19" s="26" t="str">
        <f t="shared" si="1"/>
        <v>TRANS</v>
      </c>
      <c r="B19" s="26" t="str">
        <f t="shared" si="2"/>
        <v/>
      </c>
      <c r="C19" s="186">
        <f t="shared" si="3"/>
        <v>-0.000005</v>
      </c>
      <c r="D19" s="179" t="s">
        <v>524</v>
      </c>
      <c r="E19" s="174">
        <f>IFERROR(__xludf.DUMMYFUNCTION("IF(D19&lt;&gt;"""",SPLIT(D19,"" 
""),)"),15.634662954)</f>
        <v>15.63466295</v>
      </c>
      <c r="F19" s="174" t="str">
        <f>IFERROR(__xludf.DUMMYFUNCTION("""COMPUTED_VALUE"""),"stSOL")</f>
        <v>stSOL</v>
      </c>
      <c r="G19" s="174">
        <f>IFERROR(__xludf.DUMMYFUNCTION("""COMPUTED_VALUE"""),-16.100005)</f>
        <v>-16.100005</v>
      </c>
      <c r="H19" s="174" t="str">
        <f>IFERROR(__xludf.DUMMYFUNCTION("""COMPUTED_VALUE"""),"SOL")</f>
        <v>SOL</v>
      </c>
    </row>
    <row r="20">
      <c r="A20" s="26" t="str">
        <f t="shared" si="1"/>
        <v>RECV</v>
      </c>
      <c r="B20" s="26" t="str">
        <f t="shared" si="2"/>
        <v/>
      </c>
      <c r="C20" s="186" t="str">
        <f t="shared" si="3"/>
        <v/>
      </c>
      <c r="D20" s="179" t="s">
        <v>525</v>
      </c>
      <c r="E20" s="174">
        <f>IFERROR(__xludf.DUMMYFUNCTION("IF(D20&lt;&gt;"""",SPLIT(D20,"" 
""),)"),16.119995)</f>
        <v>16.119995</v>
      </c>
      <c r="F20" s="174" t="str">
        <f>IFERROR(__xludf.DUMMYFUNCTION("""COMPUTED_VALUE"""),"SOL")</f>
        <v>SOL</v>
      </c>
      <c r="G20" s="174"/>
      <c r="H20" s="174"/>
    </row>
    <row r="21">
      <c r="A21" s="26" t="str">
        <f t="shared" si="1"/>
        <v>TRANS</v>
      </c>
      <c r="B21" s="26" t="str">
        <f t="shared" si="2"/>
        <v/>
      </c>
      <c r="C21" s="186">
        <f t="shared" si="3"/>
        <v>-0.000005</v>
      </c>
      <c r="D21" s="179" t="s">
        <v>526</v>
      </c>
      <c r="E21" s="174">
        <f>IFERROR(__xludf.DUMMYFUNCTION("IF(D21&lt;&gt;"""",SPLIT(D21,"" 
""),)"),9.322531947)</f>
        <v>9.322531947</v>
      </c>
      <c r="F21" s="174" t="str">
        <f>IFERROR(__xludf.DUMMYFUNCTION("""COMPUTED_VALUE"""),"stSOL")</f>
        <v>stSOL</v>
      </c>
      <c r="G21" s="174">
        <f>IFERROR(__xludf.DUMMYFUNCTION("""COMPUTED_VALUE"""),-9.600005)</f>
        <v>-9.600005</v>
      </c>
      <c r="H21" s="174" t="str">
        <f>IFERROR(__xludf.DUMMYFUNCTION("""COMPUTED_VALUE"""),"SOL")</f>
        <v>SOL</v>
      </c>
    </row>
    <row r="22">
      <c r="A22" s="26" t="str">
        <f t="shared" si="1"/>
        <v>RECV</v>
      </c>
      <c r="B22" s="26" t="str">
        <f t="shared" si="2"/>
        <v/>
      </c>
      <c r="C22" s="186" t="str">
        <f t="shared" si="3"/>
        <v/>
      </c>
      <c r="D22" s="179" t="s">
        <v>527</v>
      </c>
      <c r="E22" s="174">
        <f>IFERROR(__xludf.DUMMYFUNCTION("IF(D22&lt;&gt;"""",SPLIT(D22,"" 
""),)"),9.53880494)</f>
        <v>9.53880494</v>
      </c>
      <c r="F22" s="174" t="str">
        <f>IFERROR(__xludf.DUMMYFUNCTION("""COMPUTED_VALUE"""),"SOL")</f>
        <v>SOL</v>
      </c>
      <c r="G22" s="174"/>
      <c r="H22" s="174"/>
    </row>
    <row r="23">
      <c r="A23" s="26" t="str">
        <f t="shared" si="1"/>
        <v>TRANS</v>
      </c>
      <c r="B23" s="26" t="str">
        <f t="shared" si="2"/>
        <v/>
      </c>
      <c r="C23" s="186">
        <f t="shared" si="3"/>
        <v>-0.000005</v>
      </c>
      <c r="D23" s="179" t="s">
        <v>528</v>
      </c>
      <c r="E23" s="174">
        <f>IFERROR(__xludf.DUMMYFUNCTION("IF(D23&lt;&gt;"""",SPLIT(D23,"" 
""),)"),142.324974)</f>
        <v>142.324974</v>
      </c>
      <c r="F23" s="174" t="str">
        <f>IFERROR(__xludf.DUMMYFUNCTION("""COMPUTED_VALUE"""),"LARIX")</f>
        <v>LARIX</v>
      </c>
      <c r="G23" s="174">
        <f>IFERROR(__xludf.DUMMYFUNCTION("""COMPUTED_VALUE"""),-5.0E-6)</f>
        <v>-0.000005</v>
      </c>
      <c r="H23" s="174" t="str">
        <f>IFERROR(__xludf.DUMMYFUNCTION("""COMPUTED_VALUE"""),"SOL")</f>
        <v>SOL</v>
      </c>
    </row>
    <row r="24">
      <c r="A24" s="26" t="str">
        <f t="shared" si="1"/>
        <v>TRANS</v>
      </c>
      <c r="B24" s="26" t="str">
        <f t="shared" si="2"/>
        <v/>
      </c>
      <c r="C24" s="186" t="str">
        <f t="shared" si="3"/>
        <v/>
      </c>
      <c r="D24" s="179" t="s">
        <v>529</v>
      </c>
      <c r="E24" s="174">
        <f>IFERROR(__xludf.DUMMYFUNCTION("IF(D24&lt;&gt;"""",SPLIT(D24,"" 
""),)"),1.62148998)</f>
        <v>1.62148998</v>
      </c>
      <c r="F24" s="174" t="str">
        <f>IFERROR(__xludf.DUMMYFUNCTION("""COMPUTED_VALUE"""),"LDO")</f>
        <v>LDO</v>
      </c>
    </row>
    <row r="25">
      <c r="A25" s="26" t="str">
        <f t="shared" si="1"/>
        <v>TRANS</v>
      </c>
      <c r="B25" s="26" t="str">
        <f t="shared" si="2"/>
        <v/>
      </c>
      <c r="C25" s="186">
        <f t="shared" si="3"/>
        <v>-0.000005</v>
      </c>
      <c r="D25" s="179" t="s">
        <v>530</v>
      </c>
      <c r="E25" s="174">
        <f>IFERROR(__xludf.DUMMYFUNCTION("IF(D25&lt;&gt;"""",SPLIT(D25,"" 
""),)"),-26.911023349)</f>
        <v>-26.91102335</v>
      </c>
      <c r="F25" s="174" t="str">
        <f>IFERROR(__xludf.DUMMYFUNCTION("""COMPUTED_VALUE"""),"stSOL")</f>
        <v>stSOL</v>
      </c>
      <c r="G25" s="174">
        <f>IFERROR(__xludf.DUMMYFUNCTION("""COMPUTED_VALUE"""),-5.0E-6)</f>
        <v>-0.000005</v>
      </c>
      <c r="H25" s="174" t="str">
        <f>IFERROR(__xludf.DUMMYFUNCTION("""COMPUTED_VALUE"""),"SOL")</f>
        <v>SOL</v>
      </c>
    </row>
    <row r="26">
      <c r="A26" s="26" t="str">
        <f t="shared" si="1"/>
        <v>TRANS</v>
      </c>
      <c r="B26" s="26" t="str">
        <f t="shared" si="2"/>
        <v/>
      </c>
      <c r="C26" s="186">
        <f t="shared" si="3"/>
        <v>-0.000005</v>
      </c>
      <c r="D26" s="179" t="s">
        <v>531</v>
      </c>
      <c r="E26" s="174">
        <f>IFERROR(__xludf.DUMMYFUNCTION("IF(D26&lt;&gt;"""",SPLIT(D26,"" 
""),)"),26.911023349)</f>
        <v>26.91102335</v>
      </c>
      <c r="F26" s="174" t="str">
        <f>IFERROR(__xludf.DUMMYFUNCTION("""COMPUTED_VALUE"""),"stSOL")</f>
        <v>stSOL</v>
      </c>
      <c r="G26" s="174">
        <f>IFERROR(__xludf.DUMMYFUNCTION("""COMPUTED_VALUE"""),-27.700005)</f>
        <v>-27.700005</v>
      </c>
      <c r="H26" s="174" t="str">
        <f>IFERROR(__xludf.DUMMYFUNCTION("""COMPUTED_VALUE"""),"SOL")</f>
        <v>SOL</v>
      </c>
    </row>
    <row r="27">
      <c r="A27" s="26" t="str">
        <f t="shared" si="1"/>
        <v>RECV</v>
      </c>
      <c r="B27" s="26" t="str">
        <f t="shared" si="2"/>
        <v/>
      </c>
      <c r="C27" s="186" t="str">
        <f t="shared" si="3"/>
        <v/>
      </c>
      <c r="D27" s="179" t="s">
        <v>532</v>
      </c>
      <c r="E27" s="174">
        <f>IFERROR(__xludf.DUMMYFUNCTION("IF(D27&lt;&gt;"""",SPLIT(D27,"" 
""),)"),27.709995)</f>
        <v>27.709995</v>
      </c>
      <c r="F27" s="174" t="str">
        <f>IFERROR(__xludf.DUMMYFUNCTION("""COMPUTED_VALUE"""),"SOL")</f>
        <v>SOL</v>
      </c>
      <c r="G27" s="174"/>
      <c r="H27" s="174"/>
    </row>
    <row r="28">
      <c r="A28" s="26" t="str">
        <f t="shared" si="1"/>
        <v>TRANS</v>
      </c>
      <c r="B28" s="26" t="str">
        <f t="shared" si="2"/>
        <v/>
      </c>
      <c r="C28" s="186">
        <f t="shared" si="3"/>
        <v>-0.000005</v>
      </c>
      <c r="D28" s="179" t="s">
        <v>533</v>
      </c>
      <c r="E28" s="174">
        <f>IFERROR(__xludf.DUMMYFUNCTION("IF(D28&lt;&gt;"""",SPLIT(D28,"" 
""),)"),-12.53257044)</f>
        <v>-12.53257044</v>
      </c>
      <c r="F28" s="174" t="str">
        <f>IFERROR(__xludf.DUMMYFUNCTION("""COMPUTED_VALUE"""),"stSOL")</f>
        <v>stSOL</v>
      </c>
      <c r="G28" s="174">
        <f>IFERROR(__xludf.DUMMYFUNCTION("""COMPUTED_VALUE"""),-5.0E-6)</f>
        <v>-0.000005</v>
      </c>
      <c r="H28" s="174" t="str">
        <f>IFERROR(__xludf.DUMMYFUNCTION("""COMPUTED_VALUE"""),"SOL")</f>
        <v>SOL</v>
      </c>
    </row>
    <row r="29">
      <c r="A29" s="26" t="str">
        <f t="shared" si="1"/>
        <v>TRANS</v>
      </c>
      <c r="B29" s="26" t="str">
        <f t="shared" si="2"/>
        <v/>
      </c>
      <c r="C29" s="186">
        <f t="shared" si="3"/>
        <v>-0.000005</v>
      </c>
      <c r="D29" s="179" t="s">
        <v>534</v>
      </c>
      <c r="E29" s="174">
        <f>IFERROR(__xludf.DUMMYFUNCTION("IF(D29&lt;&gt;"""",SPLIT(D29,"" 
""),)"),12.53257044)</f>
        <v>12.53257044</v>
      </c>
      <c r="F29" s="174" t="str">
        <f>IFERROR(__xludf.DUMMYFUNCTION("""COMPUTED_VALUE"""),"stSOL")</f>
        <v>stSOL</v>
      </c>
      <c r="G29" s="174">
        <f>IFERROR(__xludf.DUMMYFUNCTION("""COMPUTED_VALUE"""),-12.900005)</f>
        <v>-12.900005</v>
      </c>
      <c r="H29" s="174" t="str">
        <f>IFERROR(__xludf.DUMMYFUNCTION("""COMPUTED_VALUE"""),"SOL")</f>
        <v>SOL</v>
      </c>
    </row>
    <row r="30">
      <c r="A30" s="26" t="str">
        <f t="shared" si="1"/>
        <v>RECV</v>
      </c>
      <c r="B30" s="26" t="str">
        <f t="shared" si="2"/>
        <v/>
      </c>
      <c r="C30" s="186" t="str">
        <f t="shared" si="3"/>
        <v/>
      </c>
      <c r="D30" s="179" t="s">
        <v>535</v>
      </c>
      <c r="E30" s="174">
        <f>IFERROR(__xludf.DUMMYFUNCTION("IF(D30&lt;&gt;"""",SPLIT(D30,"" 
""),)"),12.89317638)</f>
        <v>12.89317638</v>
      </c>
      <c r="F30" s="174" t="str">
        <f>IFERROR(__xludf.DUMMYFUNCTION("""COMPUTED_VALUE"""),"SOL")</f>
        <v>SOL</v>
      </c>
      <c r="G30" s="174"/>
      <c r="H30" s="174"/>
    </row>
    <row r="31">
      <c r="A31" s="26" t="str">
        <f t="shared" si="1"/>
        <v>TRANS</v>
      </c>
      <c r="B31" s="26" t="str">
        <f t="shared" si="2"/>
        <v/>
      </c>
      <c r="C31" s="186" t="str">
        <f t="shared" si="3"/>
        <v/>
      </c>
      <c r="D31" s="179" t="s">
        <v>536</v>
      </c>
      <c r="E31" s="174">
        <f>IFERROR(__xludf.DUMMYFUNCTION("IF(D31&lt;&gt;"""",SPLIT(D31,"" 
""),)"),1.61519201)</f>
        <v>1.61519201</v>
      </c>
      <c r="F31" s="174" t="str">
        <f>IFERROR(__xludf.DUMMYFUNCTION("""COMPUTED_VALUE"""),"LDO")</f>
        <v>LDO</v>
      </c>
    </row>
    <row r="32">
      <c r="A32" s="26" t="str">
        <f t="shared" si="1"/>
        <v>TRANS</v>
      </c>
      <c r="B32" s="26" t="str">
        <f t="shared" si="2"/>
        <v/>
      </c>
      <c r="C32" s="186">
        <f t="shared" si="3"/>
        <v>-0.000005</v>
      </c>
      <c r="D32" s="179" t="s">
        <v>537</v>
      </c>
      <c r="E32" s="174">
        <f>IFERROR(__xludf.DUMMYFUNCTION("IF(D32&lt;&gt;"""",SPLIT(D32,"" 
""),)"),-0.629993)</f>
        <v>-0.629993</v>
      </c>
      <c r="F32" s="174" t="str">
        <f>IFERROR(__xludf.DUMMYFUNCTION("""COMPUTED_VALUE"""),"UST")</f>
        <v>UST</v>
      </c>
      <c r="G32" s="174">
        <f>IFERROR(__xludf.DUMMYFUNCTION("""COMPUTED_VALUE"""),-5.0E-6)</f>
        <v>-0.000005</v>
      </c>
      <c r="H32" s="174" t="str">
        <f>IFERROR(__xludf.DUMMYFUNCTION("""COMPUTED_VALUE"""),"SOL")</f>
        <v>SOL</v>
      </c>
    </row>
    <row r="33">
      <c r="A33" s="26" t="str">
        <f t="shared" si="1"/>
        <v>UST-LARIX</v>
      </c>
      <c r="B33" s="26">
        <f t="shared" si="2"/>
        <v>-0.003879627755</v>
      </c>
      <c r="C33" s="186">
        <f t="shared" si="3"/>
        <v>-0.000005</v>
      </c>
      <c r="D33" s="179" t="s">
        <v>538</v>
      </c>
      <c r="E33" s="174">
        <f>IFERROR(__xludf.DUMMYFUNCTION("IF(D33&lt;&gt;"""",SPLIT(D33,"" 
""),)"),0.629993)</f>
        <v>0.629993</v>
      </c>
      <c r="F33" s="174" t="str">
        <f>IFERROR(__xludf.DUMMYFUNCTION("""COMPUTED_VALUE"""),"UST")</f>
        <v>UST</v>
      </c>
      <c r="G33" s="174">
        <f>IFERROR(__xludf.DUMMYFUNCTION("""COMPUTED_VALUE"""),-162.384909)</f>
        <v>-162.384909</v>
      </c>
      <c r="H33" s="174" t="str">
        <f>IFERROR(__xludf.DUMMYFUNCTION("""COMPUTED_VALUE"""),"LARIX")</f>
        <v>LARIX</v>
      </c>
      <c r="I33" s="174">
        <f>IFERROR(__xludf.DUMMYFUNCTION("""COMPUTED_VALUE"""),-5.0E-6)</f>
        <v>-0.000005</v>
      </c>
      <c r="J33" s="174" t="str">
        <f>IFERROR(__xludf.DUMMYFUNCTION("""COMPUTED_VALUE"""),"SOL")</f>
        <v>SOL</v>
      </c>
    </row>
    <row r="34">
      <c r="A34" s="26" t="str">
        <f t="shared" si="1"/>
        <v>TRANS</v>
      </c>
      <c r="B34" s="26" t="str">
        <f t="shared" si="2"/>
        <v/>
      </c>
      <c r="C34" s="186">
        <f t="shared" si="3"/>
        <v>-0.000005</v>
      </c>
      <c r="D34" s="179" t="s">
        <v>539</v>
      </c>
      <c r="E34" s="174">
        <f>IFERROR(__xludf.DUMMYFUNCTION("IF(D34&lt;&gt;"""",SPLIT(D34,"" 
""),)"),14.563193)</f>
        <v>14.563193</v>
      </c>
      <c r="F34" s="174" t="str">
        <f>IFERROR(__xludf.DUMMYFUNCTION("""COMPUTED_VALUE"""),"LARIX")</f>
        <v>LARIX</v>
      </c>
      <c r="G34" s="174">
        <f>IFERROR(__xludf.DUMMYFUNCTION("""COMPUTED_VALUE"""),-5.0E-6)</f>
        <v>-0.000005</v>
      </c>
      <c r="H34" s="174" t="str">
        <f>IFERROR(__xludf.DUMMYFUNCTION("""COMPUTED_VALUE"""),"SOL")</f>
        <v>SOL</v>
      </c>
    </row>
    <row r="35">
      <c r="A35" s="26" t="str">
        <f t="shared" si="1"/>
        <v>TRANS</v>
      </c>
      <c r="B35" s="26" t="str">
        <f t="shared" si="2"/>
        <v/>
      </c>
      <c r="C35" s="186">
        <f t="shared" si="3"/>
        <v>-0.000005</v>
      </c>
      <c r="D35" s="179" t="s">
        <v>540</v>
      </c>
      <c r="E35" s="174">
        <f>IFERROR(__xludf.DUMMYFUNCTION("IF(D35&lt;&gt;"""",SPLIT(D35,"" 
""),)"),147.821714)</f>
        <v>147.821714</v>
      </c>
      <c r="F35" s="174" t="str">
        <f>IFERROR(__xludf.DUMMYFUNCTION("""COMPUTED_VALUE"""),"LARIX")</f>
        <v>LARIX</v>
      </c>
      <c r="G35" s="174">
        <f>IFERROR(__xludf.DUMMYFUNCTION("""COMPUTED_VALUE"""),-5.0E-6)</f>
        <v>-0.000005</v>
      </c>
      <c r="H35" s="174" t="str">
        <f>IFERROR(__xludf.DUMMYFUNCTION("""COMPUTED_VALUE"""),"SOL")</f>
        <v>SOL</v>
      </c>
    </row>
    <row r="36">
      <c r="A36" s="26" t="str">
        <f t="shared" si="1"/>
        <v>TRANS</v>
      </c>
      <c r="B36" s="26" t="str">
        <f t="shared" si="2"/>
        <v/>
      </c>
      <c r="C36" s="186">
        <f t="shared" si="3"/>
        <v>-0.000005</v>
      </c>
      <c r="D36" s="179" t="s">
        <v>541</v>
      </c>
      <c r="E36" s="174">
        <f>IFERROR(__xludf.DUMMYFUNCTION("IF(D36&lt;&gt;"""",SPLIT(D36,"" 
""),)"),-12.824025567)</f>
        <v>-12.82402557</v>
      </c>
      <c r="F36" s="174" t="str">
        <f>IFERROR(__xludf.DUMMYFUNCTION("""COMPUTED_VALUE"""),"stSOL")</f>
        <v>stSOL</v>
      </c>
      <c r="G36" s="174">
        <f>IFERROR(__xludf.DUMMYFUNCTION("""COMPUTED_VALUE"""),-5.0E-6)</f>
        <v>-0.000005</v>
      </c>
      <c r="H36" s="174" t="str">
        <f>IFERROR(__xludf.DUMMYFUNCTION("""COMPUTED_VALUE"""),"SOL")</f>
        <v>SOL</v>
      </c>
    </row>
    <row r="37">
      <c r="A37" s="26" t="str">
        <f t="shared" si="1"/>
        <v>TRANS</v>
      </c>
      <c r="B37" s="26" t="str">
        <f t="shared" si="2"/>
        <v/>
      </c>
      <c r="C37" s="186">
        <f t="shared" si="3"/>
        <v>-0.000005</v>
      </c>
      <c r="D37" s="179" t="s">
        <v>542</v>
      </c>
      <c r="E37" s="174">
        <f>IFERROR(__xludf.DUMMYFUNCTION("IF(D37&lt;&gt;"""",SPLIT(D37,"" 
""),)"),12.824025567)</f>
        <v>12.82402557</v>
      </c>
      <c r="F37" s="174" t="str">
        <f>IFERROR(__xludf.DUMMYFUNCTION("""COMPUTED_VALUE"""),"stSOL")</f>
        <v>stSOL</v>
      </c>
      <c r="G37" s="174">
        <f>IFERROR(__xludf.DUMMYFUNCTION("""COMPUTED_VALUE"""),-13.200005)</f>
        <v>-13.200005</v>
      </c>
      <c r="H37" s="174" t="str">
        <f>IFERROR(__xludf.DUMMYFUNCTION("""COMPUTED_VALUE"""),"SOL")</f>
        <v>SOL</v>
      </c>
    </row>
    <row r="38">
      <c r="A38" s="26" t="str">
        <f t="shared" si="1"/>
        <v>RECV</v>
      </c>
      <c r="B38" s="26" t="str">
        <f t="shared" si="2"/>
        <v/>
      </c>
      <c r="C38" s="186" t="str">
        <f t="shared" si="3"/>
        <v/>
      </c>
      <c r="D38" s="179" t="s">
        <v>543</v>
      </c>
      <c r="E38" s="174">
        <f>IFERROR(__xludf.DUMMYFUNCTION("IF(D38&lt;&gt;"""",SPLIT(D38,"" 
""),)"),13.26644657)</f>
        <v>13.26644657</v>
      </c>
      <c r="F38" s="174" t="str">
        <f>IFERROR(__xludf.DUMMYFUNCTION("""COMPUTED_VALUE"""),"SOL")</f>
        <v>SOL</v>
      </c>
      <c r="G38" s="174"/>
      <c r="H38" s="174"/>
    </row>
    <row r="39">
      <c r="A39" s="26" t="str">
        <f t="shared" si="1"/>
        <v>TRANS</v>
      </c>
      <c r="B39" s="26" t="str">
        <f t="shared" si="2"/>
        <v/>
      </c>
      <c r="C39" s="186" t="str">
        <f t="shared" si="3"/>
        <v/>
      </c>
      <c r="D39" s="179" t="s">
        <v>544</v>
      </c>
      <c r="E39" s="174">
        <f>IFERROR(__xludf.DUMMYFUNCTION("IF(D39&lt;&gt;"""",SPLIT(D39,"" 
""),)"),1.31573399)</f>
        <v>1.31573399</v>
      </c>
      <c r="F39" s="174" t="str">
        <f>IFERROR(__xludf.DUMMYFUNCTION("""COMPUTED_VALUE"""),"LDO")</f>
        <v>LDO</v>
      </c>
    </row>
    <row r="40">
      <c r="A40" s="26" t="str">
        <f t="shared" si="1"/>
        <v>TRANS</v>
      </c>
      <c r="B40" s="26" t="str">
        <f t="shared" si="2"/>
        <v/>
      </c>
      <c r="C40" s="186" t="str">
        <f t="shared" si="3"/>
        <v/>
      </c>
      <c r="D40" s="179" t="s">
        <v>545</v>
      </c>
      <c r="E40" s="174">
        <f>IFERROR(__xludf.DUMMYFUNCTION("IF(D40&lt;&gt;"""",SPLIT(D40,"" 
""),)"),1.6270845)</f>
        <v>1.6270845</v>
      </c>
      <c r="F40" s="174" t="str">
        <f>IFERROR(__xludf.DUMMYFUNCTION("""COMPUTED_VALUE"""),"LDO")</f>
        <v>LDO</v>
      </c>
    </row>
    <row r="41">
      <c r="A41" s="26" t="str">
        <f t="shared" si="1"/>
        <v>TRANS</v>
      </c>
      <c r="B41" s="26" t="str">
        <f t="shared" si="2"/>
        <v/>
      </c>
      <c r="C41" s="186">
        <f t="shared" si="3"/>
        <v>-0.000005</v>
      </c>
      <c r="D41" s="179" t="s">
        <v>546</v>
      </c>
      <c r="E41" s="174">
        <f>IFERROR(__xludf.DUMMYFUNCTION("IF(D41&lt;&gt;"""",SPLIT(D41,"" 
""),)"),-0.183224)</f>
        <v>-0.183224</v>
      </c>
      <c r="F41" s="174" t="str">
        <f>IFERROR(__xludf.DUMMYFUNCTION("""COMPUTED_VALUE"""),"USDC")</f>
        <v>USDC</v>
      </c>
      <c r="G41" s="174">
        <f>IFERROR(__xludf.DUMMYFUNCTION("""COMPUTED_VALUE"""),-5.0E-6)</f>
        <v>-0.000005</v>
      </c>
      <c r="H41" s="174" t="str">
        <f>IFERROR(__xludf.DUMMYFUNCTION("""COMPUTED_VALUE"""),"SOL")</f>
        <v>SOL</v>
      </c>
    </row>
    <row r="42">
      <c r="A42" s="26" t="str">
        <f t="shared" si="1"/>
        <v>TRANS</v>
      </c>
      <c r="B42" s="26" t="str">
        <f t="shared" si="2"/>
        <v/>
      </c>
      <c r="C42" s="186">
        <f t="shared" si="3"/>
        <v>-0.00179176</v>
      </c>
      <c r="D42" s="179" t="s">
        <v>547</v>
      </c>
      <c r="E42" s="174">
        <f>IFERROR(__xludf.DUMMYFUNCTION("IF(D42&lt;&gt;"""",SPLIT(D42,"" 
""),)"),-0.227292)</f>
        <v>-0.227292</v>
      </c>
      <c r="F42" s="174" t="str">
        <f>IFERROR(__xludf.DUMMYFUNCTION("""COMPUTED_VALUE"""),"USDC")</f>
        <v>USDC</v>
      </c>
      <c r="G42" s="174">
        <f>IFERROR(__xludf.DUMMYFUNCTION("""COMPUTED_VALUE"""),-0.00179176)</f>
        <v>-0.00179176</v>
      </c>
      <c r="H42" s="174" t="str">
        <f>IFERROR(__xludf.DUMMYFUNCTION("""COMPUTED_VALUE"""),"SOL")</f>
        <v>SOL</v>
      </c>
    </row>
    <row r="43">
      <c r="A43" s="26" t="str">
        <f t="shared" si="1"/>
        <v>TRANS</v>
      </c>
      <c r="B43" s="26" t="str">
        <f t="shared" si="2"/>
        <v/>
      </c>
      <c r="C43" s="186">
        <f t="shared" si="3"/>
        <v>-0.000005</v>
      </c>
      <c r="D43" s="179" t="s">
        <v>548</v>
      </c>
      <c r="E43" s="174">
        <f>IFERROR(__xludf.DUMMYFUNCTION("IF(D43&lt;&gt;"""",SPLIT(D43,"" 
""),)"),-5.0E-6)</f>
        <v>-0.000005</v>
      </c>
      <c r="F43" s="174" t="str">
        <f>IFERROR(__xludf.DUMMYFUNCTION("""COMPUTED_VALUE"""),"SOL")</f>
        <v>SOL</v>
      </c>
    </row>
    <row r="44">
      <c r="A44" s="26" t="str">
        <f t="shared" si="1"/>
        <v>USDC-LARIX</v>
      </c>
      <c r="B44" s="26">
        <f t="shared" si="2"/>
        <v>-0.004184353238</v>
      </c>
      <c r="C44" s="186">
        <f t="shared" si="3"/>
        <v>-0.00204428</v>
      </c>
      <c r="D44" s="179" t="s">
        <v>549</v>
      </c>
      <c r="E44" s="174">
        <f>IFERROR(__xludf.DUMMYFUNCTION("IF(D44&lt;&gt;"""",SPLIT(D44,"" 
""),)"),0.36557)</f>
        <v>0.36557</v>
      </c>
      <c r="F44" s="174" t="str">
        <f>IFERROR(__xludf.DUMMYFUNCTION("""COMPUTED_VALUE"""),"USDC")</f>
        <v>USDC</v>
      </c>
      <c r="G44" s="174">
        <f>IFERROR(__xludf.DUMMYFUNCTION("""COMPUTED_VALUE"""),-87.365951)</f>
        <v>-87.365951</v>
      </c>
      <c r="H44" s="174" t="str">
        <f>IFERROR(__xludf.DUMMYFUNCTION("""COMPUTED_VALUE"""),"LARIX")</f>
        <v>LARIX</v>
      </c>
      <c r="I44" s="174">
        <f>IFERROR(__xludf.DUMMYFUNCTION("""COMPUTED_VALUE"""),-0.00204428)</f>
        <v>-0.00204428</v>
      </c>
      <c r="J44" s="174" t="str">
        <f>IFERROR(__xludf.DUMMYFUNCTION("""COMPUTED_VALUE"""),"SOL")</f>
        <v>SOL</v>
      </c>
    </row>
    <row r="45">
      <c r="A45" s="26" t="str">
        <f t="shared" si="1"/>
        <v>TRANS</v>
      </c>
      <c r="B45" s="26" t="str">
        <f t="shared" si="2"/>
        <v/>
      </c>
      <c r="C45" s="186">
        <f t="shared" si="3"/>
        <v>-0.000005</v>
      </c>
      <c r="D45" s="179" t="s">
        <v>550</v>
      </c>
      <c r="E45" s="174">
        <f>IFERROR(__xludf.DUMMYFUNCTION("IF(D45&lt;&gt;"""",SPLIT(D45,"" 
""),)"),87.276933)</f>
        <v>87.276933</v>
      </c>
      <c r="F45" s="174" t="str">
        <f>IFERROR(__xludf.DUMMYFUNCTION("""COMPUTED_VALUE"""),"LARIX")</f>
        <v>LARIX</v>
      </c>
      <c r="G45" s="174">
        <f>IFERROR(__xludf.DUMMYFUNCTION("""COMPUTED_VALUE"""),-5.0E-6)</f>
        <v>-0.000005</v>
      </c>
      <c r="H45" s="174" t="str">
        <f>IFERROR(__xludf.DUMMYFUNCTION("""COMPUTED_VALUE"""),"SOL")</f>
        <v>SOL</v>
      </c>
    </row>
    <row r="46">
      <c r="A46" s="26" t="str">
        <f t="shared" si="1"/>
        <v>TRANS</v>
      </c>
      <c r="B46" s="26" t="str">
        <f t="shared" si="2"/>
        <v/>
      </c>
      <c r="C46" s="186">
        <f t="shared" si="3"/>
        <v>-0.00179176</v>
      </c>
      <c r="D46" s="179" t="s">
        <v>551</v>
      </c>
      <c r="E46" s="174">
        <f>IFERROR(__xludf.DUMMYFUNCTION("IF(D46&lt;&gt;"""",SPLIT(D46,"" 
""),)"),-0.359905)</f>
        <v>-0.359905</v>
      </c>
      <c r="F46" s="174" t="str">
        <f>IFERROR(__xludf.DUMMYFUNCTION("""COMPUTED_VALUE"""),"USDC")</f>
        <v>USDC</v>
      </c>
      <c r="G46" s="174">
        <f>IFERROR(__xludf.DUMMYFUNCTION("""COMPUTED_VALUE"""),-0.00179176)</f>
        <v>-0.00179176</v>
      </c>
      <c r="H46" s="174" t="str">
        <f>IFERROR(__xludf.DUMMYFUNCTION("""COMPUTED_VALUE"""),"SOL")</f>
        <v>SOL</v>
      </c>
    </row>
    <row r="47">
      <c r="A47" s="26" t="str">
        <f t="shared" si="1"/>
        <v>TRANS</v>
      </c>
      <c r="B47" s="26" t="str">
        <f t="shared" si="2"/>
        <v/>
      </c>
      <c r="C47" s="186">
        <f t="shared" si="3"/>
        <v>-0.00151336</v>
      </c>
      <c r="D47" s="179" t="s">
        <v>552</v>
      </c>
      <c r="E47" s="174">
        <f>IFERROR(__xludf.DUMMYFUNCTION("IF(D47&lt;&gt;"""",SPLIT(D47,"" 
""),)"),-0.00151336)</f>
        <v>-0.00151336</v>
      </c>
      <c r="F47" s="174" t="str">
        <f>IFERROR(__xludf.DUMMYFUNCTION("""COMPUTED_VALUE"""),"SOL")</f>
        <v>SOL</v>
      </c>
    </row>
    <row r="48">
      <c r="A48" s="26" t="str">
        <f t="shared" si="1"/>
        <v>USDC-LARIX</v>
      </c>
      <c r="B48" s="26">
        <f t="shared" si="2"/>
        <v>-0.004187689277</v>
      </c>
      <c r="C48" s="186">
        <f t="shared" si="3"/>
        <v>-0.02336276</v>
      </c>
      <c r="D48" s="179" t="s">
        <v>553</v>
      </c>
      <c r="E48" s="174">
        <f>IFERROR(__xludf.DUMMYFUNCTION("IF(D48&lt;&gt;"""",SPLIT(D48,"" 
""),)"),0.404851)</f>
        <v>0.404851</v>
      </c>
      <c r="F48" s="174" t="str">
        <f>IFERROR(__xludf.DUMMYFUNCTION("""COMPUTED_VALUE"""),"USDC")</f>
        <v>USDC</v>
      </c>
      <c r="G48" s="174">
        <f>IFERROR(__xludf.DUMMYFUNCTION("""COMPUTED_VALUE"""),-96.676466)</f>
        <v>-96.676466</v>
      </c>
      <c r="H48" s="174" t="str">
        <f>IFERROR(__xludf.DUMMYFUNCTION("""COMPUTED_VALUE"""),"LARIX")</f>
        <v>LARIX</v>
      </c>
      <c r="I48" s="174">
        <f>IFERROR(__xludf.DUMMYFUNCTION("""COMPUTED_VALUE"""),-0.02336276)</f>
        <v>-0.02336276</v>
      </c>
      <c r="J48" s="174" t="str">
        <f>IFERROR(__xludf.DUMMYFUNCTION("""COMPUTED_VALUE"""),"SOL")</f>
        <v>SOL</v>
      </c>
    </row>
    <row r="49">
      <c r="A49" s="26" t="str">
        <f t="shared" si="1"/>
        <v>TRANS</v>
      </c>
      <c r="B49" s="26" t="str">
        <f t="shared" si="2"/>
        <v/>
      </c>
      <c r="C49" s="186">
        <f t="shared" si="3"/>
        <v>0.032150499</v>
      </c>
      <c r="D49" s="179" t="s">
        <v>554</v>
      </c>
      <c r="E49" s="174">
        <f>IFERROR(__xludf.DUMMYFUNCTION("IF(D49&lt;&gt;"""",SPLIT(D49,"" 
""),)"),0.032150499)</f>
        <v>0.032150499</v>
      </c>
      <c r="F49" s="174" t="str">
        <f>IFERROR(__xludf.DUMMYFUNCTION("""COMPUTED_VALUE"""),"SOL")</f>
        <v>SOL</v>
      </c>
      <c r="G49" s="174">
        <f>IFERROR(__xludf.DUMMYFUNCTION("""COMPUTED_VALUE"""),-1.0475955)</f>
        <v>-1.0475955</v>
      </c>
      <c r="H49" s="174" t="str">
        <f>IFERROR(__xludf.DUMMYFUNCTION("""COMPUTED_VALUE"""),"LDO")</f>
        <v>LDO</v>
      </c>
    </row>
    <row r="50">
      <c r="A50" s="26" t="str">
        <f t="shared" si="1"/>
        <v>TRANS</v>
      </c>
      <c r="B50" s="26" t="str">
        <f t="shared" si="2"/>
        <v/>
      </c>
      <c r="C50" s="186">
        <f t="shared" si="3"/>
        <v>-0.000005</v>
      </c>
      <c r="D50" s="179" t="s">
        <v>555</v>
      </c>
      <c r="E50" s="174">
        <f>IFERROR(__xludf.DUMMYFUNCTION("IF(D50&lt;&gt;"""",SPLIT(D50,"" 
""),)"),-20.887047207)</f>
        <v>-20.88704721</v>
      </c>
      <c r="F50" s="174" t="str">
        <f>IFERROR(__xludf.DUMMYFUNCTION("""COMPUTED_VALUE"""),"stSOL")</f>
        <v>stSOL</v>
      </c>
      <c r="G50" s="174">
        <f>IFERROR(__xludf.DUMMYFUNCTION("""COMPUTED_VALUE"""),-5.0E-6)</f>
        <v>-0.000005</v>
      </c>
      <c r="H50" s="174" t="str">
        <f>IFERROR(__xludf.DUMMYFUNCTION("""COMPUTED_VALUE"""),"SOL")</f>
        <v>SOL</v>
      </c>
    </row>
    <row r="51">
      <c r="A51" s="26" t="str">
        <f t="shared" si="1"/>
        <v>TRANS</v>
      </c>
      <c r="B51" s="26" t="str">
        <f t="shared" si="2"/>
        <v/>
      </c>
      <c r="C51" s="186">
        <f t="shared" si="3"/>
        <v>-0.000005</v>
      </c>
      <c r="D51" s="179" t="s">
        <v>556</v>
      </c>
      <c r="E51" s="174">
        <f>IFERROR(__xludf.DUMMYFUNCTION("IF(D51&lt;&gt;"""",SPLIT(D51,"" 
""),)"),20.887047207)</f>
        <v>20.88704721</v>
      </c>
      <c r="F51" s="174" t="str">
        <f>IFERROR(__xludf.DUMMYFUNCTION("""COMPUTED_VALUE"""),"stSOL")</f>
        <v>stSOL</v>
      </c>
      <c r="G51" s="174">
        <f>IFERROR(__xludf.DUMMYFUNCTION("""COMPUTED_VALUE"""),-21.490005)</f>
        <v>-21.490005</v>
      </c>
      <c r="H51" s="174" t="str">
        <f>IFERROR(__xludf.DUMMYFUNCTION("""COMPUTED_VALUE"""),"SOL")</f>
        <v>SOL</v>
      </c>
    </row>
    <row r="52">
      <c r="A52" s="26" t="str">
        <f t="shared" si="1"/>
        <v>RECV</v>
      </c>
      <c r="B52" s="26" t="str">
        <f t="shared" si="2"/>
        <v/>
      </c>
      <c r="C52" s="186" t="str">
        <f t="shared" si="3"/>
        <v/>
      </c>
      <c r="D52" s="179" t="s">
        <v>557</v>
      </c>
      <c r="E52" s="174">
        <f>IFERROR(__xludf.DUMMYFUNCTION("IF(D52&lt;&gt;"""",SPLIT(D52,"" 
""),)"),21.489995)</f>
        <v>21.489995</v>
      </c>
      <c r="F52" s="174" t="str">
        <f>IFERROR(__xludf.DUMMYFUNCTION("""COMPUTED_VALUE"""),"SOL")</f>
        <v>SOL</v>
      </c>
      <c r="G52" s="174"/>
      <c r="H52" s="174"/>
    </row>
    <row r="53">
      <c r="A53" s="26" t="str">
        <f t="shared" si="1"/>
        <v>TRANS</v>
      </c>
      <c r="B53" s="26" t="str">
        <f t="shared" si="2"/>
        <v/>
      </c>
      <c r="C53" s="186">
        <f t="shared" si="3"/>
        <v>-0.000005</v>
      </c>
      <c r="D53" s="179" t="s">
        <v>558</v>
      </c>
      <c r="E53" s="174">
        <f>IFERROR(__xludf.DUMMYFUNCTION("IF(D53&lt;&gt;"""",SPLIT(D53,"" 
""),)"),-12.82964277)</f>
        <v>-12.82964277</v>
      </c>
      <c r="F53" s="174" t="str">
        <f>IFERROR(__xludf.DUMMYFUNCTION("""COMPUTED_VALUE"""),"stSOL")</f>
        <v>stSOL</v>
      </c>
      <c r="G53" s="174">
        <f>IFERROR(__xludf.DUMMYFUNCTION("""COMPUTED_VALUE"""),-5.0E-6)</f>
        <v>-0.000005</v>
      </c>
      <c r="H53" s="174" t="str">
        <f>IFERROR(__xludf.DUMMYFUNCTION("""COMPUTED_VALUE"""),"SOL")</f>
        <v>SOL</v>
      </c>
    </row>
    <row r="54">
      <c r="A54" s="26" t="str">
        <f t="shared" si="1"/>
        <v>TRANS</v>
      </c>
      <c r="B54" s="26" t="str">
        <f t="shared" si="2"/>
        <v/>
      </c>
      <c r="C54" s="186">
        <f t="shared" si="3"/>
        <v>-0.000005</v>
      </c>
      <c r="D54" s="179" t="s">
        <v>559</v>
      </c>
      <c r="E54" s="174">
        <f>IFERROR(__xludf.DUMMYFUNCTION("IF(D54&lt;&gt;"""",SPLIT(D54,"" 
""),)"),12.82964277)</f>
        <v>12.82964277</v>
      </c>
      <c r="F54" s="174" t="str">
        <f>IFERROR(__xludf.DUMMYFUNCTION("""COMPUTED_VALUE"""),"stSOL")</f>
        <v>stSOL</v>
      </c>
      <c r="G54" s="174">
        <f>IFERROR(__xludf.DUMMYFUNCTION("""COMPUTED_VALUE"""),-13.200005)</f>
        <v>-13.200005</v>
      </c>
      <c r="H54" s="174" t="str">
        <f>IFERROR(__xludf.DUMMYFUNCTION("""COMPUTED_VALUE"""),"SOL")</f>
        <v>SOL</v>
      </c>
    </row>
    <row r="55">
      <c r="A55" s="26" t="str">
        <f t="shared" si="1"/>
        <v>RECV</v>
      </c>
      <c r="B55" s="26" t="str">
        <f t="shared" si="2"/>
        <v/>
      </c>
      <c r="C55" s="186" t="str">
        <f t="shared" si="3"/>
        <v/>
      </c>
      <c r="D55" s="179" t="s">
        <v>560</v>
      </c>
      <c r="E55" s="174">
        <f>IFERROR(__xludf.DUMMYFUNCTION("IF(D55&lt;&gt;"""",SPLIT(D55,"" 
""),)"),13.20066271)</f>
        <v>13.20066271</v>
      </c>
      <c r="F55" s="174" t="str">
        <f>IFERROR(__xludf.DUMMYFUNCTION("""COMPUTED_VALUE"""),"SOL")</f>
        <v>SOL</v>
      </c>
      <c r="G55" s="174"/>
      <c r="H55" s="174"/>
    </row>
    <row r="56">
      <c r="A56" s="26" t="str">
        <f t="shared" si="1"/>
        <v>TRANS</v>
      </c>
      <c r="B56" s="26" t="str">
        <f t="shared" si="2"/>
        <v/>
      </c>
      <c r="C56" s="186">
        <f t="shared" si="3"/>
        <v>-0.000005</v>
      </c>
      <c r="D56" s="179" t="s">
        <v>561</v>
      </c>
      <c r="E56" s="174">
        <f>IFERROR(__xludf.DUMMYFUNCTION("IF(D56&lt;&gt;"""",SPLIT(D56,"" 
""),)"),-23.015601575)</f>
        <v>-23.01560158</v>
      </c>
      <c r="F56" s="174" t="str">
        <f>IFERROR(__xludf.DUMMYFUNCTION("""COMPUTED_VALUE"""),"stSOL")</f>
        <v>stSOL</v>
      </c>
      <c r="G56" s="174">
        <f>IFERROR(__xludf.DUMMYFUNCTION("""COMPUTED_VALUE"""),-5.0E-6)</f>
        <v>-0.000005</v>
      </c>
      <c r="H56" s="174" t="str">
        <f>IFERROR(__xludf.DUMMYFUNCTION("""COMPUTED_VALUE"""),"SOL")</f>
        <v>SOL</v>
      </c>
    </row>
    <row r="57">
      <c r="A57" s="26" t="str">
        <f t="shared" si="1"/>
        <v>TRANS</v>
      </c>
      <c r="B57" s="26" t="str">
        <f t="shared" si="2"/>
        <v/>
      </c>
      <c r="C57" s="186">
        <f t="shared" si="3"/>
        <v>-0.000005</v>
      </c>
      <c r="D57" s="179" t="s">
        <v>562</v>
      </c>
      <c r="E57" s="174">
        <f>IFERROR(__xludf.DUMMYFUNCTION("IF(D57&lt;&gt;"""",SPLIT(D57,"" 
""),)"),23.015601575)</f>
        <v>23.01560158</v>
      </c>
      <c r="F57" s="174" t="str">
        <f>IFERROR(__xludf.DUMMYFUNCTION("""COMPUTED_VALUE"""),"stSOL")</f>
        <v>stSOL</v>
      </c>
      <c r="G57" s="174">
        <f>IFERROR(__xludf.DUMMYFUNCTION("""COMPUTED_VALUE"""),-23.680005)</f>
        <v>-23.680005</v>
      </c>
      <c r="H57" s="174" t="str">
        <f>IFERROR(__xludf.DUMMYFUNCTION("""COMPUTED_VALUE"""),"SOL")</f>
        <v>SOL</v>
      </c>
    </row>
    <row r="58">
      <c r="A58" s="26" t="str">
        <f t="shared" si="1"/>
        <v>RECV</v>
      </c>
      <c r="B58" s="26" t="str">
        <f t="shared" si="2"/>
        <v/>
      </c>
      <c r="C58" s="186" t="str">
        <f t="shared" si="3"/>
        <v/>
      </c>
      <c r="D58" s="179" t="s">
        <v>563</v>
      </c>
      <c r="E58" s="174">
        <f>IFERROR(__xludf.DUMMYFUNCTION("IF(D58&lt;&gt;"""",SPLIT(D58,"" 
""),)"),23.679995)</f>
        <v>23.679995</v>
      </c>
      <c r="F58" s="174" t="str">
        <f>IFERROR(__xludf.DUMMYFUNCTION("""COMPUTED_VALUE"""),"SOL")</f>
        <v>SOL</v>
      </c>
      <c r="G58" s="174"/>
      <c r="H58" s="174"/>
    </row>
    <row r="59">
      <c r="A59" s="26" t="str">
        <f t="shared" si="1"/>
        <v>TRANS</v>
      </c>
      <c r="B59" s="26" t="str">
        <f t="shared" si="2"/>
        <v/>
      </c>
      <c r="C59" s="186">
        <f t="shared" si="3"/>
        <v>-0.000005</v>
      </c>
      <c r="D59" s="179" t="s">
        <v>564</v>
      </c>
      <c r="E59" s="174">
        <f>IFERROR(__xludf.DUMMYFUNCTION("IF(D59&lt;&gt;"""",SPLIT(D59,"" 
""),)"),-12.819863707)</f>
        <v>-12.81986371</v>
      </c>
      <c r="F59" s="174" t="str">
        <f>IFERROR(__xludf.DUMMYFUNCTION("""COMPUTED_VALUE"""),"stSOL")</f>
        <v>stSOL</v>
      </c>
      <c r="G59" s="174">
        <f>IFERROR(__xludf.DUMMYFUNCTION("""COMPUTED_VALUE"""),-5.0E-6)</f>
        <v>-0.000005</v>
      </c>
      <c r="H59" s="174" t="str">
        <f>IFERROR(__xludf.DUMMYFUNCTION("""COMPUTED_VALUE"""),"SOL")</f>
        <v>SOL</v>
      </c>
    </row>
    <row r="60">
      <c r="A60" s="26" t="str">
        <f t="shared" si="1"/>
        <v>TRANS</v>
      </c>
      <c r="B60" s="26" t="str">
        <f t="shared" si="2"/>
        <v/>
      </c>
      <c r="C60" s="186">
        <f t="shared" si="3"/>
        <v>-0.000005</v>
      </c>
      <c r="D60" s="179" t="s">
        <v>565</v>
      </c>
      <c r="E60" s="174">
        <f>IFERROR(__xludf.DUMMYFUNCTION("IF(D60&lt;&gt;"""",SPLIT(D60,"" 
""),)"),12.72272908)</f>
        <v>12.72272908</v>
      </c>
      <c r="F60" s="174" t="str">
        <f>IFERROR(__xludf.DUMMYFUNCTION("""COMPUTED_VALUE"""),"stSOL")</f>
        <v>stSOL</v>
      </c>
      <c r="G60" s="174">
        <f>IFERROR(__xludf.DUMMYFUNCTION("""COMPUTED_VALUE"""),-13.090005)</f>
        <v>-13.090005</v>
      </c>
      <c r="H60" s="174" t="str">
        <f>IFERROR(__xludf.DUMMYFUNCTION("""COMPUTED_VALUE"""),"SOL")</f>
        <v>SOL</v>
      </c>
    </row>
    <row r="61">
      <c r="A61" s="26" t="str">
        <f t="shared" si="1"/>
        <v>RECV</v>
      </c>
      <c r="B61" s="26" t="str">
        <f t="shared" si="2"/>
        <v/>
      </c>
      <c r="C61" s="186" t="str">
        <f t="shared" si="3"/>
        <v/>
      </c>
      <c r="D61" s="179" t="s">
        <v>566</v>
      </c>
      <c r="E61" s="174">
        <f>IFERROR(__xludf.DUMMYFUNCTION("IF(D61&lt;&gt;"""",SPLIT(D61,"" 
""),)"),13.08638106)</f>
        <v>13.08638106</v>
      </c>
      <c r="F61" s="174" t="str">
        <f>IFERROR(__xludf.DUMMYFUNCTION("""COMPUTED_VALUE"""),"SOL")</f>
        <v>SOL</v>
      </c>
      <c r="G61" s="174"/>
      <c r="H61" s="174"/>
    </row>
    <row r="62">
      <c r="A62" s="26" t="str">
        <f t="shared" si="1"/>
        <v>TRANS</v>
      </c>
      <c r="B62" s="26" t="str">
        <f t="shared" si="2"/>
        <v/>
      </c>
      <c r="C62" s="186" t="str">
        <f t="shared" si="3"/>
        <v/>
      </c>
      <c r="D62" s="179" t="s">
        <v>567</v>
      </c>
      <c r="E62" s="174">
        <f>IFERROR(__xludf.DUMMYFUNCTION("IF(D62&lt;&gt;"""",SPLIT(D62,"" 
""),)"),1.0475955)</f>
        <v>1.0475955</v>
      </c>
      <c r="F62" s="174" t="str">
        <f>IFERROR(__xludf.DUMMYFUNCTION("""COMPUTED_VALUE"""),"LDO")</f>
        <v>LDO</v>
      </c>
    </row>
    <row r="63">
      <c r="A63" s="26" t="str">
        <f t="shared" si="1"/>
        <v>stSOL-LDO</v>
      </c>
      <c r="B63" s="26">
        <f t="shared" si="2"/>
        <v>-0.02621986837</v>
      </c>
      <c r="C63" s="186">
        <f t="shared" si="3"/>
        <v>-0.000005</v>
      </c>
      <c r="D63" s="179" t="s">
        <v>568</v>
      </c>
      <c r="E63" s="174">
        <f>IFERROR(__xludf.DUMMYFUNCTION("IF(D63&lt;&gt;"""",SPLIT(D63,"" 
""),)"),0.097134627)</f>
        <v>0.097134627</v>
      </c>
      <c r="F63" s="174" t="str">
        <f>IFERROR(__xludf.DUMMYFUNCTION("""COMPUTED_VALUE"""),"stSOL")</f>
        <v>stSOL</v>
      </c>
      <c r="G63" s="174">
        <f>IFERROR(__xludf.DUMMYFUNCTION("""COMPUTED_VALUE"""),-3.70461917)</f>
        <v>-3.70461917</v>
      </c>
      <c r="H63" s="174" t="str">
        <f>IFERROR(__xludf.DUMMYFUNCTION("""COMPUTED_VALUE"""),"LDO")</f>
        <v>LDO</v>
      </c>
      <c r="I63" s="174">
        <f>IFERROR(__xludf.DUMMYFUNCTION("""COMPUTED_VALUE"""),-5.0E-6)</f>
        <v>-0.000005</v>
      </c>
      <c r="J63" s="174" t="str">
        <f>IFERROR(__xludf.DUMMYFUNCTION("""COMPUTED_VALUE"""),"SOL")</f>
        <v>SOL</v>
      </c>
    </row>
    <row r="64">
      <c r="A64" s="26" t="str">
        <f t="shared" si="1"/>
        <v>TRANS</v>
      </c>
      <c r="B64" s="26" t="str">
        <f t="shared" si="2"/>
        <v/>
      </c>
      <c r="C64" s="186">
        <f t="shared" si="3"/>
        <v>-0.000005</v>
      </c>
      <c r="D64" s="179" t="s">
        <v>569</v>
      </c>
      <c r="E64" s="174">
        <f>IFERROR(__xludf.DUMMYFUNCTION("IF(D64&lt;&gt;"""",SPLIT(D64,"" 
""),)"),96.765486)</f>
        <v>96.765486</v>
      </c>
      <c r="F64" s="174" t="str">
        <f>IFERROR(__xludf.DUMMYFUNCTION("""COMPUTED_VALUE"""),"LARIX")</f>
        <v>LARIX</v>
      </c>
      <c r="G64" s="174">
        <f>IFERROR(__xludf.DUMMYFUNCTION("""COMPUTED_VALUE"""),-5.0E-6)</f>
        <v>-0.000005</v>
      </c>
      <c r="H64" s="174" t="str">
        <f>IFERROR(__xludf.DUMMYFUNCTION("""COMPUTED_VALUE"""),"SOL")</f>
        <v>SOL</v>
      </c>
    </row>
    <row r="65">
      <c r="A65" s="26" t="str">
        <f t="shared" si="1"/>
        <v>TRANS</v>
      </c>
      <c r="B65" s="26" t="str">
        <f t="shared" si="2"/>
        <v/>
      </c>
      <c r="C65" s="186">
        <f t="shared" si="3"/>
        <v>-0.000005</v>
      </c>
      <c r="D65" s="179" t="s">
        <v>570</v>
      </c>
      <c r="E65" s="174">
        <f>IFERROR(__xludf.DUMMYFUNCTION("IF(D65&lt;&gt;"""",SPLIT(D65,"" 
""),)"),-9.563915519)</f>
        <v>-9.563915519</v>
      </c>
      <c r="F65" s="174" t="str">
        <f>IFERROR(__xludf.DUMMYFUNCTION("""COMPUTED_VALUE"""),"stSOL")</f>
        <v>stSOL</v>
      </c>
      <c r="G65" s="174">
        <f>IFERROR(__xludf.DUMMYFUNCTION("""COMPUTED_VALUE"""),-5.0E-6)</f>
        <v>-0.000005</v>
      </c>
      <c r="H65" s="174" t="str">
        <f>IFERROR(__xludf.DUMMYFUNCTION("""COMPUTED_VALUE"""),"SOL")</f>
        <v>SOL</v>
      </c>
    </row>
    <row r="66">
      <c r="A66" s="26" t="str">
        <f t="shared" si="1"/>
        <v>TRANS</v>
      </c>
      <c r="B66" s="26" t="str">
        <f t="shared" si="2"/>
        <v/>
      </c>
      <c r="C66" s="186">
        <f t="shared" si="3"/>
        <v>-0.000005</v>
      </c>
      <c r="D66" s="179" t="s">
        <v>571</v>
      </c>
      <c r="E66" s="174">
        <f>IFERROR(__xludf.DUMMYFUNCTION("IF(D66&lt;&gt;"""",SPLIT(D66,"" 
""),)"),9.563915519)</f>
        <v>9.563915519</v>
      </c>
      <c r="F66" s="174" t="str">
        <f>IFERROR(__xludf.DUMMYFUNCTION("""COMPUTED_VALUE"""),"stSOL")</f>
        <v>stSOL</v>
      </c>
      <c r="G66" s="174">
        <f>IFERROR(__xludf.DUMMYFUNCTION("""COMPUTED_VALUE"""),-9.840005)</f>
        <v>-9.840005</v>
      </c>
      <c r="H66" s="174" t="str">
        <f>IFERROR(__xludf.DUMMYFUNCTION("""COMPUTED_VALUE"""),"SOL")</f>
        <v>SOL</v>
      </c>
    </row>
    <row r="67">
      <c r="A67" s="26" t="str">
        <f t="shared" si="1"/>
        <v>RECV</v>
      </c>
      <c r="B67" s="26" t="str">
        <f t="shared" si="2"/>
        <v/>
      </c>
      <c r="C67" s="186" t="str">
        <f t="shared" si="3"/>
        <v/>
      </c>
      <c r="D67" s="179" t="s">
        <v>572</v>
      </c>
      <c r="E67" s="174">
        <f>IFERROR(__xludf.DUMMYFUNCTION("IF(D67&lt;&gt;"""",SPLIT(D67,"" 
""),)"),9.839995)</f>
        <v>9.839995</v>
      </c>
      <c r="F67" s="174" t="str">
        <f>IFERROR(__xludf.DUMMYFUNCTION("""COMPUTED_VALUE"""),"SOL")</f>
        <v>SOL</v>
      </c>
      <c r="G67" s="174"/>
      <c r="H67" s="174"/>
    </row>
    <row r="68">
      <c r="A68" s="26" t="str">
        <f t="shared" si="1"/>
        <v>TRANS</v>
      </c>
      <c r="B68" s="26" t="str">
        <f t="shared" si="2"/>
        <v/>
      </c>
      <c r="C68" s="186">
        <f t="shared" si="3"/>
        <v>-0.000005</v>
      </c>
      <c r="D68" s="179" t="s">
        <v>573</v>
      </c>
      <c r="E68" s="174">
        <f>IFERROR(__xludf.DUMMYFUNCTION("IF(D68&lt;&gt;"""",SPLIT(D68,"" 
""),)"),-12.761606785)</f>
        <v>-12.76160679</v>
      </c>
      <c r="F68" s="174" t="str">
        <f>IFERROR(__xludf.DUMMYFUNCTION("""COMPUTED_VALUE"""),"stSOL")</f>
        <v>stSOL</v>
      </c>
      <c r="G68" s="174">
        <f>IFERROR(__xludf.DUMMYFUNCTION("""COMPUTED_VALUE"""),-5.0E-6)</f>
        <v>-0.000005</v>
      </c>
      <c r="H68" s="174" t="str">
        <f>IFERROR(__xludf.DUMMYFUNCTION("""COMPUTED_VALUE"""),"SOL")</f>
        <v>SOL</v>
      </c>
    </row>
    <row r="69">
      <c r="A69" s="26" t="str">
        <f t="shared" si="1"/>
        <v>TRANS</v>
      </c>
      <c r="B69" s="26" t="str">
        <f t="shared" si="2"/>
        <v/>
      </c>
      <c r="C69" s="186">
        <f t="shared" si="3"/>
        <v>-0.000005</v>
      </c>
      <c r="D69" s="179" t="s">
        <v>574</v>
      </c>
      <c r="E69" s="174">
        <f>IFERROR(__xludf.DUMMYFUNCTION("IF(D69&lt;&gt;"""",SPLIT(D69,"" 
""),)"),12.761606785)</f>
        <v>12.76160679</v>
      </c>
      <c r="F69" s="174" t="str">
        <f>IFERROR(__xludf.DUMMYFUNCTION("""COMPUTED_VALUE"""),"stSOL")</f>
        <v>stSOL</v>
      </c>
      <c r="G69" s="174">
        <f>IFERROR(__xludf.DUMMYFUNCTION("""COMPUTED_VALUE"""),-13.130005)</f>
        <v>-13.130005</v>
      </c>
      <c r="H69" s="174" t="str">
        <f>IFERROR(__xludf.DUMMYFUNCTION("""COMPUTED_VALUE"""),"SOL")</f>
        <v>SOL</v>
      </c>
    </row>
    <row r="70">
      <c r="A70" s="26" t="str">
        <f t="shared" si="1"/>
        <v>RECV</v>
      </c>
      <c r="B70" s="26" t="str">
        <f t="shared" si="2"/>
        <v/>
      </c>
      <c r="C70" s="186" t="str">
        <f t="shared" si="3"/>
        <v/>
      </c>
      <c r="D70" s="179" t="s">
        <v>575</v>
      </c>
      <c r="E70" s="174">
        <f>IFERROR(__xludf.DUMMYFUNCTION("IF(D70&lt;&gt;"""",SPLIT(D70,"" 
""),)"),13.06319325)</f>
        <v>13.06319325</v>
      </c>
      <c r="F70" s="174" t="str">
        <f>IFERROR(__xludf.DUMMYFUNCTION("""COMPUTED_VALUE"""),"SOL")</f>
        <v>SOL</v>
      </c>
      <c r="G70" s="174"/>
      <c r="H70" s="174"/>
    </row>
    <row r="71">
      <c r="A71" s="26" t="str">
        <f t="shared" si="1"/>
        <v>TRANS</v>
      </c>
      <c r="B71" s="26" t="str">
        <f t="shared" si="2"/>
        <v/>
      </c>
      <c r="C71" s="186" t="str">
        <f t="shared" si="3"/>
        <v/>
      </c>
      <c r="D71" s="179" t="s">
        <v>576</v>
      </c>
      <c r="E71" s="174">
        <f>IFERROR(__xludf.DUMMYFUNCTION("IF(D71&lt;&gt;"""",SPLIT(D71,"" 
""),)"),0.90604598)</f>
        <v>0.90604598</v>
      </c>
      <c r="F71" s="174" t="str">
        <f>IFERROR(__xludf.DUMMYFUNCTION("""COMPUTED_VALUE"""),"LDO")</f>
        <v>LDO</v>
      </c>
    </row>
    <row r="72">
      <c r="A72" s="26" t="str">
        <f t="shared" si="1"/>
        <v>TRANS</v>
      </c>
      <c r="B72" s="26" t="str">
        <f t="shared" si="2"/>
        <v/>
      </c>
      <c r="C72" s="186" t="str">
        <f t="shared" si="3"/>
        <v/>
      </c>
      <c r="D72" s="179" t="s">
        <v>577</v>
      </c>
      <c r="E72" s="174">
        <f>IFERROR(__xludf.DUMMYFUNCTION("IF(D72&lt;&gt;"""",SPLIT(D72,"" 
""),)"),0.907307)</f>
        <v>0.907307</v>
      </c>
      <c r="F72" s="174" t="str">
        <f>IFERROR(__xludf.DUMMYFUNCTION("""COMPUTED_VALUE"""),"LDO")</f>
        <v>LDO</v>
      </c>
    </row>
    <row r="73">
      <c r="A73" s="26" t="str">
        <f t="shared" si="1"/>
        <v>TRANS</v>
      </c>
      <c r="B73" s="26" t="str">
        <f t="shared" si="2"/>
        <v/>
      </c>
      <c r="C73" s="186" t="str">
        <f t="shared" si="3"/>
        <v/>
      </c>
      <c r="D73" s="179" t="s">
        <v>578</v>
      </c>
      <c r="E73" s="174">
        <f>IFERROR(__xludf.DUMMYFUNCTION("IF(D73&lt;&gt;"""",SPLIT(D73,"" 
""),)"),0.69061369)</f>
        <v>0.69061369</v>
      </c>
      <c r="F73" s="174" t="str">
        <f>IFERROR(__xludf.DUMMYFUNCTION("""COMPUTED_VALUE"""),"LDO")</f>
        <v>LDO</v>
      </c>
    </row>
    <row r="74">
      <c r="A74" s="26" t="str">
        <f t="shared" si="1"/>
        <v>RECV</v>
      </c>
      <c r="B74" s="26" t="str">
        <f t="shared" si="2"/>
        <v/>
      </c>
      <c r="C74" s="186" t="str">
        <f t="shared" si="3"/>
        <v/>
      </c>
      <c r="D74" s="179" t="s">
        <v>579</v>
      </c>
      <c r="E74" s="174">
        <f>IFERROR(__xludf.DUMMYFUNCTION("IF(D74&lt;&gt;"""",SPLIT(D74,"" 
""),)"),0.06784533)</f>
        <v>0.06784533</v>
      </c>
      <c r="F74" s="174" t="str">
        <f>IFERROR(__xludf.DUMMYFUNCTION("""COMPUTED_VALUE"""),"SOL")</f>
        <v>SOL</v>
      </c>
      <c r="G74" s="174"/>
      <c r="H74" s="174"/>
    </row>
    <row r="75">
      <c r="A75" s="26" t="str">
        <f t="shared" si="1"/>
        <v>TRANS</v>
      </c>
      <c r="B75" s="26" t="str">
        <f t="shared" si="2"/>
        <v/>
      </c>
      <c r="C75" s="186">
        <f t="shared" si="3"/>
        <v>-0.00204428</v>
      </c>
      <c r="D75" s="179" t="s">
        <v>580</v>
      </c>
      <c r="E75" s="174">
        <f>IFERROR(__xludf.DUMMYFUNCTION("IF(D75&lt;&gt;"""",SPLIT(D75,"" 
""),)"),-41.857517)</f>
        <v>-41.857517</v>
      </c>
      <c r="F75" s="174" t="str">
        <f>IFERROR(__xludf.DUMMYFUNCTION("""COMPUTED_VALUE"""),"UST")</f>
        <v>UST</v>
      </c>
      <c r="G75" s="174">
        <f>IFERROR(__xludf.DUMMYFUNCTION("""COMPUTED_VALUE"""),-0.00204428)</f>
        <v>-0.00204428</v>
      </c>
      <c r="H75" s="174" t="str">
        <f>IFERROR(__xludf.DUMMYFUNCTION("""COMPUTED_VALUE"""),"SOL")</f>
        <v>SOL</v>
      </c>
    </row>
    <row r="76">
      <c r="A76" s="26" t="str">
        <f t="shared" si="1"/>
        <v>UST-USDC</v>
      </c>
      <c r="B76" s="26">
        <f t="shared" si="2"/>
        <v>-0.9956188981</v>
      </c>
      <c r="C76" s="186">
        <f t="shared" si="3"/>
        <v>-0.00204428</v>
      </c>
      <c r="D76" s="179" t="s">
        <v>581</v>
      </c>
      <c r="E76" s="174">
        <f>IFERROR(__xludf.DUMMYFUNCTION("IF(D76&lt;&gt;"""",SPLIT(D76,"" 
""),)"),41.857517)</f>
        <v>41.857517</v>
      </c>
      <c r="F76" s="174" t="str">
        <f>IFERROR(__xludf.DUMMYFUNCTION("""COMPUTED_VALUE"""),"UST")</f>
        <v>UST</v>
      </c>
      <c r="G76" s="174">
        <f>IFERROR(__xludf.DUMMYFUNCTION("""COMPUTED_VALUE"""),-42.041706)</f>
        <v>-42.041706</v>
      </c>
      <c r="H76" s="174" t="str">
        <f>IFERROR(__xludf.DUMMYFUNCTION("""COMPUTED_VALUE"""),"USDC")</f>
        <v>USDC</v>
      </c>
      <c r="I76" s="174">
        <f>IFERROR(__xludf.DUMMYFUNCTION("""COMPUTED_VALUE"""),-0.00204428)</f>
        <v>-0.00204428</v>
      </c>
      <c r="J76" s="174" t="str">
        <f>IFERROR(__xludf.DUMMYFUNCTION("""COMPUTED_VALUE"""),"SOL")</f>
        <v>SOL</v>
      </c>
    </row>
    <row r="77">
      <c r="A77" s="26" t="str">
        <f t="shared" si="1"/>
        <v>TRANS</v>
      </c>
      <c r="B77" s="26" t="str">
        <f t="shared" si="2"/>
        <v/>
      </c>
      <c r="C77" s="186">
        <f t="shared" si="3"/>
        <v>-0.000005</v>
      </c>
      <c r="D77" s="179" t="s">
        <v>582</v>
      </c>
      <c r="E77" s="174">
        <f>IFERROR(__xludf.DUMMYFUNCTION("IF(D77&lt;&gt;"""",SPLIT(D77,"" 
""),)"),42.041706)</f>
        <v>42.041706</v>
      </c>
      <c r="F77" s="174" t="str">
        <f>IFERROR(__xludf.DUMMYFUNCTION("""COMPUTED_VALUE"""),"USDC")</f>
        <v>USDC</v>
      </c>
      <c r="G77" s="174">
        <f>IFERROR(__xludf.DUMMYFUNCTION("""COMPUTED_VALUE"""),-5.0E-6)</f>
        <v>-0.000005</v>
      </c>
      <c r="H77" s="174" t="str">
        <f>IFERROR(__xludf.DUMMYFUNCTION("""COMPUTED_VALUE"""),"SOL")</f>
        <v>SOL</v>
      </c>
    </row>
    <row r="78">
      <c r="A78" s="26" t="str">
        <f t="shared" si="1"/>
        <v>TRANS</v>
      </c>
      <c r="B78" s="26" t="str">
        <f t="shared" si="2"/>
        <v/>
      </c>
      <c r="C78" s="186">
        <f t="shared" si="3"/>
        <v>-0.000005</v>
      </c>
      <c r="D78" s="179" t="s">
        <v>583</v>
      </c>
      <c r="E78" s="174">
        <f>IFERROR(__xludf.DUMMYFUNCTION("IF(D78&lt;&gt;"""",SPLIT(D78,"" 
""),)"),-6.952456147)</f>
        <v>-6.952456147</v>
      </c>
      <c r="F78" s="174" t="str">
        <f>IFERROR(__xludf.DUMMYFUNCTION("""COMPUTED_VALUE"""),"stSOL")</f>
        <v>stSOL</v>
      </c>
      <c r="G78" s="174">
        <f>IFERROR(__xludf.DUMMYFUNCTION("""COMPUTED_VALUE"""),-5.0E-6)</f>
        <v>-0.000005</v>
      </c>
      <c r="H78" s="174" t="str">
        <f>IFERROR(__xludf.DUMMYFUNCTION("""COMPUTED_VALUE"""),"SOL")</f>
        <v>SOL</v>
      </c>
    </row>
    <row r="79">
      <c r="A79" s="26" t="str">
        <f t="shared" si="1"/>
        <v>TRANS</v>
      </c>
      <c r="B79" s="26" t="str">
        <f t="shared" si="2"/>
        <v/>
      </c>
      <c r="C79" s="186">
        <f t="shared" si="3"/>
        <v>-0.000005</v>
      </c>
      <c r="D79" s="179" t="s">
        <v>584</v>
      </c>
      <c r="E79" s="174">
        <f>IFERROR(__xludf.DUMMYFUNCTION("IF(D79&lt;&gt;"""",SPLIT(D79,"" 
""),)"),6.952456147)</f>
        <v>6.952456147</v>
      </c>
      <c r="F79" s="174" t="str">
        <f>IFERROR(__xludf.DUMMYFUNCTION("""COMPUTED_VALUE"""),"stSOL")</f>
        <v>stSOL</v>
      </c>
      <c r="G79" s="174">
        <f>IFERROR(__xludf.DUMMYFUNCTION("""COMPUTED_VALUE"""),-7.150005)</f>
        <v>-7.150005</v>
      </c>
      <c r="H79" s="174" t="str">
        <f>IFERROR(__xludf.DUMMYFUNCTION("""COMPUTED_VALUE"""),"SOL")</f>
        <v>SOL</v>
      </c>
    </row>
    <row r="80">
      <c r="A80" s="26" t="str">
        <f t="shared" si="1"/>
        <v>RECV</v>
      </c>
      <c r="B80" s="26" t="str">
        <f t="shared" si="2"/>
        <v/>
      </c>
      <c r="C80" s="186" t="str">
        <f t="shared" si="3"/>
        <v/>
      </c>
      <c r="D80" s="179" t="s">
        <v>585</v>
      </c>
      <c r="E80" s="174">
        <f>IFERROR(__xludf.DUMMYFUNCTION("IF(D80&lt;&gt;"""",SPLIT(D80,"" 
""),)"),7.149995)</f>
        <v>7.149995</v>
      </c>
      <c r="F80" s="174" t="str">
        <f>IFERROR(__xludf.DUMMYFUNCTION("""COMPUTED_VALUE"""),"SOL")</f>
        <v>SOL</v>
      </c>
      <c r="G80" s="174"/>
      <c r="H80" s="174"/>
    </row>
    <row r="81">
      <c r="A81" s="26" t="str">
        <f t="shared" si="1"/>
        <v>TRANS</v>
      </c>
      <c r="B81" s="26" t="str">
        <f t="shared" si="2"/>
        <v/>
      </c>
      <c r="C81" s="186">
        <f t="shared" si="3"/>
        <v>-0.000005</v>
      </c>
      <c r="D81" s="179" t="s">
        <v>586</v>
      </c>
      <c r="E81" s="174">
        <f>IFERROR(__xludf.DUMMYFUNCTION("IF(D81&lt;&gt;"""",SPLIT(D81,"" 
""),)"),-11.755971304)</f>
        <v>-11.7559713</v>
      </c>
      <c r="F81" s="174" t="str">
        <f>IFERROR(__xludf.DUMMYFUNCTION("""COMPUTED_VALUE"""),"stSOL")</f>
        <v>stSOL</v>
      </c>
      <c r="G81" s="174">
        <f>IFERROR(__xludf.DUMMYFUNCTION("""COMPUTED_VALUE"""),-5.0E-6)</f>
        <v>-0.000005</v>
      </c>
      <c r="H81" s="174" t="str">
        <f>IFERROR(__xludf.DUMMYFUNCTION("""COMPUTED_VALUE"""),"SOL")</f>
        <v>SOL</v>
      </c>
    </row>
    <row r="82">
      <c r="A82" s="26" t="str">
        <f t="shared" si="1"/>
        <v>TRANS</v>
      </c>
      <c r="B82" s="26" t="str">
        <f t="shared" si="2"/>
        <v/>
      </c>
      <c r="C82" s="186">
        <f t="shared" si="3"/>
        <v>-0.000005</v>
      </c>
      <c r="D82" s="179" t="s">
        <v>587</v>
      </c>
      <c r="E82" s="174">
        <f>IFERROR(__xludf.DUMMYFUNCTION("IF(D82&lt;&gt;"""",SPLIT(D82,"" 
""),)"),11.755971304)</f>
        <v>11.7559713</v>
      </c>
      <c r="F82" s="174" t="str">
        <f>IFERROR(__xludf.DUMMYFUNCTION("""COMPUTED_VALUE"""),"stSOL")</f>
        <v>stSOL</v>
      </c>
      <c r="G82" s="174">
        <f>IFERROR(__xludf.DUMMYFUNCTION("""COMPUTED_VALUE"""),-12.090005)</f>
        <v>-12.090005</v>
      </c>
      <c r="H82" s="174" t="str">
        <f>IFERROR(__xludf.DUMMYFUNCTION("""COMPUTED_VALUE"""),"SOL")</f>
        <v>SOL</v>
      </c>
    </row>
    <row r="83">
      <c r="A83" s="26" t="str">
        <f t="shared" si="1"/>
        <v>RECV</v>
      </c>
      <c r="B83" s="26" t="str">
        <f t="shared" si="2"/>
        <v/>
      </c>
      <c r="C83" s="186" t="str">
        <f t="shared" si="3"/>
        <v/>
      </c>
      <c r="D83" s="179" t="s">
        <v>588</v>
      </c>
      <c r="E83" s="174">
        <f>IFERROR(__xludf.DUMMYFUNCTION("IF(D83&lt;&gt;"""",SPLIT(D83,"" 
""),)"),12.09006818)</f>
        <v>12.09006818</v>
      </c>
      <c r="F83" s="174" t="str">
        <f>IFERROR(__xludf.DUMMYFUNCTION("""COMPUTED_VALUE"""),"SOL")</f>
        <v>SOL</v>
      </c>
      <c r="G83" s="174"/>
      <c r="H83" s="174"/>
    </row>
    <row r="84">
      <c r="A84" s="26" t="str">
        <f t="shared" si="1"/>
        <v>TRANS</v>
      </c>
      <c r="B84" s="26" t="str">
        <f t="shared" si="2"/>
        <v/>
      </c>
      <c r="C84" s="186">
        <f t="shared" si="3"/>
        <v>-0.000005</v>
      </c>
      <c r="D84" s="179" t="s">
        <v>548</v>
      </c>
      <c r="E84" s="174">
        <f>IFERROR(__xludf.DUMMYFUNCTION("IF(D84&lt;&gt;"""",SPLIT(D84,"" 
""),)"),-5.0E-6)</f>
        <v>-0.000005</v>
      </c>
      <c r="F84" s="174" t="str">
        <f>IFERROR(__xludf.DUMMYFUNCTION("""COMPUTED_VALUE"""),"SOL")</f>
        <v>SOL</v>
      </c>
    </row>
    <row r="85">
      <c r="A85" s="26" t="str">
        <f t="shared" si="1"/>
        <v>TRANS</v>
      </c>
      <c r="B85" s="26" t="str">
        <f t="shared" si="2"/>
        <v/>
      </c>
      <c r="C85" s="186">
        <f t="shared" si="3"/>
        <v>-0.00204428</v>
      </c>
      <c r="D85" s="179" t="s">
        <v>589</v>
      </c>
      <c r="E85" s="174">
        <f>IFERROR(__xludf.DUMMYFUNCTION("IF(D85&lt;&gt;"""",SPLIT(D85,"" 
""),)"),-0.159965)</f>
        <v>-0.159965</v>
      </c>
      <c r="F85" s="174" t="str">
        <f>IFERROR(__xludf.DUMMYFUNCTION("""COMPUTED_VALUE"""),"USDC")</f>
        <v>USDC</v>
      </c>
      <c r="G85" s="174">
        <f>IFERROR(__xludf.DUMMYFUNCTION("""COMPUTED_VALUE"""),-0.00204428)</f>
        <v>-0.00204428</v>
      </c>
      <c r="H85" s="174" t="str">
        <f>IFERROR(__xludf.DUMMYFUNCTION("""COMPUTED_VALUE"""),"SOL")</f>
        <v>SOL</v>
      </c>
    </row>
    <row r="86">
      <c r="A86" s="26" t="str">
        <f t="shared" si="1"/>
        <v>USDC-LARIX</v>
      </c>
      <c r="B86" s="26">
        <f t="shared" si="2"/>
        <v>-0.004442309201</v>
      </c>
      <c r="C86" s="186">
        <f t="shared" si="3"/>
        <v>-0.000005</v>
      </c>
      <c r="D86" s="179" t="s">
        <v>590</v>
      </c>
      <c r="E86" s="174">
        <f>IFERROR(__xludf.DUMMYFUNCTION("IF(D86&lt;&gt;"""",SPLIT(D86,"" 
""),)"),0.159965)</f>
        <v>0.159965</v>
      </c>
      <c r="F86" s="174" t="str">
        <f>IFERROR(__xludf.DUMMYFUNCTION("""COMPUTED_VALUE"""),"USDC")</f>
        <v>USDC</v>
      </c>
      <c r="G86" s="174">
        <f>IFERROR(__xludf.DUMMYFUNCTION("""COMPUTED_VALUE"""),-36.009425)</f>
        <v>-36.009425</v>
      </c>
      <c r="H86" s="174" t="str">
        <f>IFERROR(__xludf.DUMMYFUNCTION("""COMPUTED_VALUE"""),"LARIX")</f>
        <v>LARIX</v>
      </c>
      <c r="I86" s="174">
        <f>IFERROR(__xludf.DUMMYFUNCTION("""COMPUTED_VALUE"""),-5.0E-6)</f>
        <v>-0.000005</v>
      </c>
      <c r="J86" s="174" t="str">
        <f>IFERROR(__xludf.DUMMYFUNCTION("""COMPUTED_VALUE"""),"SOL")</f>
        <v>SOL</v>
      </c>
    </row>
    <row r="87">
      <c r="A87" s="26" t="str">
        <f t="shared" si="1"/>
        <v>TRANS</v>
      </c>
      <c r="B87" s="26" t="str">
        <f t="shared" si="2"/>
        <v/>
      </c>
      <c r="C87" s="186">
        <f t="shared" si="3"/>
        <v>-0.000005</v>
      </c>
      <c r="D87" s="179" t="s">
        <v>591</v>
      </c>
      <c r="E87" s="174">
        <f>IFERROR(__xludf.DUMMYFUNCTION("IF(D87&lt;&gt;"""",SPLIT(D87,"" 
""),)"),35.301504)</f>
        <v>35.301504</v>
      </c>
      <c r="F87" s="174" t="str">
        <f>IFERROR(__xludf.DUMMYFUNCTION("""COMPUTED_VALUE"""),"LARIX")</f>
        <v>LARIX</v>
      </c>
      <c r="G87" s="174">
        <f>IFERROR(__xludf.DUMMYFUNCTION("""COMPUTED_VALUE"""),-5.0E-6)</f>
        <v>-0.000005</v>
      </c>
      <c r="H87" s="174" t="str">
        <f>IFERROR(__xludf.DUMMYFUNCTION("""COMPUTED_VALUE"""),"SOL")</f>
        <v>SOL</v>
      </c>
    </row>
    <row r="88">
      <c r="A88" s="26" t="str">
        <f t="shared" si="1"/>
        <v>TRANS</v>
      </c>
      <c r="B88" s="26" t="str">
        <f t="shared" si="2"/>
        <v/>
      </c>
      <c r="C88" s="186">
        <f t="shared" si="3"/>
        <v>-0.000005</v>
      </c>
      <c r="D88" s="179" t="s">
        <v>592</v>
      </c>
      <c r="E88" s="174">
        <f>IFERROR(__xludf.DUMMYFUNCTION("IF(D88&lt;&gt;"""",SPLIT(D88,"" 
""),)"),-13.956350747)</f>
        <v>-13.95635075</v>
      </c>
      <c r="F88" s="174" t="str">
        <f>IFERROR(__xludf.DUMMYFUNCTION("""COMPUTED_VALUE"""),"stSOL")</f>
        <v>stSOL</v>
      </c>
      <c r="G88" s="174">
        <f>IFERROR(__xludf.DUMMYFUNCTION("""COMPUTED_VALUE"""),-5.0E-6)</f>
        <v>-0.000005</v>
      </c>
      <c r="H88" s="174" t="str">
        <f>IFERROR(__xludf.DUMMYFUNCTION("""COMPUTED_VALUE"""),"SOL")</f>
        <v>SOL</v>
      </c>
    </row>
    <row r="89">
      <c r="A89" s="26" t="str">
        <f t="shared" si="1"/>
        <v>TRANS</v>
      </c>
      <c r="B89" s="26" t="str">
        <f t="shared" si="2"/>
        <v/>
      </c>
      <c r="C89" s="186">
        <f t="shared" si="3"/>
        <v>-0.000005</v>
      </c>
      <c r="D89" s="179" t="s">
        <v>593</v>
      </c>
      <c r="E89" s="174">
        <f>IFERROR(__xludf.DUMMYFUNCTION("IF(D89&lt;&gt;"""",SPLIT(D89,"" 
""),)"),13.956350747)</f>
        <v>13.95635075</v>
      </c>
      <c r="F89" s="174" t="str">
        <f>IFERROR(__xludf.DUMMYFUNCTION("""COMPUTED_VALUE"""),"stSOL")</f>
        <v>stSOL</v>
      </c>
      <c r="G89" s="174">
        <f>IFERROR(__xludf.DUMMYFUNCTION("""COMPUTED_VALUE"""),-14.352905)</f>
        <v>-14.352905</v>
      </c>
      <c r="H89" s="174" t="str">
        <f>IFERROR(__xludf.DUMMYFUNCTION("""COMPUTED_VALUE"""),"SOL")</f>
        <v>SOL</v>
      </c>
    </row>
    <row r="90">
      <c r="A90" s="26" t="str">
        <f t="shared" si="1"/>
        <v>RECV</v>
      </c>
      <c r="B90" s="26" t="str">
        <f t="shared" si="2"/>
        <v/>
      </c>
      <c r="C90" s="186" t="str">
        <f t="shared" si="3"/>
        <v/>
      </c>
      <c r="D90" s="179" t="s">
        <v>594</v>
      </c>
      <c r="E90" s="174">
        <f>IFERROR(__xludf.DUMMYFUNCTION("IF(D90&lt;&gt;"""",SPLIT(D90,"" 
""),)"),14.354995)</f>
        <v>14.354995</v>
      </c>
      <c r="F90" s="174" t="str">
        <f>IFERROR(__xludf.DUMMYFUNCTION("""COMPUTED_VALUE"""),"SOL")</f>
        <v>SOL</v>
      </c>
      <c r="G90" s="174"/>
      <c r="H90" s="174"/>
    </row>
    <row r="91">
      <c r="A91" s="26" t="str">
        <f t="shared" si="1"/>
        <v>TRANS</v>
      </c>
      <c r="B91" s="26" t="str">
        <f t="shared" si="2"/>
        <v/>
      </c>
      <c r="C91" s="186">
        <f t="shared" si="3"/>
        <v>-0.000005</v>
      </c>
      <c r="D91" s="179" t="s">
        <v>595</v>
      </c>
      <c r="E91" s="174">
        <f>IFERROR(__xludf.DUMMYFUNCTION("IF(D91&lt;&gt;"""",SPLIT(D91,"" 
""),)"),-12.410377316)</f>
        <v>-12.41037732</v>
      </c>
      <c r="F91" s="174" t="str">
        <f>IFERROR(__xludf.DUMMYFUNCTION("""COMPUTED_VALUE"""),"stSOL")</f>
        <v>stSOL</v>
      </c>
      <c r="G91" s="174">
        <f>IFERROR(__xludf.DUMMYFUNCTION("""COMPUTED_VALUE"""),-5.0E-6)</f>
        <v>-0.000005</v>
      </c>
      <c r="H91" s="174" t="str">
        <f>IFERROR(__xludf.DUMMYFUNCTION("""COMPUTED_VALUE"""),"SOL")</f>
        <v>SOL</v>
      </c>
    </row>
    <row r="92">
      <c r="A92" s="26" t="str">
        <f t="shared" si="1"/>
        <v>TRANS</v>
      </c>
      <c r="B92" s="26" t="str">
        <f t="shared" si="2"/>
        <v/>
      </c>
      <c r="C92" s="186">
        <f t="shared" si="3"/>
        <v>-0.000005</v>
      </c>
      <c r="D92" s="179" t="s">
        <v>596</v>
      </c>
      <c r="E92" s="174">
        <f>IFERROR(__xludf.DUMMYFUNCTION("IF(D92&lt;&gt;"""",SPLIT(D92,"" 
""),)"),12.410377316)</f>
        <v>12.41037732</v>
      </c>
      <c r="F92" s="174" t="str">
        <f>IFERROR(__xludf.DUMMYFUNCTION("""COMPUTED_VALUE"""),"stSOL")</f>
        <v>stSOL</v>
      </c>
      <c r="G92" s="174">
        <f>IFERROR(__xludf.DUMMYFUNCTION("""COMPUTED_VALUE"""),-12.763005)</f>
        <v>-12.763005</v>
      </c>
      <c r="H92" s="174" t="str">
        <f>IFERROR(__xludf.DUMMYFUNCTION("""COMPUTED_VALUE"""),"SOL")</f>
        <v>SOL</v>
      </c>
    </row>
    <row r="93">
      <c r="A93" s="26" t="str">
        <f t="shared" si="1"/>
        <v>RECV</v>
      </c>
      <c r="B93" s="26" t="str">
        <f t="shared" si="2"/>
        <v/>
      </c>
      <c r="C93" s="186" t="str">
        <f t="shared" si="3"/>
        <v/>
      </c>
      <c r="D93" s="179" t="s">
        <v>597</v>
      </c>
      <c r="E93" s="174">
        <f>IFERROR(__xludf.DUMMYFUNCTION("IF(D93&lt;&gt;"""",SPLIT(D93,"" 
""),)"),12.76300412)</f>
        <v>12.76300412</v>
      </c>
      <c r="F93" s="174" t="str">
        <f>IFERROR(__xludf.DUMMYFUNCTION("""COMPUTED_VALUE"""),"SOL")</f>
        <v>SOL</v>
      </c>
      <c r="G93" s="174"/>
      <c r="H93" s="174"/>
    </row>
    <row r="94">
      <c r="A94" s="26" t="str">
        <f t="shared" si="1"/>
        <v>TRANS</v>
      </c>
      <c r="B94" s="26" t="str">
        <f t="shared" si="2"/>
        <v/>
      </c>
      <c r="C94" s="186" t="str">
        <f t="shared" si="3"/>
        <v/>
      </c>
      <c r="D94" s="179" t="s">
        <v>598</v>
      </c>
      <c r="E94" s="174">
        <f>IFERROR(__xludf.DUMMYFUNCTION("IF(D94&lt;&gt;"""",SPLIT(D94,"" 
""),)"),0.48461008)</f>
        <v>0.48461008</v>
      </c>
      <c r="F94" s="174" t="str">
        <f>IFERROR(__xludf.DUMMYFUNCTION("""COMPUTED_VALUE"""),"LDO")</f>
        <v>LDO</v>
      </c>
    </row>
    <row r="95">
      <c r="A95" s="26" t="str">
        <f t="shared" si="1"/>
        <v>TRANS</v>
      </c>
      <c r="B95" s="26" t="str">
        <f t="shared" si="2"/>
        <v/>
      </c>
      <c r="C95" s="186" t="str">
        <f t="shared" si="3"/>
        <v/>
      </c>
      <c r="D95" s="179" t="s">
        <v>599</v>
      </c>
      <c r="E95" s="174">
        <f>IFERROR(__xludf.DUMMYFUNCTION("IF(D95&lt;&gt;"""",SPLIT(D95,"" 
""),)"),0.45469004)</f>
        <v>0.45469004</v>
      </c>
      <c r="F95" s="174" t="str">
        <f>IFERROR(__xludf.DUMMYFUNCTION("""COMPUTED_VALUE"""),"LDO")</f>
        <v>LDO</v>
      </c>
    </row>
    <row r="96">
      <c r="A96" s="26" t="str">
        <f t="shared" si="1"/>
        <v>TRANS</v>
      </c>
      <c r="B96" s="26" t="str">
        <f t="shared" si="2"/>
        <v/>
      </c>
      <c r="C96" s="186">
        <f t="shared" si="3"/>
        <v>-0.000005</v>
      </c>
      <c r="D96" s="179" t="s">
        <v>600</v>
      </c>
      <c r="E96" s="174">
        <f>IFERROR(__xludf.DUMMYFUNCTION("IF(D96&lt;&gt;"""",SPLIT(D96,"" 
""),)"),-11.518070077)</f>
        <v>-11.51807008</v>
      </c>
      <c r="F96" s="174" t="str">
        <f>IFERROR(__xludf.DUMMYFUNCTION("""COMPUTED_VALUE"""),"stSOL")</f>
        <v>stSOL</v>
      </c>
      <c r="G96" s="174">
        <f>IFERROR(__xludf.DUMMYFUNCTION("""COMPUTED_VALUE"""),-5.0E-6)</f>
        <v>-0.000005</v>
      </c>
      <c r="H96" s="174" t="str">
        <f>IFERROR(__xludf.DUMMYFUNCTION("""COMPUTED_VALUE"""),"SOL")</f>
        <v>SOL</v>
      </c>
    </row>
    <row r="97">
      <c r="A97" s="26" t="str">
        <f t="shared" si="1"/>
        <v>TRANS</v>
      </c>
      <c r="B97" s="26" t="str">
        <f t="shared" si="2"/>
        <v/>
      </c>
      <c r="C97" s="186">
        <f t="shared" si="3"/>
        <v>-0.000005</v>
      </c>
      <c r="D97" s="179" t="s">
        <v>601</v>
      </c>
      <c r="E97" s="174">
        <f>IFERROR(__xludf.DUMMYFUNCTION("IF(D97&lt;&gt;"""",SPLIT(D97,"" 
""),)"),11.518070077)</f>
        <v>11.51807008</v>
      </c>
      <c r="F97" s="174" t="str">
        <f>IFERROR(__xludf.DUMMYFUNCTION("""COMPUTED_VALUE"""),"stSOL")</f>
        <v>stSOL</v>
      </c>
      <c r="G97" s="174">
        <f>IFERROR(__xludf.DUMMYFUNCTION("""COMPUTED_VALUE"""),-11.840005)</f>
        <v>-11.840005</v>
      </c>
      <c r="H97" s="174" t="str">
        <f>IFERROR(__xludf.DUMMYFUNCTION("""COMPUTED_VALUE"""),"SOL")</f>
        <v>SOL</v>
      </c>
    </row>
    <row r="98">
      <c r="A98" s="26" t="str">
        <f t="shared" si="1"/>
        <v>RECV</v>
      </c>
      <c r="B98" s="26" t="str">
        <f t="shared" si="2"/>
        <v/>
      </c>
      <c r="C98" s="186" t="str">
        <f t="shared" si="3"/>
        <v/>
      </c>
      <c r="D98" s="179" t="s">
        <v>602</v>
      </c>
      <c r="E98" s="174">
        <f>IFERROR(__xludf.DUMMYFUNCTION("IF(D98&lt;&gt;"""",SPLIT(D98,"" 
""),)"),11.847995)</f>
        <v>11.847995</v>
      </c>
      <c r="F98" s="174" t="str">
        <f>IFERROR(__xludf.DUMMYFUNCTION("""COMPUTED_VALUE"""),"SOL")</f>
        <v>SOL</v>
      </c>
      <c r="G98" s="174"/>
      <c r="H98" s="174"/>
    </row>
    <row r="99">
      <c r="A99" s="26" t="str">
        <f t="shared" si="1"/>
        <v>TRANS</v>
      </c>
      <c r="B99" s="26" t="str">
        <f t="shared" si="2"/>
        <v/>
      </c>
      <c r="C99" s="186">
        <f t="shared" si="3"/>
        <v>0.00203428</v>
      </c>
      <c r="D99" s="179" t="s">
        <v>603</v>
      </c>
      <c r="E99" s="174">
        <f>IFERROR(__xludf.DUMMYFUNCTION("IF(D99&lt;&gt;"""",SPLIT(D99,"" 
""),)"),0.00203428)</f>
        <v>0.00203428</v>
      </c>
      <c r="F99" s="174" t="str">
        <f>IFERROR(__xludf.DUMMYFUNCTION("""COMPUTED_VALUE"""),"SOL")</f>
        <v>SOL</v>
      </c>
    </row>
    <row r="100">
      <c r="A100" s="26" t="str">
        <f t="shared" si="1"/>
        <v>TRANS</v>
      </c>
      <c r="B100" s="26" t="str">
        <f t="shared" si="2"/>
        <v/>
      </c>
      <c r="C100" s="186">
        <f t="shared" si="3"/>
        <v>-0.000005</v>
      </c>
      <c r="D100" s="179" t="s">
        <v>604</v>
      </c>
      <c r="E100" s="174">
        <f>IFERROR(__xludf.DUMMYFUNCTION("IF(D100&lt;&gt;"""",SPLIT(D100,"" 
""),)"),-11.936475646)</f>
        <v>-11.93647565</v>
      </c>
      <c r="F100" s="174" t="str">
        <f>IFERROR(__xludf.DUMMYFUNCTION("""COMPUTED_VALUE"""),"stSOL")</f>
        <v>stSOL</v>
      </c>
      <c r="G100" s="174">
        <f>IFERROR(__xludf.DUMMYFUNCTION("""COMPUTED_VALUE"""),-5.0E-6)</f>
        <v>-0.000005</v>
      </c>
      <c r="H100" s="174" t="str">
        <f>IFERROR(__xludf.DUMMYFUNCTION("""COMPUTED_VALUE"""),"SOL")</f>
        <v>SOL</v>
      </c>
    </row>
    <row r="101">
      <c r="A101" s="26" t="str">
        <f t="shared" si="1"/>
        <v>TRANS</v>
      </c>
      <c r="B101" s="26" t="str">
        <f t="shared" si="2"/>
        <v/>
      </c>
      <c r="C101" s="186">
        <f t="shared" si="3"/>
        <v>-0.000005</v>
      </c>
      <c r="D101" s="179" t="s">
        <v>605</v>
      </c>
      <c r="E101" s="174">
        <f>IFERROR(__xludf.DUMMYFUNCTION("IF(D101&lt;&gt;"""",SPLIT(D101,"" 
""),)"),11.936475646)</f>
        <v>11.93647565</v>
      </c>
      <c r="F101" s="174" t="str">
        <f>IFERROR(__xludf.DUMMYFUNCTION("""COMPUTED_VALUE"""),"stSOL")</f>
        <v>stSOL</v>
      </c>
      <c r="G101" s="174">
        <f>IFERROR(__xludf.DUMMYFUNCTION("""COMPUTED_VALUE"""),-12.270105)</f>
        <v>-12.270105</v>
      </c>
      <c r="H101" s="174" t="str">
        <f>IFERROR(__xludf.DUMMYFUNCTION("""COMPUTED_VALUE"""),"SOL")</f>
        <v>SOL</v>
      </c>
    </row>
    <row r="102">
      <c r="A102" s="26" t="str">
        <f t="shared" si="1"/>
        <v>RECV</v>
      </c>
      <c r="B102" s="26" t="str">
        <f t="shared" si="2"/>
        <v/>
      </c>
      <c r="C102" s="186" t="str">
        <f t="shared" si="3"/>
        <v/>
      </c>
      <c r="D102" s="179" t="s">
        <v>606</v>
      </c>
      <c r="E102" s="174">
        <f>IFERROR(__xludf.DUMMYFUNCTION("IF(D102&lt;&gt;"""",SPLIT(D102,"" 
""),)"),12.27015514)</f>
        <v>12.27015514</v>
      </c>
      <c r="F102" s="174" t="str">
        <f>IFERROR(__xludf.DUMMYFUNCTION("""COMPUTED_VALUE"""),"SOL")</f>
        <v>SOL</v>
      </c>
      <c r="G102" s="174"/>
      <c r="H102" s="174"/>
    </row>
    <row r="103">
      <c r="A103" s="26" t="str">
        <f t="shared" si="1"/>
        <v>TRANS</v>
      </c>
      <c r="B103" s="26" t="str">
        <f t="shared" si="2"/>
        <v/>
      </c>
      <c r="C103" s="186" t="str">
        <f t="shared" si="3"/>
        <v/>
      </c>
      <c r="D103" s="179" t="s">
        <v>607</v>
      </c>
      <c r="E103" s="174">
        <f>IFERROR(__xludf.DUMMYFUNCTION("IF(D103&lt;&gt;"""",SPLIT(D103,"" 
""),)"),0.23913851)</f>
        <v>0.23913851</v>
      </c>
      <c r="F103" s="174" t="str">
        <f>IFERROR(__xludf.DUMMYFUNCTION("""COMPUTED_VALUE"""),"LDO")</f>
        <v>LDO</v>
      </c>
    </row>
    <row r="104">
      <c r="A104" s="26" t="str">
        <f t="shared" si="1"/>
        <v>TRANS</v>
      </c>
      <c r="B104" s="26" t="str">
        <f t="shared" si="2"/>
        <v/>
      </c>
      <c r="C104" s="186" t="str">
        <f t="shared" si="3"/>
        <v/>
      </c>
      <c r="D104" s="179" t="s">
        <v>608</v>
      </c>
      <c r="E104" s="174">
        <f>IFERROR(__xludf.DUMMYFUNCTION("IF(D104&lt;&gt;"""",SPLIT(D104,"" 
""),)"),0.02221388)</f>
        <v>0.02221388</v>
      </c>
      <c r="F104" s="174" t="str">
        <f>IFERROR(__xludf.DUMMYFUNCTION("""COMPUTED_VALUE"""),"LDO")</f>
        <v>LDO</v>
      </c>
    </row>
    <row r="105">
      <c r="A105" s="26" t="str">
        <f t="shared" si="1"/>
        <v>TRANS</v>
      </c>
      <c r="B105" s="26" t="str">
        <f t="shared" si="2"/>
        <v/>
      </c>
      <c r="C105" s="186">
        <f t="shared" si="3"/>
        <v>-0.00204428</v>
      </c>
      <c r="D105" s="179" t="s">
        <v>609</v>
      </c>
      <c r="E105" s="174">
        <f>IFERROR(__xludf.DUMMYFUNCTION("IF(D105&lt;&gt;"""",SPLIT(D105,"" 
""),)"),-7.812309573)</f>
        <v>-7.812309573</v>
      </c>
      <c r="F105" s="174" t="str">
        <f>IFERROR(__xludf.DUMMYFUNCTION("""COMPUTED_VALUE"""),"stSOL")</f>
        <v>stSOL</v>
      </c>
      <c r="G105" s="174">
        <f>IFERROR(__xludf.DUMMYFUNCTION("""COMPUTED_VALUE"""),-0.00204428)</f>
        <v>-0.00204428</v>
      </c>
      <c r="H105" s="174" t="str">
        <f>IFERROR(__xludf.DUMMYFUNCTION("""COMPUTED_VALUE"""),"SOL")</f>
        <v>SOL</v>
      </c>
    </row>
    <row r="106">
      <c r="A106" s="26" t="str">
        <f t="shared" si="1"/>
        <v>TRANS</v>
      </c>
      <c r="B106" s="26" t="str">
        <f t="shared" si="2"/>
        <v/>
      </c>
      <c r="C106" s="186">
        <f t="shared" si="3"/>
        <v>0.00203428</v>
      </c>
      <c r="D106" s="179" t="s">
        <v>603</v>
      </c>
      <c r="E106" s="174">
        <f>IFERROR(__xludf.DUMMYFUNCTION("IF(D106&lt;&gt;"""",SPLIT(D106,"" 
""),)"),0.00203428)</f>
        <v>0.00203428</v>
      </c>
      <c r="F106" s="174" t="str">
        <f>IFERROR(__xludf.DUMMYFUNCTION("""COMPUTED_VALUE"""),"SOL")</f>
        <v>SOL</v>
      </c>
    </row>
    <row r="107">
      <c r="A107" s="26" t="str">
        <f t="shared" si="1"/>
        <v>TRANS</v>
      </c>
      <c r="B107" s="26" t="str">
        <f t="shared" si="2"/>
        <v/>
      </c>
      <c r="C107" s="186">
        <f t="shared" si="3"/>
        <v>-0.000005</v>
      </c>
      <c r="D107" s="179" t="s">
        <v>610</v>
      </c>
      <c r="E107" s="174">
        <f>IFERROR(__xludf.DUMMYFUNCTION("IF(D107&lt;&gt;"""",SPLIT(D107,"" 
""),)"),0.707921)</f>
        <v>0.707921</v>
      </c>
      <c r="F107" s="174" t="str">
        <f>IFERROR(__xludf.DUMMYFUNCTION("""COMPUTED_VALUE"""),"LARIX")</f>
        <v>LARIX</v>
      </c>
      <c r="G107" s="174">
        <f>IFERROR(__xludf.DUMMYFUNCTION("""COMPUTED_VALUE"""),-5.0E-6)</f>
        <v>-0.000005</v>
      </c>
      <c r="H107" s="174" t="str">
        <f>IFERROR(__xludf.DUMMYFUNCTION("""COMPUTED_VALUE"""),"SOL")</f>
        <v>SOL</v>
      </c>
    </row>
    <row r="108">
      <c r="A108" s="26" t="str">
        <f t="shared" si="1"/>
        <v>TRANS</v>
      </c>
      <c r="B108" s="26" t="str">
        <f t="shared" si="2"/>
        <v/>
      </c>
      <c r="C108" s="186">
        <f t="shared" si="3"/>
        <v>-0.000005</v>
      </c>
      <c r="D108" s="179" t="s">
        <v>611</v>
      </c>
      <c r="E108" s="174">
        <f>IFERROR(__xludf.DUMMYFUNCTION("IF(D108&lt;&gt;"""",SPLIT(D108,"" 
""),)"),7.810691271)</f>
        <v>7.810691271</v>
      </c>
      <c r="F108" s="174" t="str">
        <f>IFERROR(__xludf.DUMMYFUNCTION("""COMPUTED_VALUE"""),"stSOL")</f>
        <v>stSOL</v>
      </c>
      <c r="G108" s="174">
        <f>IFERROR(__xludf.DUMMYFUNCTION("""COMPUTED_VALUE"""),-8.029005)</f>
        <v>-8.029005</v>
      </c>
      <c r="H108" s="174" t="str">
        <f>IFERROR(__xludf.DUMMYFUNCTION("""COMPUTED_VALUE"""),"SOL")</f>
        <v>SOL</v>
      </c>
    </row>
    <row r="109">
      <c r="A109" s="26" t="str">
        <f t="shared" si="1"/>
        <v>stSOL-LDO</v>
      </c>
      <c r="B109" s="26">
        <f t="shared" si="2"/>
        <v>-0.02356724369</v>
      </c>
      <c r="C109" s="186">
        <f t="shared" si="3"/>
        <v>-0.000005</v>
      </c>
      <c r="D109" s="179" t="s">
        <v>612</v>
      </c>
      <c r="E109" s="174">
        <f>IFERROR(__xludf.DUMMYFUNCTION("IF(D109&lt;&gt;"""",SPLIT(D109,"" 
""),)"),0.001609729)</f>
        <v>0.001609729</v>
      </c>
      <c r="F109" s="174" t="str">
        <f>IFERROR(__xludf.DUMMYFUNCTION("""COMPUTED_VALUE"""),"stSOL")</f>
        <v>stSOL</v>
      </c>
      <c r="G109" s="174">
        <f>IFERROR(__xludf.DUMMYFUNCTION("""COMPUTED_VALUE"""),-0.06830366)</f>
        <v>-0.06830366</v>
      </c>
      <c r="H109" s="174" t="str">
        <f>IFERROR(__xludf.DUMMYFUNCTION("""COMPUTED_VALUE"""),"LDO")</f>
        <v>LDO</v>
      </c>
      <c r="I109" s="174">
        <f>IFERROR(__xludf.DUMMYFUNCTION("""COMPUTED_VALUE"""),-5.0E-6)</f>
        <v>-0.000005</v>
      </c>
      <c r="J109" s="174" t="str">
        <f>IFERROR(__xludf.DUMMYFUNCTION("""COMPUTED_VALUE"""),"SOL")</f>
        <v>SOL</v>
      </c>
    </row>
    <row r="110">
      <c r="A110" s="26" t="str">
        <f t="shared" si="1"/>
        <v>stSOL-MNDE</v>
      </c>
      <c r="B110" s="26">
        <f t="shared" si="2"/>
        <v>-0.0009307913779</v>
      </c>
      <c r="C110" s="186">
        <f t="shared" si="3"/>
        <v>-0.000005</v>
      </c>
      <c r="D110" s="179" t="s">
        <v>613</v>
      </c>
      <c r="E110" s="174">
        <f>IFERROR(__xludf.DUMMYFUNCTION("IF(D110&lt;&gt;"""",SPLIT(D110,"" 
""),)"),8.573E-6)</f>
        <v>0.000008573</v>
      </c>
      <c r="F110" s="174" t="str">
        <f>IFERROR(__xludf.DUMMYFUNCTION("""COMPUTED_VALUE"""),"stSOL")</f>
        <v>stSOL</v>
      </c>
      <c r="G110" s="174">
        <f>IFERROR(__xludf.DUMMYFUNCTION("""COMPUTED_VALUE"""),-0.009210442)</f>
        <v>-0.009210442</v>
      </c>
      <c r="H110" s="174" t="str">
        <f>IFERROR(__xludf.DUMMYFUNCTION("""COMPUTED_VALUE"""),"MNDE")</f>
        <v>MNDE</v>
      </c>
      <c r="I110" s="174">
        <f>IFERROR(__xludf.DUMMYFUNCTION("""COMPUTED_VALUE"""),-5.0E-6)</f>
        <v>-0.000005</v>
      </c>
      <c r="J110" s="174" t="str">
        <f>IFERROR(__xludf.DUMMYFUNCTION("""COMPUTED_VALUE"""),"SOL")</f>
        <v>SOL</v>
      </c>
    </row>
    <row r="111">
      <c r="A111" s="26" t="str">
        <f t="shared" si="1"/>
        <v>RECV</v>
      </c>
      <c r="B111" s="26" t="str">
        <f t="shared" si="2"/>
        <v/>
      </c>
      <c r="C111" s="186" t="str">
        <f t="shared" si="3"/>
        <v/>
      </c>
      <c r="D111" s="179" t="s">
        <v>614</v>
      </c>
      <c r="E111" s="174">
        <f>IFERROR(__xludf.DUMMYFUNCTION("IF(D111&lt;&gt;"""",SPLIT(D111,"" 
""),)"),8.026995)</f>
        <v>8.026995</v>
      </c>
      <c r="F111" s="174" t="str">
        <f>IFERROR(__xludf.DUMMYFUNCTION("""COMPUTED_VALUE"""),"SOL")</f>
        <v>SOL</v>
      </c>
      <c r="G111" s="174"/>
      <c r="H111" s="174"/>
    </row>
    <row r="112">
      <c r="A112" s="26" t="str">
        <f t="shared" si="1"/>
        <v>TRANS</v>
      </c>
      <c r="B112" s="26" t="str">
        <f t="shared" si="2"/>
        <v/>
      </c>
      <c r="C112" s="186">
        <f t="shared" si="3"/>
        <v>0.00203428</v>
      </c>
      <c r="D112" s="179" t="s">
        <v>603</v>
      </c>
      <c r="E112" s="174">
        <f>IFERROR(__xludf.DUMMYFUNCTION("IF(D112&lt;&gt;"""",SPLIT(D112,"" 
""),)"),0.00203428)</f>
        <v>0.00203428</v>
      </c>
      <c r="F112" s="174" t="str">
        <f>IFERROR(__xludf.DUMMYFUNCTION("""COMPUTED_VALUE"""),"SOL")</f>
        <v>SOL</v>
      </c>
    </row>
    <row r="113">
      <c r="A113" s="26" t="str">
        <f t="shared" si="1"/>
        <v>TRANS</v>
      </c>
      <c r="B113" s="26" t="str">
        <f t="shared" si="2"/>
        <v/>
      </c>
      <c r="C113" s="186">
        <f t="shared" si="3"/>
        <v>-0.000005</v>
      </c>
      <c r="D113" s="179" t="s">
        <v>548</v>
      </c>
      <c r="E113" s="174">
        <f>IFERROR(__xludf.DUMMYFUNCTION("IF(D113&lt;&gt;"""",SPLIT(D113,"" 
""),)"),-5.0E-6)</f>
        <v>-0.000005</v>
      </c>
      <c r="F113" s="174" t="str">
        <f>IFERROR(__xludf.DUMMYFUNCTION("""COMPUTED_VALUE"""),"SOL")</f>
        <v>SOL</v>
      </c>
    </row>
    <row r="114">
      <c r="A114" s="26" t="str">
        <f t="shared" si="1"/>
        <v>TRANS</v>
      </c>
      <c r="B114" s="26" t="str">
        <f t="shared" si="2"/>
        <v/>
      </c>
      <c r="C114" s="186">
        <f t="shared" si="3"/>
        <v>-0.000007439</v>
      </c>
      <c r="D114" s="179" t="s">
        <v>615</v>
      </c>
      <c r="E114" s="174">
        <f>IFERROR(__xludf.DUMMYFUNCTION("IF(D114&lt;&gt;"""",SPLIT(D114,"" 
""),)"),-11.6920085)</f>
        <v>-11.6920085</v>
      </c>
      <c r="F114" s="174" t="str">
        <f>IFERROR(__xludf.DUMMYFUNCTION("""COMPUTED_VALUE"""),"stSOL")</f>
        <v>stSOL</v>
      </c>
      <c r="G114" s="174">
        <f>IFERROR(__xludf.DUMMYFUNCTION("""COMPUTED_VALUE"""),-7.439E-6)</f>
        <v>-0.000007439</v>
      </c>
      <c r="H114" s="174" t="str">
        <f>IFERROR(__xludf.DUMMYFUNCTION("""COMPUTED_VALUE"""),"SOL")</f>
        <v>SOL</v>
      </c>
    </row>
    <row r="115">
      <c r="A115" s="26" t="str">
        <f t="shared" si="1"/>
        <v>TRANS</v>
      </c>
      <c r="B115" s="26" t="str">
        <f t="shared" si="2"/>
        <v/>
      </c>
      <c r="C115" s="186">
        <f t="shared" si="3"/>
        <v>-0.000005</v>
      </c>
      <c r="D115" s="179" t="s">
        <v>616</v>
      </c>
      <c r="E115" s="174">
        <f>IFERROR(__xludf.DUMMYFUNCTION("IF(D115&lt;&gt;"""",SPLIT(D115,"" 
""),)"),11.6920085)</f>
        <v>11.6920085</v>
      </c>
      <c r="F115" s="174" t="str">
        <f>IFERROR(__xludf.DUMMYFUNCTION("""COMPUTED_VALUE"""),"stSOL")</f>
        <v>stSOL</v>
      </c>
      <c r="G115" s="174">
        <f>IFERROR(__xludf.DUMMYFUNCTION("""COMPUTED_VALUE"""),-12.018805)</f>
        <v>-12.018805</v>
      </c>
      <c r="H115" s="174" t="str">
        <f>IFERROR(__xludf.DUMMYFUNCTION("""COMPUTED_VALUE"""),"SOL")</f>
        <v>SOL</v>
      </c>
    </row>
    <row r="116">
      <c r="A116" s="26" t="str">
        <f t="shared" si="1"/>
        <v>RECV</v>
      </c>
      <c r="B116" s="26" t="str">
        <f t="shared" si="2"/>
        <v/>
      </c>
      <c r="C116" s="186" t="str">
        <f t="shared" si="3"/>
        <v/>
      </c>
      <c r="D116" s="179" t="s">
        <v>617</v>
      </c>
      <c r="E116" s="174">
        <f>IFERROR(__xludf.DUMMYFUNCTION("IF(D116&lt;&gt;"""",SPLIT(D116,"" 
""),)"),12.01272048)</f>
        <v>12.01272048</v>
      </c>
      <c r="F116" s="174" t="str">
        <f>IFERROR(__xludf.DUMMYFUNCTION("""COMPUTED_VALUE"""),"SOL")</f>
        <v>SOL</v>
      </c>
      <c r="G116" s="174"/>
      <c r="H116" s="174"/>
    </row>
    <row r="117">
      <c r="A117" s="26" t="str">
        <f t="shared" si="1"/>
        <v>TRANS</v>
      </c>
      <c r="B117" s="26" t="str">
        <f t="shared" si="2"/>
        <v/>
      </c>
      <c r="C117" s="186" t="str">
        <f t="shared" si="3"/>
        <v/>
      </c>
      <c r="D117" s="179" t="s">
        <v>618</v>
      </c>
      <c r="E117" s="174">
        <f>IFERROR(__xludf.DUMMYFUNCTION("IF(D117&lt;&gt;"""",SPLIT(D117,"" 
""),)"),0.01802194)</f>
        <v>0.01802194</v>
      </c>
      <c r="F117" s="174" t="str">
        <f>IFERROR(__xludf.DUMMYFUNCTION("""COMPUTED_VALUE"""),"LDO")</f>
        <v>LDO</v>
      </c>
    </row>
    <row r="118">
      <c r="A118" s="26" t="str">
        <f t="shared" si="1"/>
        <v>TRANS</v>
      </c>
      <c r="B118" s="26" t="str">
        <f t="shared" si="2"/>
        <v/>
      </c>
      <c r="C118" s="186" t="str">
        <f t="shared" si="3"/>
        <v/>
      </c>
      <c r="D118" s="179" t="s">
        <v>619</v>
      </c>
      <c r="E118" s="174">
        <f>IFERROR(__xludf.DUMMYFUNCTION("IF(D118&lt;&gt;"""",SPLIT(D118,"" 
""),)"),0.01753851)</f>
        <v>0.01753851</v>
      </c>
      <c r="F118" s="174" t="str">
        <f>IFERROR(__xludf.DUMMYFUNCTION("""COMPUTED_VALUE"""),"LDO")</f>
        <v>LDO</v>
      </c>
    </row>
    <row r="119">
      <c r="A119" s="26" t="str">
        <f t="shared" si="1"/>
        <v>TRANS</v>
      </c>
      <c r="B119" s="26" t="str">
        <f t="shared" si="2"/>
        <v/>
      </c>
      <c r="C119" s="186" t="str">
        <f t="shared" si="3"/>
        <v/>
      </c>
      <c r="D119" s="179" t="s">
        <v>620</v>
      </c>
      <c r="E119" s="174">
        <f>IFERROR(__xludf.DUMMYFUNCTION("IF(D119&lt;&gt;"""",SPLIT(D119,"" 
""),)"),0.01783061)</f>
        <v>0.01783061</v>
      </c>
      <c r="F119" s="174" t="str">
        <f>IFERROR(__xludf.DUMMYFUNCTION("""COMPUTED_VALUE"""),"LDO")</f>
        <v>LDO</v>
      </c>
    </row>
    <row r="120">
      <c r="A120" s="26" t="str">
        <f t="shared" si="1"/>
        <v>TRANS</v>
      </c>
      <c r="B120" s="26" t="str">
        <f t="shared" si="2"/>
        <v/>
      </c>
      <c r="C120" s="186" t="str">
        <f t="shared" si="3"/>
        <v/>
      </c>
      <c r="D120" s="179" t="s">
        <v>621</v>
      </c>
      <c r="E120" s="174">
        <f>IFERROR(__xludf.DUMMYFUNCTION("IF(D120&lt;&gt;"""",SPLIT(D120,"" 
""),)"),0.004036274)</f>
        <v>0.004036274</v>
      </c>
      <c r="F120" s="174" t="str">
        <f>IFERROR(__xludf.DUMMYFUNCTION("""COMPUTED_VALUE"""),"MNDE")</f>
        <v>MNDE</v>
      </c>
    </row>
    <row r="121">
      <c r="A121" s="26" t="str">
        <f t="shared" si="1"/>
        <v>TRANS</v>
      </c>
      <c r="B121" s="26" t="str">
        <f t="shared" si="2"/>
        <v/>
      </c>
      <c r="C121" s="186" t="str">
        <f t="shared" si="3"/>
        <v/>
      </c>
      <c r="D121" s="179" t="s">
        <v>622</v>
      </c>
      <c r="E121" s="174">
        <f>IFERROR(__xludf.DUMMYFUNCTION("IF(D121&lt;&gt;"""",SPLIT(D121,"" 
""),)"),0.005174491)</f>
        <v>0.005174491</v>
      </c>
      <c r="F121" s="174" t="str">
        <f>IFERROR(__xludf.DUMMYFUNCTION("""COMPUTED_VALUE"""),"MNDE")</f>
        <v>MNDE</v>
      </c>
    </row>
    <row r="122">
      <c r="A122" s="26" t="str">
        <f t="shared" si="1"/>
        <v>TRANS</v>
      </c>
      <c r="B122" s="26" t="str">
        <f t="shared" si="2"/>
        <v/>
      </c>
      <c r="C122" s="186" t="str">
        <f t="shared" si="3"/>
        <v/>
      </c>
      <c r="D122" s="179" t="s">
        <v>623</v>
      </c>
      <c r="E122" s="174">
        <f>IFERROR(__xludf.DUMMYFUNCTION("IF(D122&lt;&gt;"""",SPLIT(D122,"" 
""),)"),0.0149126)</f>
        <v>0.0149126</v>
      </c>
      <c r="F122" s="174" t="str">
        <f>IFERROR(__xludf.DUMMYFUNCTION("""COMPUTED_VALUE"""),"LDO")</f>
        <v>LDO</v>
      </c>
    </row>
    <row r="123">
      <c r="A123" s="26" t="str">
        <f t="shared" si="1"/>
        <v>TRANS</v>
      </c>
      <c r="B123" s="26" t="str">
        <f t="shared" si="2"/>
        <v/>
      </c>
      <c r="C123" s="186">
        <f t="shared" si="3"/>
        <v>-0.000005</v>
      </c>
      <c r="D123" s="179" t="s">
        <v>624</v>
      </c>
      <c r="E123" s="174">
        <f>IFERROR(__xludf.DUMMYFUNCTION("IF(D123&lt;&gt;"""",SPLIT(D123,"" 
""),)"),-1.685969833)</f>
        <v>-1.685969833</v>
      </c>
      <c r="F123" s="174" t="str">
        <f>IFERROR(__xludf.DUMMYFUNCTION("""COMPUTED_VALUE"""),"stSOL")</f>
        <v>stSOL</v>
      </c>
      <c r="G123" s="174">
        <f>IFERROR(__xludf.DUMMYFUNCTION("""COMPUTED_VALUE"""),-5.0E-6)</f>
        <v>-0.000005</v>
      </c>
      <c r="H123" s="174" t="str">
        <f>IFERROR(__xludf.DUMMYFUNCTION("""COMPUTED_VALUE"""),"SOL")</f>
        <v>SOL</v>
      </c>
    </row>
    <row r="124">
      <c r="A124" s="26" t="str">
        <f t="shared" si="1"/>
        <v>TRANS</v>
      </c>
      <c r="B124" s="26" t="str">
        <f t="shared" si="2"/>
        <v/>
      </c>
      <c r="C124" s="186">
        <f t="shared" si="3"/>
        <v>-0.00204428</v>
      </c>
      <c r="D124" s="179" t="s">
        <v>625</v>
      </c>
      <c r="E124" s="174">
        <f>IFERROR(__xludf.DUMMYFUNCTION("IF(D124&lt;&gt;"""",SPLIT(D124,"" 
""),)"),1.685969833)</f>
        <v>1.685969833</v>
      </c>
      <c r="F124" s="174" t="str">
        <f>IFERROR(__xludf.DUMMYFUNCTION("""COMPUTED_VALUE"""),"stSOL")</f>
        <v>stSOL</v>
      </c>
      <c r="G124" s="174">
        <f>IFERROR(__xludf.DUMMYFUNCTION("""COMPUTED_VALUE"""),-0.00204428)</f>
        <v>-0.00204428</v>
      </c>
      <c r="H124" s="174" t="str">
        <f>IFERROR(__xludf.DUMMYFUNCTION("""COMPUTED_VALUE"""),"SOL")</f>
        <v>SOL</v>
      </c>
    </row>
    <row r="125">
      <c r="A125" s="26" t="str">
        <f t="shared" si="1"/>
        <v>TRANS</v>
      </c>
      <c r="B125" s="26" t="str">
        <f t="shared" si="2"/>
        <v/>
      </c>
      <c r="C125" s="186">
        <f t="shared" si="3"/>
        <v>0.00203428</v>
      </c>
      <c r="D125" s="179" t="s">
        <v>603</v>
      </c>
      <c r="E125" s="174">
        <f>IFERROR(__xludf.DUMMYFUNCTION("IF(D125&lt;&gt;"""",SPLIT(D125,"" 
""),)"),0.00203428)</f>
        <v>0.00203428</v>
      </c>
      <c r="F125" s="174" t="str">
        <f>IFERROR(__xludf.DUMMYFUNCTION("""COMPUTED_VALUE"""),"SOL")</f>
        <v>SOL</v>
      </c>
    </row>
    <row r="126">
      <c r="A126" s="26" t="str">
        <f t="shared" si="1"/>
        <v>TRANS</v>
      </c>
      <c r="B126" s="26" t="str">
        <f t="shared" si="2"/>
        <v/>
      </c>
      <c r="C126" s="186">
        <f t="shared" si="3"/>
        <v>0.00203428</v>
      </c>
      <c r="D126" s="179" t="s">
        <v>603</v>
      </c>
      <c r="E126" s="174">
        <f>IFERROR(__xludf.DUMMYFUNCTION("IF(D126&lt;&gt;"""",SPLIT(D126,"" 
""),)"),0.00203428)</f>
        <v>0.00203428</v>
      </c>
      <c r="F126" s="174" t="str">
        <f>IFERROR(__xludf.DUMMYFUNCTION("""COMPUTED_VALUE"""),"SOL")</f>
        <v>SOL</v>
      </c>
    </row>
    <row r="127">
      <c r="A127" s="26" t="str">
        <f t="shared" si="1"/>
        <v>TRANS</v>
      </c>
      <c r="B127" s="26" t="str">
        <f t="shared" si="2"/>
        <v/>
      </c>
      <c r="C127" s="186">
        <f t="shared" si="3"/>
        <v>0.00203428</v>
      </c>
      <c r="D127" s="179" t="s">
        <v>603</v>
      </c>
      <c r="E127" s="174">
        <f>IFERROR(__xludf.DUMMYFUNCTION("IF(D127&lt;&gt;"""",SPLIT(D127,"" 
""),)"),0.00203428)</f>
        <v>0.00203428</v>
      </c>
      <c r="F127" s="174" t="str">
        <f>IFERROR(__xludf.DUMMYFUNCTION("""COMPUTED_VALUE"""),"SOL")</f>
        <v>SOL</v>
      </c>
    </row>
    <row r="128">
      <c r="A128" s="26" t="str">
        <f t="shared" si="1"/>
        <v>TRANS</v>
      </c>
      <c r="B128" s="26" t="str">
        <f t="shared" si="2"/>
        <v/>
      </c>
      <c r="C128" s="186">
        <f t="shared" si="3"/>
        <v>0.00203428</v>
      </c>
      <c r="D128" s="179" t="s">
        <v>603</v>
      </c>
      <c r="E128" s="174">
        <f>IFERROR(__xludf.DUMMYFUNCTION("IF(D128&lt;&gt;"""",SPLIT(D128,"" 
""),)"),0.00203428)</f>
        <v>0.00203428</v>
      </c>
      <c r="F128" s="174" t="str">
        <f>IFERROR(__xludf.DUMMYFUNCTION("""COMPUTED_VALUE"""),"SOL")</f>
        <v>SOL</v>
      </c>
    </row>
    <row r="129">
      <c r="A129" s="26" t="str">
        <f t="shared" si="1"/>
        <v>TRANS</v>
      </c>
      <c r="B129" s="26" t="str">
        <f t="shared" si="2"/>
        <v/>
      </c>
      <c r="C129" s="186">
        <f t="shared" si="3"/>
        <v>-0.00204428</v>
      </c>
      <c r="D129" s="179" t="s">
        <v>626</v>
      </c>
      <c r="E129" s="174">
        <f>IFERROR(__xludf.DUMMYFUNCTION("IF(D129&lt;&gt;"""",SPLIT(D129,"" 
""),)"),-1.685967904)</f>
        <v>-1.685967904</v>
      </c>
      <c r="F129" s="174" t="str">
        <f>IFERROR(__xludf.DUMMYFUNCTION("""COMPUTED_VALUE"""),"stSOL")</f>
        <v>stSOL</v>
      </c>
      <c r="G129" s="174">
        <f>IFERROR(__xludf.DUMMYFUNCTION("""COMPUTED_VALUE"""),-0.00204428)</f>
        <v>-0.00204428</v>
      </c>
      <c r="H129" s="174" t="str">
        <f>IFERROR(__xludf.DUMMYFUNCTION("""COMPUTED_VALUE"""),"SOL")</f>
        <v>SOL</v>
      </c>
    </row>
    <row r="130">
      <c r="A130" s="26" t="str">
        <f t="shared" si="1"/>
        <v>TRANS</v>
      </c>
      <c r="B130" s="26" t="str">
        <f t="shared" si="2"/>
        <v/>
      </c>
      <c r="C130" s="186">
        <f t="shared" si="3"/>
        <v>0.002031841</v>
      </c>
      <c r="D130" s="179" t="s">
        <v>627</v>
      </c>
      <c r="E130" s="174">
        <f>IFERROR(__xludf.DUMMYFUNCTION("IF(D130&lt;&gt;"""",SPLIT(D130,"" 
""),)"),0.002031841)</f>
        <v>0.002031841</v>
      </c>
      <c r="F130" s="174" t="str">
        <f>IFERROR(__xludf.DUMMYFUNCTION("""COMPUTED_VALUE"""),"SOL")</f>
        <v>SOL</v>
      </c>
    </row>
    <row r="131">
      <c r="A131" s="26" t="str">
        <f t="shared" si="1"/>
        <v>TRANS</v>
      </c>
      <c r="B131" s="26" t="str">
        <f t="shared" si="2"/>
        <v/>
      </c>
      <c r="C131" s="186">
        <f t="shared" si="3"/>
        <v>-0.000005</v>
      </c>
      <c r="D131" s="179" t="s">
        <v>628</v>
      </c>
      <c r="E131" s="174">
        <f>IFERROR(__xludf.DUMMYFUNCTION("IF(D131&lt;&gt;"""",SPLIT(D131,"" 
""),)"),1.685967904)</f>
        <v>1.685967904</v>
      </c>
      <c r="F131" s="174" t="str">
        <f>IFERROR(__xludf.DUMMYFUNCTION("""COMPUTED_VALUE"""),"stSOL")</f>
        <v>stSOL</v>
      </c>
      <c r="G131" s="174">
        <f>IFERROR(__xludf.DUMMYFUNCTION("""COMPUTED_VALUE"""),-1.73354428)</f>
        <v>-1.73354428</v>
      </c>
      <c r="H131" s="174" t="str">
        <f>IFERROR(__xludf.DUMMYFUNCTION("""COMPUTED_VALUE"""),"SOL")</f>
        <v>SOL</v>
      </c>
    </row>
    <row r="132">
      <c r="A132" s="26" t="str">
        <f t="shared" si="1"/>
        <v>RECV</v>
      </c>
      <c r="B132" s="26" t="str">
        <f t="shared" si="2"/>
        <v/>
      </c>
      <c r="C132" s="186" t="str">
        <f t="shared" si="3"/>
        <v/>
      </c>
      <c r="D132" s="179" t="s">
        <v>629</v>
      </c>
      <c r="E132" s="174">
        <f>IFERROR(__xludf.DUMMYFUNCTION("IF(D132&lt;&gt;"""",SPLIT(D132,"" 
""),)"),1.727432293)</f>
        <v>1.727432293</v>
      </c>
      <c r="F132" s="174" t="str">
        <f>IFERROR(__xludf.DUMMYFUNCTION("""COMPUTED_VALUE"""),"SOL")</f>
        <v>SOL</v>
      </c>
      <c r="G132" s="174"/>
      <c r="H132" s="174"/>
    </row>
    <row r="133">
      <c r="A133" s="26" t="str">
        <f t="shared" si="1"/>
        <v>TRANS</v>
      </c>
      <c r="B133" s="26" t="str">
        <f t="shared" si="2"/>
        <v/>
      </c>
      <c r="C133" s="186">
        <f t="shared" si="3"/>
        <v>-0.00204428</v>
      </c>
      <c r="D133" s="179" t="s">
        <v>630</v>
      </c>
      <c r="E133" s="174">
        <f>IFERROR(__xludf.DUMMYFUNCTION("IF(D133&lt;&gt;"""",SPLIT(D133,"" 
""),)"),-41.849691)</f>
        <v>-41.849691</v>
      </c>
      <c r="F133" s="174" t="str">
        <f>IFERROR(__xludf.DUMMYFUNCTION("""COMPUTED_VALUE"""),"USDC")</f>
        <v>USDC</v>
      </c>
      <c r="G133" s="174">
        <f>IFERROR(__xludf.DUMMYFUNCTION("""COMPUTED_VALUE"""),-0.00204428)</f>
        <v>-0.00204428</v>
      </c>
      <c r="H133" s="174" t="str">
        <f>IFERROR(__xludf.DUMMYFUNCTION("""COMPUTED_VALUE"""),"SOL")</f>
        <v>SOL</v>
      </c>
    </row>
    <row r="134">
      <c r="A134" s="26" t="str">
        <f t="shared" si="1"/>
        <v>TRANS</v>
      </c>
      <c r="B134" s="26" t="str">
        <f t="shared" si="2"/>
        <v/>
      </c>
      <c r="C134" s="186">
        <f t="shared" si="3"/>
        <v>-0.00151336</v>
      </c>
      <c r="D134" s="179" t="s">
        <v>631</v>
      </c>
      <c r="E134" s="174">
        <f>IFERROR(__xludf.DUMMYFUNCTION("IF(D134&lt;&gt;"""",SPLIT(D134,"" 
""),)"),-1.668789761)</f>
        <v>-1.668789761</v>
      </c>
      <c r="F134" s="174" t="str">
        <f>IFERROR(__xludf.DUMMYFUNCTION("""COMPUTED_VALUE"""),"mSOL")</f>
        <v>mSOL</v>
      </c>
      <c r="G134" s="174">
        <f>IFERROR(__xludf.DUMMYFUNCTION("""COMPUTED_VALUE"""),-0.00151336)</f>
        <v>-0.00151336</v>
      </c>
      <c r="H134" s="174" t="str">
        <f>IFERROR(__xludf.DUMMYFUNCTION("""COMPUTED_VALUE"""),"SOL")</f>
        <v>SOL</v>
      </c>
    </row>
    <row r="135">
      <c r="A135" s="26" t="str">
        <f t="shared" si="1"/>
        <v>TRANS</v>
      </c>
      <c r="B135" s="26" t="str">
        <f t="shared" si="2"/>
        <v/>
      </c>
      <c r="C135" s="186">
        <f t="shared" si="3"/>
        <v>0.00203428</v>
      </c>
      <c r="D135" s="179" t="s">
        <v>603</v>
      </c>
      <c r="E135" s="174">
        <f>IFERROR(__xludf.DUMMYFUNCTION("IF(D135&lt;&gt;"""",SPLIT(D135,"" 
""),)"),0.00203428)</f>
        <v>0.00203428</v>
      </c>
      <c r="F135" s="174" t="str">
        <f>IFERROR(__xludf.DUMMYFUNCTION("""COMPUTED_VALUE"""),"SOL")</f>
        <v>SOL</v>
      </c>
    </row>
    <row r="136">
      <c r="A136" s="26" t="str">
        <f t="shared" si="1"/>
        <v>USDC-xUSD</v>
      </c>
      <c r="B136" s="26">
        <f t="shared" si="2"/>
        <v>-0.9900651138</v>
      </c>
      <c r="C136" s="186">
        <f t="shared" si="3"/>
        <v>-0.000005</v>
      </c>
      <c r="D136" s="179" t="s">
        <v>632</v>
      </c>
      <c r="E136" s="174">
        <f>IFERROR(__xludf.DUMMYFUNCTION("IF(D136&lt;&gt;"""",SPLIT(D136,"" 
""),)"),0.014749)</f>
        <v>0.014749</v>
      </c>
      <c r="F136" s="174" t="str">
        <f>IFERROR(__xludf.DUMMYFUNCTION("""COMPUTED_VALUE"""),"USDC")</f>
        <v>USDC</v>
      </c>
      <c r="G136" s="174">
        <f>IFERROR(__xludf.DUMMYFUNCTION("""COMPUTED_VALUE"""),-0.014897)</f>
        <v>-0.014897</v>
      </c>
      <c r="H136" s="174" t="str">
        <f>IFERROR(__xludf.DUMMYFUNCTION("""COMPUTED_VALUE"""),"xUSD")</f>
        <v>xUSD</v>
      </c>
      <c r="I136" s="174">
        <f>IFERROR(__xludf.DUMMYFUNCTION("""COMPUTED_VALUE"""),-5.0E-6)</f>
        <v>-0.000005</v>
      </c>
      <c r="J136" s="174" t="str">
        <f>IFERROR(__xludf.DUMMYFUNCTION("""COMPUTED_VALUE"""),"SOL")</f>
        <v>SOL</v>
      </c>
    </row>
    <row r="137">
      <c r="A137" s="26" t="str">
        <f t="shared" si="1"/>
        <v>TRANS</v>
      </c>
      <c r="B137" s="26" t="str">
        <f t="shared" si="2"/>
        <v/>
      </c>
      <c r="C137" s="186">
        <f t="shared" si="3"/>
        <v>-0.00204428</v>
      </c>
      <c r="D137" s="179" t="s">
        <v>633</v>
      </c>
      <c r="E137" s="174">
        <f>IFERROR(__xludf.DUMMYFUNCTION("IF(D137&lt;&gt;"""",SPLIT(D137,"" 
""),)"),-0.00204428)</f>
        <v>-0.00204428</v>
      </c>
      <c r="F137" s="174" t="str">
        <f>IFERROR(__xludf.DUMMYFUNCTION("""COMPUTED_VALUE"""),"SOL")</f>
        <v>SOL</v>
      </c>
    </row>
    <row r="138">
      <c r="A138" s="26" t="str">
        <f t="shared" si="1"/>
        <v>TRANS</v>
      </c>
      <c r="B138" s="26" t="str">
        <f t="shared" si="2"/>
        <v/>
      </c>
      <c r="C138" s="186">
        <f t="shared" si="3"/>
        <v>-0.000005</v>
      </c>
      <c r="D138" s="179" t="s">
        <v>634</v>
      </c>
      <c r="E138" s="174">
        <f>IFERROR(__xludf.DUMMYFUNCTION("IF(D138&lt;&gt;"""",SPLIT(D138,"" 
""),)"),1.668789761)</f>
        <v>1.668789761</v>
      </c>
      <c r="F138" s="174" t="str">
        <f>IFERROR(__xludf.DUMMYFUNCTION("""COMPUTED_VALUE"""),"mSOL")</f>
        <v>mSOL</v>
      </c>
      <c r="G138" s="174">
        <f>IFERROR(__xludf.DUMMYFUNCTION("""COMPUTED_VALUE"""),-5.0E-6)</f>
        <v>-0.000005</v>
      </c>
      <c r="H138" s="174" t="str">
        <f>IFERROR(__xludf.DUMMYFUNCTION("""COMPUTED_VALUE"""),"SOL")</f>
        <v>SOL</v>
      </c>
    </row>
    <row r="139">
      <c r="A139" s="26" t="str">
        <f t="shared" si="1"/>
        <v>TRANS</v>
      </c>
      <c r="B139" s="26" t="str">
        <f t="shared" si="2"/>
        <v/>
      </c>
      <c r="C139" s="186">
        <f t="shared" si="3"/>
        <v>-0.000005</v>
      </c>
      <c r="D139" s="179" t="s">
        <v>635</v>
      </c>
      <c r="E139" s="174">
        <f>IFERROR(__xludf.DUMMYFUNCTION("IF(D139&lt;&gt;"""",SPLIT(D139,"" 
""),)"),-9.184183)</f>
        <v>-9.184183</v>
      </c>
      <c r="F139" s="174" t="str">
        <f>IFERROR(__xludf.DUMMYFUNCTION("""COMPUTED_VALUE"""),"xUSD")</f>
        <v>xUSD</v>
      </c>
      <c r="G139" s="174">
        <f>IFERROR(__xludf.DUMMYFUNCTION("""COMPUTED_VALUE"""),-5.0E-6)</f>
        <v>-0.000005</v>
      </c>
      <c r="H139" s="174" t="str">
        <f>IFERROR(__xludf.DUMMYFUNCTION("""COMPUTED_VALUE"""),"SOL")</f>
        <v>SOL</v>
      </c>
    </row>
    <row r="140">
      <c r="A140" s="26" t="str">
        <f t="shared" si="1"/>
        <v>xUSD-USDC</v>
      </c>
      <c r="B140" s="26">
        <f t="shared" si="2"/>
        <v>-0.99</v>
      </c>
      <c r="C140" s="186">
        <f t="shared" si="3"/>
        <v>-0.000005</v>
      </c>
      <c r="D140" s="179" t="s">
        <v>636</v>
      </c>
      <c r="E140" s="174">
        <f>IFERROR(__xludf.DUMMYFUNCTION("IF(D140&lt;&gt;"""",SPLIT(D140,"" 
""),)"),9.19908)</f>
        <v>9.19908</v>
      </c>
      <c r="F140" s="174" t="str">
        <f>IFERROR(__xludf.DUMMYFUNCTION("""COMPUTED_VALUE"""),"xUSD")</f>
        <v>xUSD</v>
      </c>
      <c r="G140" s="174">
        <f>IFERROR(__xludf.DUMMYFUNCTION("""COMPUTED_VALUE"""),-9.292)</f>
        <v>-9.292</v>
      </c>
      <c r="H140" s="174" t="str">
        <f>IFERROR(__xludf.DUMMYFUNCTION("""COMPUTED_VALUE"""),"USDC")</f>
        <v>USDC</v>
      </c>
      <c r="I140" s="174">
        <f>IFERROR(__xludf.DUMMYFUNCTION("""COMPUTED_VALUE"""),-5.0E-6)</f>
        <v>-0.000005</v>
      </c>
      <c r="J140" s="174" t="str">
        <f>IFERROR(__xludf.DUMMYFUNCTION("""COMPUTED_VALUE"""),"SOL")</f>
        <v>SOL</v>
      </c>
    </row>
    <row r="141">
      <c r="A141" s="26" t="str">
        <f t="shared" si="1"/>
        <v>TRANS</v>
      </c>
      <c r="B141" s="26" t="str">
        <f t="shared" si="2"/>
        <v/>
      </c>
      <c r="C141" s="186">
        <f t="shared" si="3"/>
        <v>-0.000005</v>
      </c>
      <c r="D141" s="179" t="s">
        <v>637</v>
      </c>
      <c r="E141" s="174">
        <f>IFERROR(__xludf.DUMMYFUNCTION("IF(D141&lt;&gt;"""",SPLIT(D141,"" 
""),)"),51.126942)</f>
        <v>51.126942</v>
      </c>
      <c r="F141" s="174" t="str">
        <f>IFERROR(__xludf.DUMMYFUNCTION("""COMPUTED_VALUE"""),"USDC")</f>
        <v>USDC</v>
      </c>
      <c r="G141" s="174">
        <f>IFERROR(__xludf.DUMMYFUNCTION("""COMPUTED_VALUE"""),-5.0E-6)</f>
        <v>-0.000005</v>
      </c>
      <c r="H141" s="174" t="str">
        <f>IFERROR(__xludf.DUMMYFUNCTION("""COMPUTED_VALUE"""),"SOL")</f>
        <v>SOL</v>
      </c>
    </row>
    <row r="142">
      <c r="A142" s="26" t="str">
        <f t="shared" si="1"/>
        <v>TRANS</v>
      </c>
      <c r="B142" s="26" t="str">
        <f t="shared" si="2"/>
        <v/>
      </c>
      <c r="C142" s="186">
        <f t="shared" si="3"/>
        <v>-0.000005</v>
      </c>
      <c r="D142" s="179" t="s">
        <v>638</v>
      </c>
      <c r="E142" s="174">
        <f>IFERROR(__xludf.DUMMYFUNCTION("IF(D142&lt;&gt;"""",SPLIT(D142,"" 
""),)"),-132.822933)</f>
        <v>-132.822933</v>
      </c>
      <c r="F142" s="174" t="str">
        <f>IFERROR(__xludf.DUMMYFUNCTION("""COMPUTED_VALUE"""),"xUSD")</f>
        <v>xUSD</v>
      </c>
      <c r="G142" s="174">
        <f>IFERROR(__xludf.DUMMYFUNCTION("""COMPUTED_VALUE"""),-5.0E-6)</f>
        <v>-0.000005</v>
      </c>
      <c r="H142" s="174" t="str">
        <f>IFERROR(__xludf.DUMMYFUNCTION("""COMPUTED_VALUE"""),"SOL")</f>
        <v>SOL</v>
      </c>
    </row>
    <row r="143">
      <c r="A143" s="26" t="str">
        <f t="shared" si="1"/>
        <v>xUSD-xSOL</v>
      </c>
      <c r="B143" s="26">
        <f t="shared" si="2"/>
        <v>-89.96343088</v>
      </c>
      <c r="C143" s="186">
        <f t="shared" si="3"/>
        <v>-0.000005</v>
      </c>
      <c r="D143" s="179" t="s">
        <v>639</v>
      </c>
      <c r="E143" s="174">
        <f>IFERROR(__xludf.DUMMYFUNCTION("IF(D143&lt;&gt;"""",SPLIT(D143,"" 
""),)"),132.822933)</f>
        <v>132.822933</v>
      </c>
      <c r="F143" s="174" t="str">
        <f>IFERROR(__xludf.DUMMYFUNCTION("""COMPUTED_VALUE"""),"xUSD")</f>
        <v>xUSD</v>
      </c>
      <c r="G143" s="174">
        <f>IFERROR(__xludf.DUMMYFUNCTION("""COMPUTED_VALUE"""),-1.476410267)</f>
        <v>-1.476410267</v>
      </c>
      <c r="H143" s="174" t="str">
        <f>IFERROR(__xludf.DUMMYFUNCTION("""COMPUTED_VALUE"""),"xSOL")</f>
        <v>xSOL</v>
      </c>
      <c r="I143" s="174">
        <f>IFERROR(__xludf.DUMMYFUNCTION("""COMPUTED_VALUE"""),-5.0E-6)</f>
        <v>-0.000005</v>
      </c>
      <c r="J143" s="174" t="str">
        <f>IFERROR(__xludf.DUMMYFUNCTION("""COMPUTED_VALUE"""),"SOL")</f>
        <v>SOL</v>
      </c>
    </row>
    <row r="144">
      <c r="A144" s="26" t="str">
        <f t="shared" si="1"/>
        <v>xSOL-xBTC</v>
      </c>
      <c r="B144" s="26">
        <f t="shared" si="2"/>
        <v>-434.2377902</v>
      </c>
      <c r="C144" s="186">
        <f t="shared" si="3"/>
        <v>-0.000005</v>
      </c>
      <c r="D144" s="179" t="s">
        <v>640</v>
      </c>
      <c r="E144" s="174">
        <f>IFERROR(__xludf.DUMMYFUNCTION("IF(D144&lt;&gt;"""",SPLIT(D144,"" 
""),)"),1.476410267)</f>
        <v>1.476410267</v>
      </c>
      <c r="F144" s="174" t="str">
        <f>IFERROR(__xludf.DUMMYFUNCTION("""COMPUTED_VALUE"""),"xSOL")</f>
        <v>xSOL</v>
      </c>
      <c r="G144" s="174">
        <f>IFERROR(__xludf.DUMMYFUNCTION("""COMPUTED_VALUE"""),-0.0034000041)</f>
        <v>-0.0034000041</v>
      </c>
      <c r="H144" s="174" t="str">
        <f>IFERROR(__xludf.DUMMYFUNCTION("""COMPUTED_VALUE"""),"xBTC")</f>
        <v>xBTC</v>
      </c>
      <c r="I144" s="174">
        <f>IFERROR(__xludf.DUMMYFUNCTION("""COMPUTED_VALUE"""),-5.0E-6)</f>
        <v>-0.000005</v>
      </c>
      <c r="J144" s="174" t="str">
        <f>IFERROR(__xludf.DUMMYFUNCTION("""COMPUTED_VALUE"""),"SOL")</f>
        <v>SOL</v>
      </c>
    </row>
    <row r="145">
      <c r="A145" s="26" t="str">
        <f t="shared" si="1"/>
        <v>TRANS</v>
      </c>
      <c r="B145" s="26" t="str">
        <f t="shared" si="2"/>
        <v/>
      </c>
      <c r="C145" s="186">
        <f t="shared" si="3"/>
        <v>-0.00204428</v>
      </c>
      <c r="D145" s="179" t="s">
        <v>633</v>
      </c>
      <c r="E145" s="174">
        <f>IFERROR(__xludf.DUMMYFUNCTION("IF(D145&lt;&gt;"""",SPLIT(D145,"" 
""),)"),-0.00204428)</f>
        <v>-0.00204428</v>
      </c>
      <c r="F145" s="174" t="str">
        <f>IFERROR(__xludf.DUMMYFUNCTION("""COMPUTED_VALUE"""),"SOL")</f>
        <v>SOL</v>
      </c>
    </row>
    <row r="146">
      <c r="A146" s="26" t="str">
        <f t="shared" si="1"/>
        <v>xBTC-xUSD</v>
      </c>
      <c r="B146" s="26">
        <f t="shared" si="2"/>
        <v>-0.00002583062079</v>
      </c>
      <c r="C146" s="186">
        <f t="shared" si="3"/>
        <v>-0.000005</v>
      </c>
      <c r="D146" s="179" t="s">
        <v>641</v>
      </c>
      <c r="E146" s="174">
        <f>IFERROR(__xludf.DUMMYFUNCTION("IF(D146&lt;&gt;"""",SPLIT(D146,"" 
""),)"),0.0034000041)</f>
        <v>0.0034000041</v>
      </c>
      <c r="F146" s="174" t="str">
        <f>IFERROR(__xludf.DUMMYFUNCTION("""COMPUTED_VALUE"""),"xBTC")</f>
        <v>xBTC</v>
      </c>
      <c r="G146" s="174">
        <f>IFERROR(__xludf.DUMMYFUNCTION("""COMPUTED_VALUE"""),-131.626883)</f>
        <v>-131.626883</v>
      </c>
      <c r="H146" s="174" t="str">
        <f>IFERROR(__xludf.DUMMYFUNCTION("""COMPUTED_VALUE"""),"xUSD")</f>
        <v>xUSD</v>
      </c>
      <c r="I146" s="174">
        <f>IFERROR(__xludf.DUMMYFUNCTION("""COMPUTED_VALUE"""),-5.0E-6)</f>
        <v>-0.000005</v>
      </c>
      <c r="J146" s="174" t="str">
        <f>IFERROR(__xludf.DUMMYFUNCTION("""COMPUTED_VALUE"""),"SOL")</f>
        <v>SOL</v>
      </c>
    </row>
    <row r="147">
      <c r="A147" s="26" t="str">
        <f t="shared" si="1"/>
        <v>TRANS</v>
      </c>
      <c r="B147" s="26" t="str">
        <f t="shared" si="2"/>
        <v/>
      </c>
      <c r="C147" s="186">
        <f t="shared" si="3"/>
        <v>0.00203428</v>
      </c>
      <c r="D147" s="179" t="s">
        <v>603</v>
      </c>
      <c r="E147" s="174">
        <f>IFERROR(__xludf.DUMMYFUNCTION("IF(D147&lt;&gt;"""",SPLIT(D147,"" 
""),)"),0.00203428)</f>
        <v>0.00203428</v>
      </c>
      <c r="F147" s="174" t="str">
        <f>IFERROR(__xludf.DUMMYFUNCTION("""COMPUTED_VALUE"""),"SOL")</f>
        <v>SOL</v>
      </c>
    </row>
    <row r="148">
      <c r="A148" s="26" t="str">
        <f t="shared" si="1"/>
        <v>TRANS</v>
      </c>
      <c r="B148" s="26" t="str">
        <f t="shared" si="2"/>
        <v/>
      </c>
      <c r="C148" s="186">
        <f t="shared" si="3"/>
        <v>0.00203428</v>
      </c>
      <c r="D148" s="179" t="s">
        <v>603</v>
      </c>
      <c r="E148" s="174">
        <f>IFERROR(__xludf.DUMMYFUNCTION("IF(D148&lt;&gt;"""",SPLIT(D148,"" 
""),)"),0.00203428)</f>
        <v>0.00203428</v>
      </c>
      <c r="F148" s="174" t="str">
        <f>IFERROR(__xludf.DUMMYFUNCTION("""COMPUTED_VALUE"""),"SOL")</f>
        <v>SOL</v>
      </c>
    </row>
    <row r="149">
      <c r="A149" s="26" t="str">
        <f t="shared" si="1"/>
        <v>TRANS</v>
      </c>
      <c r="B149" s="26" t="str">
        <f t="shared" si="2"/>
        <v/>
      </c>
      <c r="C149" s="186">
        <f t="shared" si="3"/>
        <v>-0.00204428</v>
      </c>
      <c r="D149" s="179" t="s">
        <v>633</v>
      </c>
      <c r="E149" s="174">
        <f>IFERROR(__xludf.DUMMYFUNCTION("IF(D149&lt;&gt;"""",SPLIT(D149,"" 
""),)"),-0.00204428)</f>
        <v>-0.00204428</v>
      </c>
      <c r="F149" s="174" t="str">
        <f>IFERROR(__xludf.DUMMYFUNCTION("""COMPUTED_VALUE"""),"SOL")</f>
        <v>SOL</v>
      </c>
    </row>
    <row r="150">
      <c r="A150" s="26" t="str">
        <f t="shared" si="1"/>
        <v>TRANS</v>
      </c>
      <c r="B150" s="26" t="str">
        <f t="shared" si="2"/>
        <v/>
      </c>
      <c r="C150" s="186">
        <f t="shared" si="3"/>
        <v>-0.000005</v>
      </c>
      <c r="D150" s="179" t="s">
        <v>642</v>
      </c>
      <c r="E150" s="174">
        <f>IFERROR(__xludf.DUMMYFUNCTION("IF(D150&lt;&gt;"""",SPLIT(D150,"" 
""),)"),45.786503)</f>
        <v>45.786503</v>
      </c>
      <c r="F150" s="174" t="str">
        <f>IFERROR(__xludf.DUMMYFUNCTION("""COMPUTED_VALUE"""),"xUSD")</f>
        <v>xUSD</v>
      </c>
      <c r="G150" s="174">
        <f>IFERROR(__xludf.DUMMYFUNCTION("""COMPUTED_VALUE"""),-5.0E-6)</f>
        <v>-0.000005</v>
      </c>
      <c r="H150" s="174" t="str">
        <f>IFERROR(__xludf.DUMMYFUNCTION("""COMPUTED_VALUE"""),"SOL")</f>
        <v>SOL</v>
      </c>
    </row>
    <row r="151">
      <c r="A151" s="26" t="str">
        <f t="shared" si="1"/>
        <v>TRANS</v>
      </c>
      <c r="B151" s="26" t="str">
        <f t="shared" si="2"/>
        <v/>
      </c>
      <c r="C151" s="186">
        <f t="shared" si="3"/>
        <v>-0.000005</v>
      </c>
      <c r="D151" s="179" t="s">
        <v>643</v>
      </c>
      <c r="E151" s="174">
        <f>IFERROR(__xludf.DUMMYFUNCTION("IF(D151&lt;&gt;"""",SPLIT(D151,"" 
""),)"),-0.140529346)</f>
        <v>-0.140529346</v>
      </c>
      <c r="F151" s="174" t="str">
        <f>IFERROR(__xludf.DUMMYFUNCTION("""COMPUTED_VALUE"""),"mSOL")</f>
        <v>mSOL</v>
      </c>
      <c r="G151" s="174">
        <f>IFERROR(__xludf.DUMMYFUNCTION("""COMPUTED_VALUE"""),-5.0E-6)</f>
        <v>-0.000005</v>
      </c>
      <c r="H151" s="174" t="str">
        <f>IFERROR(__xludf.DUMMYFUNCTION("""COMPUTED_VALUE"""),"SOL")</f>
        <v>SOL</v>
      </c>
    </row>
    <row r="152">
      <c r="A152" s="26" t="str">
        <f t="shared" si="1"/>
        <v>TRANS</v>
      </c>
      <c r="B152" s="26" t="str">
        <f t="shared" si="2"/>
        <v/>
      </c>
      <c r="C152" s="186">
        <f t="shared" si="3"/>
        <v>0.002045133</v>
      </c>
      <c r="D152" s="179" t="s">
        <v>644</v>
      </c>
      <c r="E152" s="174">
        <f>IFERROR(__xludf.DUMMYFUNCTION("IF(D152&lt;&gt;"""",SPLIT(D152,"" 
""),)"),0.002045133)</f>
        <v>0.002045133</v>
      </c>
      <c r="F152" s="174" t="str">
        <f>IFERROR(__xludf.DUMMYFUNCTION("""COMPUTED_VALUE"""),"SOL")</f>
        <v>SOL</v>
      </c>
      <c r="G152" s="174">
        <f>IFERROR(__xludf.DUMMYFUNCTION("""COMPUTED_VALUE"""),-0.175068)</f>
        <v>-0.175068</v>
      </c>
      <c r="H152" s="174" t="str">
        <f>IFERROR(__xludf.DUMMYFUNCTION("""COMPUTED_VALUE"""),"LARIX")</f>
        <v>LARIX</v>
      </c>
    </row>
    <row r="153">
      <c r="A153" s="26" t="str">
        <f t="shared" si="1"/>
        <v>TRANS</v>
      </c>
      <c r="B153" s="26" t="str">
        <f t="shared" si="2"/>
        <v/>
      </c>
      <c r="C153" s="186">
        <f t="shared" si="3"/>
        <v>-0.00408356</v>
      </c>
      <c r="D153" s="179" t="s">
        <v>645</v>
      </c>
      <c r="E153" s="174">
        <f>IFERROR(__xludf.DUMMYFUNCTION("IF(D153&lt;&gt;"""",SPLIT(D153,"" 
""),)"),-0.00408356)</f>
        <v>-0.00408356</v>
      </c>
      <c r="F153" s="174" t="str">
        <f>IFERROR(__xludf.DUMMYFUNCTION("""COMPUTED_VALUE"""),"SOL")</f>
        <v>SOL</v>
      </c>
    </row>
    <row r="154">
      <c r="A154" s="26" t="str">
        <f t="shared" si="1"/>
        <v>TRANS</v>
      </c>
      <c r="B154" s="26" t="str">
        <f t="shared" si="2"/>
        <v/>
      </c>
      <c r="C154" s="186">
        <f t="shared" si="3"/>
        <v>-0.000005</v>
      </c>
      <c r="D154" s="179" t="s">
        <v>646</v>
      </c>
      <c r="E154" s="174">
        <f>IFERROR(__xludf.DUMMYFUNCTION("IF(D154&lt;&gt;"""",SPLIT(D154,"" 
""),)"),0.126649153)</f>
        <v>0.126649153</v>
      </c>
      <c r="F154" s="174" t="str">
        <f>IFERROR(__xludf.DUMMYFUNCTION("""COMPUTED_VALUE"""),"mSOL")</f>
        <v>mSOL</v>
      </c>
      <c r="G154" s="174">
        <f>IFERROR(__xludf.DUMMYFUNCTION("""COMPUTED_VALUE"""),-0.130937495)</f>
        <v>-0.130937495</v>
      </c>
      <c r="H154" s="174" t="str">
        <f>IFERROR(__xludf.DUMMYFUNCTION("""COMPUTED_VALUE"""),"SOL")</f>
        <v>SOL</v>
      </c>
    </row>
    <row r="155">
      <c r="A155" s="26" t="str">
        <f t="shared" si="1"/>
        <v>TRANS</v>
      </c>
      <c r="B155" s="26" t="str">
        <f t="shared" si="2"/>
        <v/>
      </c>
      <c r="C155" s="186">
        <f t="shared" si="3"/>
        <v>-0.000005</v>
      </c>
      <c r="D155" s="179" t="s">
        <v>647</v>
      </c>
      <c r="E155" s="174">
        <f>IFERROR(__xludf.DUMMYFUNCTION("IF(D155&lt;&gt;"""",SPLIT(D155,"" 
""),)"),-51.126942)</f>
        <v>-51.126942</v>
      </c>
      <c r="F155" s="174" t="str">
        <f>IFERROR(__xludf.DUMMYFUNCTION("""COMPUTED_VALUE"""),"USDC")</f>
        <v>USDC</v>
      </c>
      <c r="G155" s="174">
        <f>IFERROR(__xludf.DUMMYFUNCTION("""COMPUTED_VALUE"""),-5.0E-6)</f>
        <v>-0.000005</v>
      </c>
      <c r="H155" s="174" t="str">
        <f>IFERROR(__xludf.DUMMYFUNCTION("""COMPUTED_VALUE"""),"SOL")</f>
        <v>SOL</v>
      </c>
    </row>
    <row r="156">
      <c r="A156" s="26" t="str">
        <f t="shared" si="1"/>
        <v>RECV</v>
      </c>
      <c r="B156" s="26" t="str">
        <f t="shared" si="2"/>
        <v/>
      </c>
      <c r="C156" s="186" t="str">
        <f t="shared" si="3"/>
        <v/>
      </c>
      <c r="D156" s="179" t="s">
        <v>648</v>
      </c>
      <c r="E156" s="174">
        <f>IFERROR(__xludf.DUMMYFUNCTION("IF(D156&lt;&gt;"""",SPLIT(D156,"" 
""),)"),0.07248368)</f>
        <v>0.07248368</v>
      </c>
      <c r="F156" s="174" t="str">
        <f>IFERROR(__xludf.DUMMYFUNCTION("""COMPUTED_VALUE"""),"SOL")</f>
        <v>SOL</v>
      </c>
      <c r="G156" s="174"/>
      <c r="H156" s="174"/>
    </row>
    <row r="157">
      <c r="A157" s="26" t="str">
        <f t="shared" si="1"/>
        <v>TRANS</v>
      </c>
      <c r="B157" s="26" t="str">
        <f t="shared" si="2"/>
        <v/>
      </c>
      <c r="C157" s="186">
        <f t="shared" si="3"/>
        <v>-0.00204428</v>
      </c>
      <c r="D157" s="179" t="s">
        <v>649</v>
      </c>
      <c r="E157" s="174">
        <f>IFERROR(__xludf.DUMMYFUNCTION("IF(D157&lt;&gt;"""",SPLIT(D157,"" 
""),)"),0.175068)</f>
        <v>0.175068</v>
      </c>
      <c r="F157" s="174" t="str">
        <f>IFERROR(__xludf.DUMMYFUNCTION("""COMPUTED_VALUE"""),"LARIX")</f>
        <v>LARIX</v>
      </c>
      <c r="G157" s="174">
        <f>IFERROR(__xludf.DUMMYFUNCTION("""COMPUTED_VALUE"""),-0.00204428)</f>
        <v>-0.00204428</v>
      </c>
      <c r="H157" s="174" t="str">
        <f>IFERROR(__xludf.DUMMYFUNCTION("""COMPUTED_VALUE"""),"SOL")</f>
        <v>SOL</v>
      </c>
    </row>
    <row r="158">
      <c r="A158" s="26" t="str">
        <f t="shared" si="1"/>
        <v>TRANS</v>
      </c>
      <c r="B158" s="26" t="str">
        <f t="shared" si="2"/>
        <v/>
      </c>
      <c r="C158" s="186">
        <f t="shared" si="3"/>
        <v>0.022496956</v>
      </c>
      <c r="D158" s="179" t="s">
        <v>650</v>
      </c>
      <c r="E158" s="174">
        <f>IFERROR(__xludf.DUMMYFUNCTION("IF(D158&lt;&gt;"""",SPLIT(D158,"" 
""),)"),0.022496956)</f>
        <v>0.022496956</v>
      </c>
      <c r="F158" s="174" t="str">
        <f>IFERROR(__xludf.DUMMYFUNCTION("""COMPUTED_VALUE"""),"SOL")</f>
        <v>SOL</v>
      </c>
    </row>
    <row r="159">
      <c r="A159" s="26" t="str">
        <f t="shared" si="1"/>
        <v>TRANS</v>
      </c>
      <c r="B159" s="26" t="str">
        <f t="shared" si="2"/>
        <v/>
      </c>
      <c r="C159" s="186">
        <f t="shared" si="3"/>
        <v>-0.000005</v>
      </c>
      <c r="D159" s="179" t="s">
        <v>637</v>
      </c>
      <c r="E159" s="174">
        <f>IFERROR(__xludf.DUMMYFUNCTION("IF(D159&lt;&gt;"""",SPLIT(D159,"" 
""),)"),51.126942)</f>
        <v>51.126942</v>
      </c>
      <c r="F159" s="174" t="str">
        <f>IFERROR(__xludf.DUMMYFUNCTION("""COMPUTED_VALUE"""),"USDC")</f>
        <v>USDC</v>
      </c>
      <c r="G159" s="174">
        <f>IFERROR(__xludf.DUMMYFUNCTION("""COMPUTED_VALUE"""),-5.0E-6)</f>
        <v>-0.000005</v>
      </c>
      <c r="H159" s="174" t="str">
        <f>IFERROR(__xludf.DUMMYFUNCTION("""COMPUTED_VALUE"""),"SOL")</f>
        <v>SOL</v>
      </c>
    </row>
    <row r="160">
      <c r="A160" s="26" t="str">
        <f t="shared" si="1"/>
        <v>TRANS</v>
      </c>
      <c r="B160" s="26" t="str">
        <f t="shared" si="2"/>
        <v/>
      </c>
      <c r="C160" s="186">
        <f t="shared" si="3"/>
        <v>-0.000005</v>
      </c>
      <c r="D160" s="179" t="s">
        <v>651</v>
      </c>
      <c r="E160" s="174">
        <f>IFERROR(__xludf.DUMMYFUNCTION("IF(D160&lt;&gt;"""",SPLIT(D160,"" 
""),)"),0.013880193)</f>
        <v>0.013880193</v>
      </c>
      <c r="F160" s="174" t="str">
        <f>IFERROR(__xludf.DUMMYFUNCTION("""COMPUTED_VALUE"""),"mSOL")</f>
        <v>mSOL</v>
      </c>
      <c r="G160" s="174">
        <f>IFERROR(__xludf.DUMMYFUNCTION("""COMPUTED_VALUE"""),-5.0E-6)</f>
        <v>-0.000005</v>
      </c>
      <c r="H160" s="174" t="str">
        <f>IFERROR(__xludf.DUMMYFUNCTION("""COMPUTED_VALUE"""),"SOL")</f>
        <v>SOL</v>
      </c>
    </row>
    <row r="161">
      <c r="A161" s="26" t="str">
        <f t="shared" si="1"/>
        <v>TRANS</v>
      </c>
      <c r="B161" s="26" t="str">
        <f t="shared" si="2"/>
        <v/>
      </c>
      <c r="C161" s="186">
        <f t="shared" si="3"/>
        <v>-0.000005</v>
      </c>
      <c r="D161" s="179" t="s">
        <v>652</v>
      </c>
      <c r="E161" s="174">
        <f>IFERROR(__xludf.DUMMYFUNCTION("IF(D161&lt;&gt;"""",SPLIT(D161,"" 
""),)"),-51.121147)</f>
        <v>-51.121147</v>
      </c>
      <c r="F161" s="174" t="str">
        <f>IFERROR(__xludf.DUMMYFUNCTION("""COMPUTED_VALUE"""),"USDC")</f>
        <v>USDC</v>
      </c>
      <c r="G161" s="174">
        <f>IFERROR(__xludf.DUMMYFUNCTION("""COMPUTED_VALUE"""),-5.0E-6)</f>
        <v>-0.000005</v>
      </c>
      <c r="H161" s="174" t="str">
        <f>IFERROR(__xludf.DUMMYFUNCTION("""COMPUTED_VALUE"""),"SOL")</f>
        <v>SOL</v>
      </c>
    </row>
    <row r="162">
      <c r="A162" s="26" t="str">
        <f t="shared" si="1"/>
        <v>TRANS</v>
      </c>
      <c r="B162" s="26" t="str">
        <f t="shared" si="2"/>
        <v/>
      </c>
      <c r="C162" s="186">
        <f t="shared" si="3"/>
        <v>-0.000005</v>
      </c>
      <c r="D162" s="179" t="s">
        <v>653</v>
      </c>
      <c r="E162" s="174">
        <f>IFERROR(__xludf.DUMMYFUNCTION("IF(D162&lt;&gt;"""",SPLIT(D162,"" 
""),)"),51.121147)</f>
        <v>51.121147</v>
      </c>
      <c r="F162" s="174" t="str">
        <f>IFERROR(__xludf.DUMMYFUNCTION("""COMPUTED_VALUE"""),"USDC")</f>
        <v>USDC</v>
      </c>
      <c r="G162" s="174">
        <f>IFERROR(__xludf.DUMMYFUNCTION("""COMPUTED_VALUE"""),-5.0E-6)</f>
        <v>-0.000005</v>
      </c>
      <c r="H162" s="174" t="str">
        <f>IFERROR(__xludf.DUMMYFUNCTION("""COMPUTED_VALUE"""),"SOL")</f>
        <v>SOL</v>
      </c>
    </row>
    <row r="163">
      <c r="A163" s="26" t="str">
        <f t="shared" si="1"/>
        <v>TRANS</v>
      </c>
      <c r="B163" s="26" t="str">
        <f t="shared" si="2"/>
        <v/>
      </c>
      <c r="C163" s="186">
        <f t="shared" si="3"/>
        <v>-0.000005</v>
      </c>
      <c r="D163" s="179" t="s">
        <v>654</v>
      </c>
      <c r="E163" s="174">
        <f>IFERROR(__xludf.DUMMYFUNCTION("IF(D163&lt;&gt;"""",SPLIT(D163,"" 
""),)"),-51.121143)</f>
        <v>-51.121143</v>
      </c>
      <c r="F163" s="174" t="str">
        <f>IFERROR(__xludf.DUMMYFUNCTION("""COMPUTED_VALUE"""),"USDC")</f>
        <v>USDC</v>
      </c>
      <c r="G163" s="174">
        <f>IFERROR(__xludf.DUMMYFUNCTION("""COMPUTED_VALUE"""),-5.0E-6)</f>
        <v>-0.000005</v>
      </c>
      <c r="H163" s="174" t="str">
        <f>IFERROR(__xludf.DUMMYFUNCTION("""COMPUTED_VALUE"""),"SOL")</f>
        <v>SOL</v>
      </c>
    </row>
    <row r="164">
      <c r="A164" s="26" t="str">
        <f t="shared" si="1"/>
        <v>TRANS</v>
      </c>
      <c r="B164" s="26" t="str">
        <f t="shared" si="2"/>
        <v/>
      </c>
      <c r="C164" s="186">
        <f t="shared" si="3"/>
        <v>-0.00204428</v>
      </c>
      <c r="D164" s="179" t="s">
        <v>633</v>
      </c>
      <c r="E164" s="174">
        <f>IFERROR(__xludf.DUMMYFUNCTION("IF(D164&lt;&gt;"""",SPLIT(D164,"" 
""),)"),-0.00204428)</f>
        <v>-0.00204428</v>
      </c>
      <c r="F164" s="174" t="str">
        <f>IFERROR(__xludf.DUMMYFUNCTION("""COMPUTED_VALUE"""),"SOL")</f>
        <v>SOL</v>
      </c>
    </row>
    <row r="165">
      <c r="A165" s="26" t="str">
        <f t="shared" si="1"/>
        <v>TRANS</v>
      </c>
      <c r="B165" s="26" t="str">
        <f t="shared" si="2"/>
        <v/>
      </c>
      <c r="C165" s="186" t="str">
        <f t="shared" si="3"/>
        <v/>
      </c>
      <c r="D165" s="179" t="s">
        <v>655</v>
      </c>
      <c r="E165" s="174">
        <f>IFERROR(__xludf.DUMMYFUNCTION("IF(D165&lt;&gt;"""",SPLIT(D165,"" 
""),)"),51.121143)</f>
        <v>51.121143</v>
      </c>
      <c r="F165" s="174" t="str">
        <f>IFERROR(__xludf.DUMMYFUNCTION("""COMPUTED_VALUE"""),"USDC")</f>
        <v>USDC</v>
      </c>
    </row>
    <row r="166">
      <c r="A166" s="26" t="str">
        <f t="shared" si="1"/>
        <v>TRANS</v>
      </c>
      <c r="B166" s="26" t="str">
        <f t="shared" si="2"/>
        <v/>
      </c>
      <c r="C166" s="186">
        <f t="shared" si="3"/>
        <v>-0.00204428</v>
      </c>
      <c r="D166" s="179" t="s">
        <v>633</v>
      </c>
      <c r="E166" s="174">
        <f>IFERROR(__xludf.DUMMYFUNCTION("IF(D166&lt;&gt;"""",SPLIT(D166,"" 
""),)"),-0.00204428)</f>
        <v>-0.00204428</v>
      </c>
      <c r="F166" s="174" t="str">
        <f>IFERROR(__xludf.DUMMYFUNCTION("""COMPUTED_VALUE"""),"SOL")</f>
        <v>SOL</v>
      </c>
    </row>
    <row r="167">
      <c r="A167" s="26" t="str">
        <f t="shared" si="1"/>
        <v>RECV</v>
      </c>
      <c r="B167" s="26" t="str">
        <f t="shared" si="2"/>
        <v/>
      </c>
      <c r="C167" s="186" t="str">
        <f t="shared" si="3"/>
        <v/>
      </c>
      <c r="D167" s="179" t="s">
        <v>656</v>
      </c>
      <c r="E167" s="174">
        <f>IFERROR(__xludf.DUMMYFUNCTION("IF(D167&lt;&gt;"""",SPLIT(D167,"" 
""),)"),-0.700005)</f>
        <v>-0.700005</v>
      </c>
      <c r="F167" s="174" t="str">
        <f>IFERROR(__xludf.DUMMYFUNCTION("""COMPUTED_VALUE"""),"SOL")</f>
        <v>SOL</v>
      </c>
      <c r="G167" s="174"/>
      <c r="H167" s="174"/>
    </row>
    <row r="168">
      <c r="A168" s="26" t="str">
        <f t="shared" si="1"/>
        <v>RECV</v>
      </c>
      <c r="B168" s="26" t="str">
        <f t="shared" si="2"/>
        <v/>
      </c>
      <c r="C168" s="186" t="str">
        <f t="shared" si="3"/>
        <v/>
      </c>
      <c r="D168" s="179" t="s">
        <v>657</v>
      </c>
      <c r="E168" s="174">
        <f>IFERROR(__xludf.DUMMYFUNCTION("IF(D168&lt;&gt;"""",SPLIT(D168,"" 
""),)"),0.72014636)</f>
        <v>0.72014636</v>
      </c>
      <c r="F168" s="174" t="str">
        <f>IFERROR(__xludf.DUMMYFUNCTION("""COMPUTED_VALUE"""),"SOL")</f>
        <v>SOL</v>
      </c>
      <c r="G168" s="174"/>
      <c r="H168" s="174"/>
    </row>
    <row r="169">
      <c r="A169" s="26" t="str">
        <f t="shared" si="1"/>
        <v>TRANS</v>
      </c>
      <c r="B169" s="26" t="str">
        <f t="shared" si="2"/>
        <v/>
      </c>
      <c r="C169" s="186">
        <f t="shared" si="3"/>
        <v>-0.0085012</v>
      </c>
      <c r="D169" s="179" t="s">
        <v>658</v>
      </c>
      <c r="E169" s="174">
        <f>IFERROR(__xludf.DUMMYFUNCTION("IF(D169&lt;&gt;"""",SPLIT(D169,"" 
""),)"),-0.0085012)</f>
        <v>-0.0085012</v>
      </c>
      <c r="F169" s="174" t="str">
        <f>IFERROR(__xludf.DUMMYFUNCTION("""COMPUTED_VALUE"""),"SOL")</f>
        <v>SOL</v>
      </c>
    </row>
    <row r="170">
      <c r="A170" s="26" t="str">
        <f t="shared" si="1"/>
        <v>TRANS</v>
      </c>
      <c r="B170" s="26" t="str">
        <f t="shared" si="2"/>
        <v/>
      </c>
      <c r="C170" s="186">
        <f t="shared" si="3"/>
        <v>-0.02991348</v>
      </c>
      <c r="D170" s="179" t="s">
        <v>659</v>
      </c>
      <c r="E170" s="174">
        <f>IFERROR(__xludf.DUMMYFUNCTION("IF(D170&lt;&gt;"""",SPLIT(D170,"" 
""),)"),-0.02991348)</f>
        <v>-0.02991348</v>
      </c>
      <c r="F170" s="174" t="str">
        <f>IFERROR(__xludf.DUMMYFUNCTION("""COMPUTED_VALUE"""),"SOL")</f>
        <v>SOL</v>
      </c>
    </row>
    <row r="171">
      <c r="A171" s="26" t="str">
        <f t="shared" si="1"/>
        <v>TRANS</v>
      </c>
      <c r="B171" s="26" t="str">
        <f t="shared" si="2"/>
        <v/>
      </c>
      <c r="C171" s="186">
        <f t="shared" si="3"/>
        <v>-0.000005</v>
      </c>
      <c r="D171" s="179" t="s">
        <v>660</v>
      </c>
      <c r="E171" s="174">
        <f>IFERROR(__xludf.DUMMYFUNCTION("IF(D171&lt;&gt;"""",SPLIT(D171,"" 
""),)"),85.84038)</f>
        <v>85.84038</v>
      </c>
      <c r="F171" s="174" t="str">
        <f>IFERROR(__xludf.DUMMYFUNCTION("""COMPUTED_VALUE"""),"xUSD")</f>
        <v>xUSD</v>
      </c>
      <c r="G171" s="174">
        <f>IFERROR(__xludf.DUMMYFUNCTION("""COMPUTED_VALUE"""),-5.0E-6)</f>
        <v>-0.000005</v>
      </c>
      <c r="H171" s="174" t="str">
        <f>IFERROR(__xludf.DUMMYFUNCTION("""COMPUTED_VALUE"""),"SOL")</f>
        <v>SOL</v>
      </c>
    </row>
    <row r="172">
      <c r="A172" s="26" t="str">
        <f t="shared" si="1"/>
        <v>TRANS</v>
      </c>
      <c r="B172" s="26" t="str">
        <f t="shared" si="2"/>
        <v/>
      </c>
      <c r="C172" s="186">
        <f t="shared" si="3"/>
        <v>-0.00204428</v>
      </c>
      <c r="D172" s="179" t="s">
        <v>633</v>
      </c>
      <c r="E172" s="174">
        <f>IFERROR(__xludf.DUMMYFUNCTION("IF(D172&lt;&gt;"""",SPLIT(D172,"" 
""),)"),-0.00204428)</f>
        <v>-0.00204428</v>
      </c>
      <c r="F172" s="174" t="str">
        <f>IFERROR(__xludf.DUMMYFUNCTION("""COMPUTED_VALUE"""),"SOL")</f>
        <v>SOL</v>
      </c>
    </row>
    <row r="173">
      <c r="A173" s="26" t="str">
        <f t="shared" si="1"/>
        <v>RECV</v>
      </c>
      <c r="B173" s="26" t="str">
        <f t="shared" si="2"/>
        <v/>
      </c>
      <c r="C173" s="186" t="str">
        <f t="shared" si="3"/>
        <v/>
      </c>
      <c r="D173" s="179" t="s">
        <v>661</v>
      </c>
      <c r="E173" s="174">
        <f>IFERROR(__xludf.DUMMYFUNCTION("IF(D173&lt;&gt;"""",SPLIT(D173,"" 
""),)"),0.07328138)</f>
        <v>0.07328138</v>
      </c>
      <c r="F173" s="174" t="str">
        <f>IFERROR(__xludf.DUMMYFUNCTION("""COMPUTED_VALUE"""),"SOL")</f>
        <v>SOL</v>
      </c>
      <c r="G173" s="174"/>
      <c r="H173" s="174"/>
    </row>
    <row r="174">
      <c r="A174" s="26" t="str">
        <f t="shared" si="1"/>
        <v>TRANS</v>
      </c>
      <c r="B174" s="26" t="str">
        <f t="shared" si="2"/>
        <v/>
      </c>
      <c r="C174" s="186">
        <f t="shared" si="3"/>
        <v>-0.01077908</v>
      </c>
      <c r="D174" s="179" t="s">
        <v>662</v>
      </c>
      <c r="E174" s="174">
        <f>IFERROR(__xludf.DUMMYFUNCTION("IF(D174&lt;&gt;"""",SPLIT(D174,"" 
""),)"),-1.542140625)</f>
        <v>-1.542140625</v>
      </c>
      <c r="F174" s="174" t="str">
        <f>IFERROR(__xludf.DUMMYFUNCTION("""COMPUTED_VALUE"""),"mSOL")</f>
        <v>mSOL</v>
      </c>
      <c r="G174" s="174">
        <f>IFERROR(__xludf.DUMMYFUNCTION("""COMPUTED_VALUE"""),-0.01077908)</f>
        <v>-0.01077908</v>
      </c>
      <c r="H174" s="174" t="str">
        <f>IFERROR(__xludf.DUMMYFUNCTION("""COMPUTED_VALUE"""),"SOL")</f>
        <v>SOL</v>
      </c>
    </row>
    <row r="175">
      <c r="A175" s="26" t="str">
        <f t="shared" si="1"/>
        <v>TRANS</v>
      </c>
      <c r="B175" s="26" t="str">
        <f t="shared" si="2"/>
        <v/>
      </c>
      <c r="C175" s="186">
        <f t="shared" si="3"/>
        <v>-0.000005</v>
      </c>
      <c r="D175" s="179" t="s">
        <v>663</v>
      </c>
      <c r="E175" s="174">
        <f>IFERROR(__xludf.DUMMYFUNCTION("IF(D175&lt;&gt;"""",SPLIT(D175,"" 
""),)"),0.462726964)</f>
        <v>0.462726964</v>
      </c>
      <c r="F175" s="174" t="str">
        <f>IFERROR(__xludf.DUMMYFUNCTION("""COMPUTED_VALUE"""),"mSOL")</f>
        <v>mSOL</v>
      </c>
      <c r="G175" s="174">
        <f>IFERROR(__xludf.DUMMYFUNCTION("""COMPUTED_VALUE"""),-0.47827485)</f>
        <v>-0.47827485</v>
      </c>
      <c r="H175" s="174" t="str">
        <f>IFERROR(__xludf.DUMMYFUNCTION("""COMPUTED_VALUE"""),"SOL")</f>
        <v>SOL</v>
      </c>
    </row>
    <row r="176">
      <c r="A176" s="26" t="str">
        <f t="shared" si="1"/>
        <v>RECV</v>
      </c>
      <c r="B176" s="26" t="str">
        <f t="shared" si="2"/>
        <v/>
      </c>
      <c r="C176" s="186" t="str">
        <f t="shared" si="3"/>
        <v/>
      </c>
      <c r="D176" s="179" t="s">
        <v>664</v>
      </c>
      <c r="E176" s="174">
        <f>IFERROR(__xludf.DUMMYFUNCTION("IF(D176&lt;&gt;"""",SPLIT(D176,"" 
""),)"),0.48237293)</f>
        <v>0.48237293</v>
      </c>
      <c r="F176" s="174" t="str">
        <f>IFERROR(__xludf.DUMMYFUNCTION("""COMPUTED_VALUE"""),"SOL")</f>
        <v>SOL</v>
      </c>
      <c r="G176" s="174"/>
      <c r="H176" s="174"/>
    </row>
    <row r="177">
      <c r="A177" s="26" t="str">
        <f t="shared" si="1"/>
        <v>TRANS</v>
      </c>
      <c r="B177" s="26" t="str">
        <f t="shared" si="2"/>
        <v/>
      </c>
      <c r="C177" s="186">
        <f t="shared" si="3"/>
        <v>-0.000005</v>
      </c>
      <c r="D177" s="179" t="s">
        <v>665</v>
      </c>
      <c r="E177" s="174">
        <f>IFERROR(__xludf.DUMMYFUNCTION("IF(D177&lt;&gt;"""",SPLIT(D177,"" 
""),)"),1.079413661)</f>
        <v>1.079413661</v>
      </c>
      <c r="F177" s="174" t="str">
        <f>IFERROR(__xludf.DUMMYFUNCTION("""COMPUTED_VALUE"""),"mSOL")</f>
        <v>mSOL</v>
      </c>
      <c r="G177" s="174">
        <f>IFERROR(__xludf.DUMMYFUNCTION("""COMPUTED_VALUE"""),-1.11688928)</f>
        <v>-1.11688928</v>
      </c>
      <c r="H177" s="174" t="str">
        <f>IFERROR(__xludf.DUMMYFUNCTION("""COMPUTED_VALUE"""),"SOL")</f>
        <v>SOL</v>
      </c>
    </row>
    <row r="178">
      <c r="A178" s="26" t="str">
        <f t="shared" si="1"/>
        <v>RECV</v>
      </c>
      <c r="B178" s="26" t="str">
        <f t="shared" si="2"/>
        <v/>
      </c>
      <c r="C178" s="186" t="str">
        <f t="shared" si="3"/>
        <v/>
      </c>
      <c r="D178" s="179" t="s">
        <v>666</v>
      </c>
      <c r="E178" s="174">
        <f>IFERROR(__xludf.DUMMYFUNCTION("IF(D178&lt;&gt;"""",SPLIT(D178,"" 
""),)"),1.12484548)</f>
        <v>1.12484548</v>
      </c>
      <c r="F178" s="174" t="str">
        <f>IFERROR(__xludf.DUMMYFUNCTION("""COMPUTED_VALUE"""),"SOL")</f>
        <v>SOL</v>
      </c>
      <c r="G178" s="174"/>
      <c r="H178" s="174"/>
    </row>
    <row r="179">
      <c r="A179" s="26" t="str">
        <f t="shared" si="1"/>
        <v/>
      </c>
      <c r="B179" s="26" t="str">
        <f t="shared" si="2"/>
        <v/>
      </c>
      <c r="C179" s="186" t="str">
        <f t="shared" si="3"/>
        <v/>
      </c>
      <c r="D179" s="187"/>
      <c r="E179" s="174" t="str">
        <f>IFERROR(__xludf.DUMMYFUNCTION("IF(D179&lt;&gt;"""",SPLIT(D179,"" 
""),)"),"")</f>
        <v/>
      </c>
    </row>
    <row r="180">
      <c r="A180" s="26" t="str">
        <f t="shared" si="1"/>
        <v/>
      </c>
      <c r="B180" s="26" t="str">
        <f t="shared" si="2"/>
        <v/>
      </c>
      <c r="C180" s="186" t="str">
        <f t="shared" si="3"/>
        <v/>
      </c>
      <c r="D180" s="187"/>
      <c r="E180" s="174" t="str">
        <f>IFERROR(__xludf.DUMMYFUNCTION("IF(D180&lt;&gt;"""",SPLIT(D180,"" 
""),)"),"")</f>
        <v/>
      </c>
    </row>
    <row r="181">
      <c r="A181" s="26" t="str">
        <f t="shared" si="1"/>
        <v/>
      </c>
      <c r="B181" s="26" t="str">
        <f t="shared" si="2"/>
        <v/>
      </c>
      <c r="C181" s="186" t="str">
        <f t="shared" si="3"/>
        <v/>
      </c>
      <c r="D181" s="187"/>
      <c r="E181" s="174" t="str">
        <f>IFERROR(__xludf.DUMMYFUNCTION("IF(D181&lt;&gt;"""",SPLIT(D181,"" 
""),)"),"")</f>
        <v/>
      </c>
    </row>
    <row r="182">
      <c r="A182" s="26" t="str">
        <f t="shared" si="1"/>
        <v/>
      </c>
      <c r="B182" s="26" t="str">
        <f t="shared" si="2"/>
        <v/>
      </c>
      <c r="C182" s="186" t="str">
        <f t="shared" si="3"/>
        <v/>
      </c>
      <c r="D182" s="187"/>
      <c r="E182" s="174" t="str">
        <f>IFERROR(__xludf.DUMMYFUNCTION("IF(D182&lt;&gt;"""",SPLIT(D182,"" 
""),)"),"")</f>
        <v/>
      </c>
    </row>
    <row r="183">
      <c r="A183" s="26" t="str">
        <f t="shared" si="1"/>
        <v/>
      </c>
      <c r="B183" s="26" t="str">
        <f t="shared" si="2"/>
        <v/>
      </c>
      <c r="C183" s="186" t="str">
        <f t="shared" si="3"/>
        <v/>
      </c>
      <c r="D183" s="187"/>
      <c r="E183" s="174" t="str">
        <f>IFERROR(__xludf.DUMMYFUNCTION("IF(D183&lt;&gt;"""",SPLIT(D183,"" 
""),)"),"")</f>
        <v/>
      </c>
    </row>
    <row r="184">
      <c r="A184" s="26" t="str">
        <f t="shared" si="1"/>
        <v/>
      </c>
      <c r="B184" s="26" t="str">
        <f t="shared" si="2"/>
        <v/>
      </c>
      <c r="C184" s="186" t="str">
        <f t="shared" si="3"/>
        <v/>
      </c>
      <c r="D184" s="187"/>
      <c r="E184" s="174" t="str">
        <f>IFERROR(__xludf.DUMMYFUNCTION("IF(D184&lt;&gt;"""",SPLIT(D184,"" 
""),)"),"")</f>
        <v/>
      </c>
    </row>
    <row r="185">
      <c r="A185" s="26" t="str">
        <f t="shared" si="1"/>
        <v/>
      </c>
      <c r="B185" s="26" t="str">
        <f t="shared" si="2"/>
        <v/>
      </c>
      <c r="C185" s="186" t="str">
        <f t="shared" si="3"/>
        <v/>
      </c>
      <c r="D185" s="187"/>
      <c r="E185" s="174" t="str">
        <f>IFERROR(__xludf.DUMMYFUNCTION("IF(D185&lt;&gt;"""",SPLIT(D185,"" 
""),)"),"")</f>
        <v/>
      </c>
    </row>
    <row r="186">
      <c r="A186" s="26" t="str">
        <f t="shared" si="1"/>
        <v/>
      </c>
      <c r="B186" s="26" t="str">
        <f t="shared" si="2"/>
        <v/>
      </c>
      <c r="C186" s="186" t="str">
        <f t="shared" si="3"/>
        <v/>
      </c>
      <c r="D186" s="187"/>
      <c r="E186" s="174" t="str">
        <f>IFERROR(__xludf.DUMMYFUNCTION("IF(D186&lt;&gt;"""",SPLIT(D186,"" 
""),)"),"")</f>
        <v/>
      </c>
    </row>
    <row r="187">
      <c r="A187" s="26" t="str">
        <f t="shared" si="1"/>
        <v/>
      </c>
      <c r="B187" s="26" t="str">
        <f t="shared" si="2"/>
        <v/>
      </c>
      <c r="C187" s="186" t="str">
        <f t="shared" si="3"/>
        <v/>
      </c>
      <c r="D187" s="187"/>
      <c r="E187" s="174" t="str">
        <f>IFERROR(__xludf.DUMMYFUNCTION("IF(D187&lt;&gt;"""",SPLIT(D187,"" 
""),)"),"")</f>
        <v/>
      </c>
    </row>
    <row r="188">
      <c r="A188" s="26" t="str">
        <f t="shared" si="1"/>
        <v/>
      </c>
      <c r="B188" s="26" t="str">
        <f t="shared" si="2"/>
        <v/>
      </c>
      <c r="C188" s="186" t="str">
        <f t="shared" si="3"/>
        <v/>
      </c>
      <c r="D188" s="187"/>
      <c r="E188" s="174" t="str">
        <f>IFERROR(__xludf.DUMMYFUNCTION("IF(D188&lt;&gt;"""",SPLIT(D188,"" 
""),)"),"")</f>
        <v/>
      </c>
    </row>
    <row r="189">
      <c r="A189" s="26" t="str">
        <f t="shared" si="1"/>
        <v/>
      </c>
      <c r="B189" s="26" t="str">
        <f t="shared" si="2"/>
        <v/>
      </c>
      <c r="C189" s="186" t="str">
        <f t="shared" si="3"/>
        <v/>
      </c>
      <c r="D189" s="187"/>
      <c r="E189" s="174" t="str">
        <f>IFERROR(__xludf.DUMMYFUNCTION("IF(D189&lt;&gt;"""",SPLIT(D189,"" 
""),)"),"")</f>
        <v/>
      </c>
    </row>
    <row r="190">
      <c r="A190" s="26" t="str">
        <f t="shared" si="1"/>
        <v/>
      </c>
      <c r="B190" s="26" t="str">
        <f t="shared" si="2"/>
        <v/>
      </c>
      <c r="C190" s="186" t="str">
        <f t="shared" si="3"/>
        <v/>
      </c>
      <c r="D190" s="187"/>
      <c r="E190" s="174" t="str">
        <f>IFERROR(__xludf.DUMMYFUNCTION("IF(D190&lt;&gt;"""",SPLIT(D190,"" 
""),)"),"")</f>
        <v/>
      </c>
    </row>
    <row r="191">
      <c r="A191" s="26" t="str">
        <f t="shared" si="1"/>
        <v/>
      </c>
      <c r="B191" s="26" t="str">
        <f t="shared" si="2"/>
        <v/>
      </c>
      <c r="C191" s="186" t="str">
        <f t="shared" si="3"/>
        <v/>
      </c>
      <c r="D191" s="187"/>
      <c r="E191" s="174" t="str">
        <f>IFERROR(__xludf.DUMMYFUNCTION("IF(D191&lt;&gt;"""",SPLIT(D191,"" 
""),)"),"")</f>
        <v/>
      </c>
    </row>
    <row r="192">
      <c r="A192" s="26" t="str">
        <f t="shared" si="1"/>
        <v/>
      </c>
      <c r="B192" s="26" t="str">
        <f t="shared" si="2"/>
        <v/>
      </c>
      <c r="C192" s="186" t="str">
        <f t="shared" si="3"/>
        <v/>
      </c>
      <c r="D192" s="187"/>
      <c r="E192" s="174" t="str">
        <f>IFERROR(__xludf.DUMMYFUNCTION("IF(D192&lt;&gt;"""",SPLIT(D192,"" 
""),)"),"")</f>
        <v/>
      </c>
    </row>
    <row r="193">
      <c r="A193" s="26" t="str">
        <f t="shared" si="1"/>
        <v/>
      </c>
      <c r="B193" s="26" t="str">
        <f t="shared" si="2"/>
        <v/>
      </c>
      <c r="C193" s="186" t="str">
        <f t="shared" si="3"/>
        <v/>
      </c>
      <c r="D193" s="187"/>
      <c r="E193" s="174" t="str">
        <f>IFERROR(__xludf.DUMMYFUNCTION("IF(D193&lt;&gt;"""",SPLIT(D193,"" 
""),)"),"")</f>
        <v/>
      </c>
    </row>
    <row r="194">
      <c r="A194" s="26" t="str">
        <f t="shared" si="1"/>
        <v/>
      </c>
      <c r="B194" s="26" t="str">
        <f t="shared" si="2"/>
        <v/>
      </c>
      <c r="C194" s="186" t="str">
        <f t="shared" si="3"/>
        <v/>
      </c>
      <c r="D194" s="187"/>
      <c r="E194" s="174" t="str">
        <f>IFERROR(__xludf.DUMMYFUNCTION("IF(D194&lt;&gt;"""",SPLIT(D194,"" 
""),)"),"")</f>
        <v/>
      </c>
    </row>
    <row r="195">
      <c r="A195" s="26" t="str">
        <f t="shared" si="1"/>
        <v/>
      </c>
      <c r="B195" s="26" t="str">
        <f t="shared" si="2"/>
        <v/>
      </c>
      <c r="C195" s="186" t="str">
        <f t="shared" si="3"/>
        <v/>
      </c>
      <c r="D195" s="187"/>
      <c r="E195" s="174" t="str">
        <f>IFERROR(__xludf.DUMMYFUNCTION("IF(D195&lt;&gt;"""",SPLIT(D195,"" 
""),)"),"")</f>
        <v/>
      </c>
    </row>
    <row r="196">
      <c r="A196" s="26" t="str">
        <f t="shared" si="1"/>
        <v/>
      </c>
      <c r="B196" s="26" t="str">
        <f t="shared" si="2"/>
        <v/>
      </c>
      <c r="C196" s="186" t="str">
        <f t="shared" si="3"/>
        <v/>
      </c>
      <c r="D196" s="187"/>
      <c r="E196" s="174" t="str">
        <f>IFERROR(__xludf.DUMMYFUNCTION("IF(D196&lt;&gt;"""",SPLIT(D196,"" 
""),)"),"")</f>
        <v/>
      </c>
    </row>
    <row r="197">
      <c r="A197" s="26" t="str">
        <f t="shared" si="1"/>
        <v/>
      </c>
      <c r="B197" s="26" t="str">
        <f t="shared" si="2"/>
        <v/>
      </c>
      <c r="C197" s="186" t="str">
        <f t="shared" si="3"/>
        <v/>
      </c>
      <c r="D197" s="187"/>
      <c r="E197" s="174" t="str">
        <f>IFERROR(__xludf.DUMMYFUNCTION("IF(D197&lt;&gt;"""",SPLIT(D197,"" 
""),)"),"")</f>
        <v/>
      </c>
    </row>
    <row r="198">
      <c r="A198" s="26" t="str">
        <f t="shared" si="1"/>
        <v/>
      </c>
      <c r="B198" s="26" t="str">
        <f t="shared" si="2"/>
        <v/>
      </c>
      <c r="C198" s="186" t="str">
        <f t="shared" si="3"/>
        <v/>
      </c>
      <c r="D198" s="187"/>
      <c r="E198" s="174" t="str">
        <f>IFERROR(__xludf.DUMMYFUNCTION("IF(D198&lt;&gt;"""",SPLIT(D198,"" 
""),)"),"")</f>
        <v/>
      </c>
    </row>
    <row r="199">
      <c r="A199" s="26" t="str">
        <f t="shared" si="1"/>
        <v/>
      </c>
      <c r="B199" s="26" t="str">
        <f t="shared" si="2"/>
        <v/>
      </c>
      <c r="C199" s="186" t="str">
        <f t="shared" si="3"/>
        <v/>
      </c>
      <c r="D199" s="187"/>
      <c r="E199" s="174" t="str">
        <f>IFERROR(__xludf.DUMMYFUNCTION("IF(D199&lt;&gt;"""",SPLIT(D199,"" 
""),)"),"")</f>
        <v/>
      </c>
    </row>
    <row r="200">
      <c r="A200" s="26" t="str">
        <f t="shared" si="1"/>
        <v/>
      </c>
      <c r="B200" s="26" t="str">
        <f t="shared" si="2"/>
        <v/>
      </c>
      <c r="C200" s="186" t="str">
        <f t="shared" si="3"/>
        <v/>
      </c>
      <c r="D200" s="187"/>
      <c r="E200" s="174" t="str">
        <f>IFERROR(__xludf.DUMMYFUNCTION("IF(D200&lt;&gt;"""",SPLIT(D200,"" 
""),)"),"")</f>
        <v/>
      </c>
    </row>
    <row r="201">
      <c r="A201" s="26" t="str">
        <f t="shared" si="1"/>
        <v/>
      </c>
      <c r="B201" s="26" t="str">
        <f t="shared" si="2"/>
        <v/>
      </c>
      <c r="C201" s="186" t="str">
        <f t="shared" si="3"/>
        <v/>
      </c>
      <c r="D201" s="187"/>
      <c r="E201" s="174" t="str">
        <f>IFERROR(__xludf.DUMMYFUNCTION("IF(D201&lt;&gt;"""",SPLIT(D201,"" 
""),)"),"")</f>
        <v/>
      </c>
    </row>
    <row r="202">
      <c r="A202" s="26" t="str">
        <f t="shared" si="1"/>
        <v/>
      </c>
      <c r="B202" s="26" t="str">
        <f t="shared" si="2"/>
        <v/>
      </c>
      <c r="C202" s="186" t="str">
        <f t="shared" si="3"/>
        <v/>
      </c>
      <c r="D202" s="187"/>
      <c r="E202" s="174" t="str">
        <f>IFERROR(__xludf.DUMMYFUNCTION("IF(D202&lt;&gt;"""",SPLIT(D202,"" 
""),)"),"")</f>
        <v/>
      </c>
    </row>
    <row r="203">
      <c r="A203" s="26" t="str">
        <f t="shared" si="1"/>
        <v/>
      </c>
      <c r="B203" s="26" t="str">
        <f t="shared" si="2"/>
        <v/>
      </c>
      <c r="C203" s="186" t="str">
        <f t="shared" si="3"/>
        <v/>
      </c>
      <c r="D203" s="187"/>
      <c r="E203" s="174" t="str">
        <f>IFERROR(__xludf.DUMMYFUNCTION("IF(D203&lt;&gt;"""",SPLIT(D203,"" 
""),)"),"")</f>
        <v/>
      </c>
    </row>
    <row r="204">
      <c r="A204" s="26" t="str">
        <f t="shared" si="1"/>
        <v/>
      </c>
      <c r="B204" s="26" t="str">
        <f t="shared" si="2"/>
        <v/>
      </c>
      <c r="C204" s="186" t="str">
        <f t="shared" si="3"/>
        <v/>
      </c>
      <c r="D204" s="187"/>
      <c r="E204" s="174" t="str">
        <f>IFERROR(__xludf.DUMMYFUNCTION("IF(D204&lt;&gt;"""",SPLIT(D204,"" 
""),)"),"")</f>
        <v/>
      </c>
    </row>
    <row r="205">
      <c r="A205" s="26" t="str">
        <f t="shared" si="1"/>
        <v/>
      </c>
      <c r="B205" s="26" t="str">
        <f t="shared" si="2"/>
        <v/>
      </c>
      <c r="C205" s="186" t="str">
        <f t="shared" si="3"/>
        <v/>
      </c>
      <c r="D205" s="187"/>
      <c r="E205" s="174" t="str">
        <f>IFERROR(__xludf.DUMMYFUNCTION("IF(D205&lt;&gt;"""",SPLIT(D205,"" 
""),)"),"")</f>
        <v/>
      </c>
    </row>
    <row r="206">
      <c r="A206" s="26" t="str">
        <f t="shared" si="1"/>
        <v/>
      </c>
      <c r="B206" s="26" t="str">
        <f t="shared" si="2"/>
        <v/>
      </c>
      <c r="C206" s="186" t="str">
        <f t="shared" si="3"/>
        <v/>
      </c>
      <c r="D206" s="187"/>
      <c r="E206" s="174" t="str">
        <f>IFERROR(__xludf.DUMMYFUNCTION("IF(D206&lt;&gt;"""",SPLIT(D206,"" 
""),)"),"")</f>
        <v/>
      </c>
    </row>
    <row r="207">
      <c r="A207" s="26" t="str">
        <f t="shared" si="1"/>
        <v/>
      </c>
      <c r="B207" s="26" t="str">
        <f t="shared" si="2"/>
        <v/>
      </c>
      <c r="C207" s="186" t="str">
        <f t="shared" si="3"/>
        <v/>
      </c>
      <c r="D207" s="187"/>
      <c r="E207" s="174" t="str">
        <f>IFERROR(__xludf.DUMMYFUNCTION("IF(D207&lt;&gt;"""",SPLIT(D207,"" 
""),)"),"")</f>
        <v/>
      </c>
    </row>
    <row r="208">
      <c r="A208" s="26" t="str">
        <f t="shared" si="1"/>
        <v/>
      </c>
      <c r="B208" s="26" t="str">
        <f t="shared" si="2"/>
        <v/>
      </c>
      <c r="C208" s="186" t="str">
        <f t="shared" si="3"/>
        <v/>
      </c>
      <c r="D208" s="187"/>
      <c r="E208" s="174" t="str">
        <f>IFERROR(__xludf.DUMMYFUNCTION("IF(D208&lt;&gt;"""",SPLIT(D208,"" 
""),)"),"")</f>
        <v/>
      </c>
    </row>
    <row r="209">
      <c r="A209" s="26" t="str">
        <f t="shared" si="1"/>
        <v/>
      </c>
      <c r="B209" s="26" t="str">
        <f t="shared" si="2"/>
        <v/>
      </c>
      <c r="C209" s="186" t="str">
        <f t="shared" si="3"/>
        <v/>
      </c>
      <c r="D209" s="187"/>
      <c r="E209" s="174" t="str">
        <f>IFERROR(__xludf.DUMMYFUNCTION("IF(D209&lt;&gt;"""",SPLIT(D209,"" 
""),)"),"")</f>
        <v/>
      </c>
    </row>
    <row r="210">
      <c r="A210" s="26" t="str">
        <f t="shared" si="1"/>
        <v/>
      </c>
      <c r="B210" s="26" t="str">
        <f t="shared" si="2"/>
        <v/>
      </c>
      <c r="C210" s="186" t="str">
        <f t="shared" si="3"/>
        <v/>
      </c>
      <c r="D210" s="187"/>
      <c r="E210" s="174" t="str">
        <f>IFERROR(__xludf.DUMMYFUNCTION("IF(D210&lt;&gt;"""",SPLIT(D210,"" 
""),)"),"")</f>
        <v/>
      </c>
    </row>
    <row r="211">
      <c r="A211" s="26" t="str">
        <f t="shared" si="1"/>
        <v/>
      </c>
      <c r="B211" s="26" t="str">
        <f t="shared" si="2"/>
        <v/>
      </c>
      <c r="C211" s="186" t="str">
        <f t="shared" si="3"/>
        <v/>
      </c>
      <c r="D211" s="187"/>
      <c r="E211" s="174" t="str">
        <f>IFERROR(__xludf.DUMMYFUNCTION("IF(D211&lt;&gt;"""",SPLIT(D211,"" 
""),)"),"")</f>
        <v/>
      </c>
    </row>
    <row r="212">
      <c r="A212" s="26" t="str">
        <f t="shared" si="1"/>
        <v/>
      </c>
      <c r="B212" s="26" t="str">
        <f t="shared" si="2"/>
        <v/>
      </c>
      <c r="C212" s="186" t="str">
        <f t="shared" si="3"/>
        <v/>
      </c>
      <c r="D212" s="187"/>
      <c r="E212" s="174" t="str">
        <f>IFERROR(__xludf.DUMMYFUNCTION("IF(D212&lt;&gt;"""",SPLIT(D212,"" 
""),)"),"")</f>
        <v/>
      </c>
    </row>
    <row r="213">
      <c r="A213" s="26" t="str">
        <f t="shared" si="1"/>
        <v/>
      </c>
      <c r="B213" s="26" t="str">
        <f t="shared" si="2"/>
        <v/>
      </c>
      <c r="C213" s="186" t="str">
        <f t="shared" si="3"/>
        <v/>
      </c>
      <c r="D213" s="187"/>
      <c r="E213" s="174" t="str">
        <f>IFERROR(__xludf.DUMMYFUNCTION("IF(D213&lt;&gt;"""",SPLIT(D213,"" 
""),)"),"")</f>
        <v/>
      </c>
    </row>
    <row r="214">
      <c r="A214" s="26" t="str">
        <f t="shared" si="1"/>
        <v/>
      </c>
      <c r="B214" s="26" t="str">
        <f t="shared" si="2"/>
        <v/>
      </c>
      <c r="C214" s="186" t="str">
        <f t="shared" si="3"/>
        <v/>
      </c>
      <c r="D214" s="187"/>
      <c r="E214" s="174" t="str">
        <f>IFERROR(__xludf.DUMMYFUNCTION("IF(D214&lt;&gt;"""",SPLIT(D214,"" 
""),)"),"")</f>
        <v/>
      </c>
    </row>
    <row r="215">
      <c r="A215" s="26" t="str">
        <f t="shared" si="1"/>
        <v/>
      </c>
      <c r="B215" s="26" t="str">
        <f t="shared" si="2"/>
        <v/>
      </c>
      <c r="C215" s="186" t="str">
        <f t="shared" si="3"/>
        <v/>
      </c>
      <c r="D215" s="187"/>
      <c r="E215" s="174" t="str">
        <f>IFERROR(__xludf.DUMMYFUNCTION("IF(D215&lt;&gt;"""",SPLIT(D215,"" 
""),)"),"")</f>
        <v/>
      </c>
    </row>
    <row r="216">
      <c r="A216" s="26" t="str">
        <f t="shared" si="1"/>
        <v/>
      </c>
      <c r="B216" s="26" t="str">
        <f t="shared" si="2"/>
        <v/>
      </c>
      <c r="C216" s="186" t="str">
        <f t="shared" si="3"/>
        <v/>
      </c>
      <c r="D216" s="187"/>
      <c r="E216" s="174" t="str">
        <f>IFERROR(__xludf.DUMMYFUNCTION("IF(D216&lt;&gt;"""",SPLIT(D216,"" 
""),)"),"")</f>
        <v/>
      </c>
    </row>
    <row r="217">
      <c r="A217" s="26" t="str">
        <f t="shared" si="1"/>
        <v/>
      </c>
      <c r="B217" s="26" t="str">
        <f t="shared" si="2"/>
        <v/>
      </c>
      <c r="C217" s="186" t="str">
        <f t="shared" si="3"/>
        <v/>
      </c>
      <c r="D217" s="187"/>
      <c r="E217" s="174" t="str">
        <f>IFERROR(__xludf.DUMMYFUNCTION("IF(D217&lt;&gt;"""",SPLIT(D217,"" 
""),)"),"")</f>
        <v/>
      </c>
    </row>
    <row r="218">
      <c r="A218" s="26" t="str">
        <f t="shared" si="1"/>
        <v/>
      </c>
      <c r="B218" s="26" t="str">
        <f t="shared" si="2"/>
        <v/>
      </c>
      <c r="C218" s="186" t="str">
        <f t="shared" si="3"/>
        <v/>
      </c>
      <c r="D218" s="187"/>
      <c r="E218" s="174" t="str">
        <f>IFERROR(__xludf.DUMMYFUNCTION("IF(D218&lt;&gt;"""",SPLIT(D218,"" 
""),)"),"")</f>
        <v/>
      </c>
    </row>
    <row r="219">
      <c r="A219" s="26" t="str">
        <f t="shared" si="1"/>
        <v/>
      </c>
      <c r="B219" s="26" t="str">
        <f t="shared" si="2"/>
        <v/>
      </c>
      <c r="C219" s="186" t="str">
        <f t="shared" si="3"/>
        <v/>
      </c>
      <c r="D219" s="187"/>
      <c r="E219" s="174" t="str">
        <f>IFERROR(__xludf.DUMMYFUNCTION("IF(D219&lt;&gt;"""",SPLIT(D219,"" 
""),)"),"")</f>
        <v/>
      </c>
    </row>
    <row r="220">
      <c r="A220" s="26" t="str">
        <f t="shared" si="1"/>
        <v/>
      </c>
      <c r="B220" s="26" t="str">
        <f t="shared" si="2"/>
        <v/>
      </c>
      <c r="C220" s="186" t="str">
        <f t="shared" si="3"/>
        <v/>
      </c>
      <c r="D220" s="187"/>
      <c r="E220" s="174" t="str">
        <f>IFERROR(__xludf.DUMMYFUNCTION("IF(D220&lt;&gt;"""",SPLIT(D220,"" 
""),)"),"")</f>
        <v/>
      </c>
    </row>
    <row r="221">
      <c r="A221" s="26" t="str">
        <f t="shared" si="1"/>
        <v/>
      </c>
      <c r="B221" s="26" t="str">
        <f t="shared" si="2"/>
        <v/>
      </c>
      <c r="C221" s="186" t="str">
        <f t="shared" si="3"/>
        <v/>
      </c>
      <c r="D221" s="187"/>
      <c r="E221" s="174" t="str">
        <f>IFERROR(__xludf.DUMMYFUNCTION("IF(D221&lt;&gt;"""",SPLIT(D221,"" 
""),)"),"")</f>
        <v/>
      </c>
    </row>
    <row r="222">
      <c r="A222" s="26" t="str">
        <f t="shared" si="1"/>
        <v/>
      </c>
      <c r="B222" s="26" t="str">
        <f t="shared" si="2"/>
        <v/>
      </c>
      <c r="C222" s="186" t="str">
        <f t="shared" si="3"/>
        <v/>
      </c>
      <c r="D222" s="187"/>
      <c r="E222" s="174" t="str">
        <f>IFERROR(__xludf.DUMMYFUNCTION("IF(D222&lt;&gt;"""",SPLIT(D222,"" 
""),)"),"")</f>
        <v/>
      </c>
    </row>
    <row r="223">
      <c r="A223" s="26" t="str">
        <f t="shared" si="1"/>
        <v/>
      </c>
      <c r="B223" s="26" t="str">
        <f t="shared" si="2"/>
        <v/>
      </c>
      <c r="C223" s="186" t="str">
        <f t="shared" si="3"/>
        <v/>
      </c>
      <c r="D223" s="187"/>
      <c r="E223" s="174" t="str">
        <f>IFERROR(__xludf.DUMMYFUNCTION("IF(D223&lt;&gt;"""",SPLIT(D223,"" 
""),)"),"")</f>
        <v/>
      </c>
    </row>
    <row r="224">
      <c r="A224" s="26" t="str">
        <f t="shared" si="1"/>
        <v/>
      </c>
      <c r="B224" s="26" t="str">
        <f t="shared" si="2"/>
        <v/>
      </c>
      <c r="C224" s="186" t="str">
        <f t="shared" si="3"/>
        <v/>
      </c>
      <c r="D224" s="187"/>
      <c r="E224" s="174" t="str">
        <f>IFERROR(__xludf.DUMMYFUNCTION("IF(D224&lt;&gt;"""",SPLIT(D224,"" 
""),)"),"")</f>
        <v/>
      </c>
    </row>
    <row r="225">
      <c r="A225" s="26" t="str">
        <f t="shared" si="1"/>
        <v/>
      </c>
      <c r="B225" s="26" t="str">
        <f t="shared" si="2"/>
        <v/>
      </c>
      <c r="C225" s="186" t="str">
        <f t="shared" si="3"/>
        <v/>
      </c>
      <c r="D225" s="187"/>
      <c r="E225" s="174" t="str">
        <f>IFERROR(__xludf.DUMMYFUNCTION("IF(D225&lt;&gt;"""",SPLIT(D225,"" 
""),)"),"")</f>
        <v/>
      </c>
    </row>
    <row r="226">
      <c r="A226" s="26" t="str">
        <f t="shared" si="1"/>
        <v/>
      </c>
      <c r="B226" s="26" t="str">
        <f t="shared" si="2"/>
        <v/>
      </c>
      <c r="C226" s="186" t="str">
        <f t="shared" si="3"/>
        <v/>
      </c>
      <c r="D226" s="187"/>
      <c r="E226" s="174" t="str">
        <f>IFERROR(__xludf.DUMMYFUNCTION("IF(D226&lt;&gt;"""",SPLIT(D226,"" 
""),)"),"")</f>
        <v/>
      </c>
    </row>
    <row r="227">
      <c r="A227" s="26" t="str">
        <f t="shared" si="1"/>
        <v/>
      </c>
      <c r="B227" s="26" t="str">
        <f t="shared" si="2"/>
        <v/>
      </c>
      <c r="C227" s="186" t="str">
        <f t="shared" si="3"/>
        <v/>
      </c>
      <c r="D227" s="187"/>
      <c r="E227" s="174" t="str">
        <f>IFERROR(__xludf.DUMMYFUNCTION("IF(D227&lt;&gt;"""",SPLIT(D227,"" 
""),)"),"")</f>
        <v/>
      </c>
    </row>
    <row r="228">
      <c r="A228" s="26" t="str">
        <f t="shared" si="1"/>
        <v/>
      </c>
      <c r="B228" s="26" t="str">
        <f t="shared" si="2"/>
        <v/>
      </c>
      <c r="C228" s="186" t="str">
        <f t="shared" si="3"/>
        <v/>
      </c>
      <c r="D228" s="187"/>
      <c r="E228" s="174" t="str">
        <f>IFERROR(__xludf.DUMMYFUNCTION("IF(D228&lt;&gt;"""",SPLIT(D228,"" 
""),)"),"")</f>
        <v/>
      </c>
    </row>
    <row r="229">
      <c r="A229" s="26" t="str">
        <f t="shared" si="1"/>
        <v/>
      </c>
      <c r="B229" s="26" t="str">
        <f t="shared" si="2"/>
        <v/>
      </c>
      <c r="C229" s="186" t="str">
        <f t="shared" si="3"/>
        <v/>
      </c>
      <c r="D229" s="187"/>
      <c r="E229" s="174" t="str">
        <f>IFERROR(__xludf.DUMMYFUNCTION("IF(D229&lt;&gt;"""",SPLIT(D229,"" 
""),)"),"")</f>
        <v/>
      </c>
    </row>
    <row r="230">
      <c r="A230" s="26" t="str">
        <f t="shared" si="1"/>
        <v/>
      </c>
      <c r="B230" s="26" t="str">
        <f t="shared" si="2"/>
        <v/>
      </c>
      <c r="C230" s="186" t="str">
        <f t="shared" si="3"/>
        <v/>
      </c>
      <c r="D230" s="187"/>
      <c r="E230" s="174" t="str">
        <f>IFERROR(__xludf.DUMMYFUNCTION("IF(D230&lt;&gt;"""",SPLIT(D230,"" 
""),)"),"")</f>
        <v/>
      </c>
    </row>
    <row r="231">
      <c r="A231" s="26" t="str">
        <f t="shared" si="1"/>
        <v/>
      </c>
      <c r="B231" s="26" t="str">
        <f t="shared" si="2"/>
        <v/>
      </c>
      <c r="C231" s="186" t="str">
        <f t="shared" si="3"/>
        <v/>
      </c>
      <c r="D231" s="187"/>
      <c r="E231" s="174" t="str">
        <f>IFERROR(__xludf.DUMMYFUNCTION("IF(D231&lt;&gt;"""",SPLIT(D231,"" 
""),)"),"")</f>
        <v/>
      </c>
    </row>
    <row r="232">
      <c r="A232" s="26" t="str">
        <f t="shared" si="1"/>
        <v/>
      </c>
      <c r="B232" s="26" t="str">
        <f t="shared" si="2"/>
        <v/>
      </c>
      <c r="C232" s="186" t="str">
        <f t="shared" si="3"/>
        <v/>
      </c>
      <c r="D232" s="187"/>
      <c r="E232" s="174" t="str">
        <f>IFERROR(__xludf.DUMMYFUNCTION("IF(D232&lt;&gt;"""",SPLIT(D232,"" 
""),)"),"")</f>
        <v/>
      </c>
    </row>
    <row r="233">
      <c r="A233" s="26" t="str">
        <f t="shared" si="1"/>
        <v/>
      </c>
      <c r="B233" s="26" t="str">
        <f t="shared" si="2"/>
        <v/>
      </c>
      <c r="C233" s="186" t="str">
        <f t="shared" si="3"/>
        <v/>
      </c>
      <c r="D233" s="187"/>
      <c r="E233" s="174" t="str">
        <f>IFERROR(__xludf.DUMMYFUNCTION("IF(D233&lt;&gt;"""",SPLIT(D233,"" 
""),)"),"")</f>
        <v/>
      </c>
    </row>
    <row r="234">
      <c r="A234" s="26" t="str">
        <f t="shared" si="1"/>
        <v/>
      </c>
      <c r="B234" s="26" t="str">
        <f t="shared" si="2"/>
        <v/>
      </c>
      <c r="C234" s="186" t="str">
        <f t="shared" si="3"/>
        <v/>
      </c>
      <c r="D234" s="187"/>
      <c r="E234" s="174" t="str">
        <f>IFERROR(__xludf.DUMMYFUNCTION("IF(D234&lt;&gt;"""",SPLIT(D234,"" 
""),)"),"")</f>
        <v/>
      </c>
    </row>
    <row r="235">
      <c r="A235" s="26" t="str">
        <f t="shared" si="1"/>
        <v/>
      </c>
      <c r="B235" s="26" t="str">
        <f t="shared" si="2"/>
        <v/>
      </c>
      <c r="C235" s="186" t="str">
        <f t="shared" si="3"/>
        <v/>
      </c>
      <c r="D235" s="187"/>
      <c r="E235" s="174" t="str">
        <f>IFERROR(__xludf.DUMMYFUNCTION("IF(D235&lt;&gt;"""",SPLIT(D235,"" 
""),)"),"")</f>
        <v/>
      </c>
    </row>
    <row r="236">
      <c r="A236" s="26" t="str">
        <f t="shared" si="1"/>
        <v/>
      </c>
      <c r="B236" s="26" t="str">
        <f t="shared" si="2"/>
        <v/>
      </c>
      <c r="C236" s="186" t="str">
        <f t="shared" si="3"/>
        <v/>
      </c>
      <c r="D236" s="187"/>
      <c r="E236" s="174" t="str">
        <f>IFERROR(__xludf.DUMMYFUNCTION("IF(D236&lt;&gt;"""",SPLIT(D236,"" 
""),)"),"")</f>
        <v/>
      </c>
    </row>
    <row r="237">
      <c r="A237" s="26" t="str">
        <f t="shared" si="1"/>
        <v/>
      </c>
      <c r="B237" s="26" t="str">
        <f t="shared" si="2"/>
        <v/>
      </c>
      <c r="C237" s="186" t="str">
        <f t="shared" si="3"/>
        <v/>
      </c>
      <c r="D237" s="187"/>
      <c r="E237" s="174" t="str">
        <f>IFERROR(__xludf.DUMMYFUNCTION("IF(D237&lt;&gt;"""",SPLIT(D237,"" 
""),)"),"")</f>
        <v/>
      </c>
    </row>
    <row r="238">
      <c r="A238" s="26" t="str">
        <f t="shared" si="1"/>
        <v/>
      </c>
      <c r="B238" s="26" t="str">
        <f t="shared" si="2"/>
        <v/>
      </c>
      <c r="C238" s="186" t="str">
        <f t="shared" si="3"/>
        <v/>
      </c>
      <c r="D238" s="187"/>
      <c r="E238" s="174" t="str">
        <f>IFERROR(__xludf.DUMMYFUNCTION("IF(D238&lt;&gt;"""",SPLIT(D238,"" 
""),)"),"")</f>
        <v/>
      </c>
    </row>
    <row r="239">
      <c r="A239" s="26" t="str">
        <f t="shared" si="1"/>
        <v/>
      </c>
      <c r="B239" s="26" t="str">
        <f t="shared" si="2"/>
        <v/>
      </c>
      <c r="C239" s="186" t="str">
        <f t="shared" si="3"/>
        <v/>
      </c>
      <c r="D239" s="187"/>
      <c r="E239" s="174" t="str">
        <f>IFERROR(__xludf.DUMMYFUNCTION("IF(D239&lt;&gt;"""",SPLIT(D239,"" 
""),)"),"")</f>
        <v/>
      </c>
    </row>
    <row r="240">
      <c r="A240" s="26" t="str">
        <f t="shared" si="1"/>
        <v/>
      </c>
      <c r="B240" s="26" t="str">
        <f t="shared" si="2"/>
        <v/>
      </c>
      <c r="C240" s="186" t="str">
        <f t="shared" si="3"/>
        <v/>
      </c>
      <c r="D240" s="187"/>
      <c r="E240" s="174" t="str">
        <f>IFERROR(__xludf.DUMMYFUNCTION("IF(D240&lt;&gt;"""",SPLIT(D240,"" 
""),)"),"")</f>
        <v/>
      </c>
    </row>
    <row r="241">
      <c r="A241" s="26" t="str">
        <f t="shared" si="1"/>
        <v/>
      </c>
      <c r="B241" s="26" t="str">
        <f t="shared" si="2"/>
        <v/>
      </c>
      <c r="C241" s="186" t="str">
        <f t="shared" si="3"/>
        <v/>
      </c>
      <c r="D241" s="187"/>
      <c r="E241" s="174" t="str">
        <f>IFERROR(__xludf.DUMMYFUNCTION("IF(D241&lt;&gt;"""",SPLIT(D241,"" 
""),)"),"")</f>
        <v/>
      </c>
    </row>
    <row r="242">
      <c r="A242" s="26" t="str">
        <f t="shared" si="1"/>
        <v/>
      </c>
      <c r="B242" s="26" t="str">
        <f t="shared" si="2"/>
        <v/>
      </c>
      <c r="C242" s="186" t="str">
        <f t="shared" si="3"/>
        <v/>
      </c>
      <c r="D242" s="187"/>
      <c r="E242" s="174" t="str">
        <f>IFERROR(__xludf.DUMMYFUNCTION("IF(D242&lt;&gt;"""",SPLIT(D242,"" 
""),)"),"")</f>
        <v/>
      </c>
    </row>
    <row r="243">
      <c r="A243" s="26" t="str">
        <f t="shared" si="1"/>
        <v/>
      </c>
      <c r="B243" s="26" t="str">
        <f t="shared" si="2"/>
        <v/>
      </c>
      <c r="C243" s="186" t="str">
        <f t="shared" si="3"/>
        <v/>
      </c>
      <c r="D243" s="187"/>
      <c r="E243" s="174" t="str">
        <f>IFERROR(__xludf.DUMMYFUNCTION("IF(D243&lt;&gt;"""",SPLIT(D243,"" 
""),)"),"")</f>
        <v/>
      </c>
    </row>
    <row r="244">
      <c r="A244" s="26" t="str">
        <f t="shared" si="1"/>
        <v/>
      </c>
      <c r="B244" s="26" t="str">
        <f t="shared" si="2"/>
        <v/>
      </c>
      <c r="C244" s="186" t="str">
        <f t="shared" si="3"/>
        <v/>
      </c>
      <c r="D244" s="187"/>
      <c r="E244" s="174" t="str">
        <f>IFERROR(__xludf.DUMMYFUNCTION("IF(D244&lt;&gt;"""",SPLIT(D244,"" 
""),)"),"")</f>
        <v/>
      </c>
    </row>
    <row r="245">
      <c r="A245" s="26" t="str">
        <f t="shared" si="1"/>
        <v/>
      </c>
      <c r="B245" s="26" t="str">
        <f t="shared" si="2"/>
        <v/>
      </c>
      <c r="C245" s="186" t="str">
        <f t="shared" si="3"/>
        <v/>
      </c>
      <c r="D245" s="187"/>
      <c r="E245" s="174" t="str">
        <f>IFERROR(__xludf.DUMMYFUNCTION("IF(D245&lt;&gt;"""",SPLIT(D245,"" 
""),)"),"")</f>
        <v/>
      </c>
    </row>
    <row r="246">
      <c r="A246" s="26" t="str">
        <f t="shared" si="1"/>
        <v/>
      </c>
      <c r="B246" s="26" t="str">
        <f t="shared" si="2"/>
        <v/>
      </c>
      <c r="C246" s="186" t="str">
        <f t="shared" si="3"/>
        <v/>
      </c>
      <c r="D246" s="187"/>
      <c r="E246" s="174" t="str">
        <f>IFERROR(__xludf.DUMMYFUNCTION("IF(D246&lt;&gt;"""",SPLIT(D246,"" 
""),)"),"")</f>
        <v/>
      </c>
    </row>
    <row r="247">
      <c r="A247" s="26" t="str">
        <f t="shared" si="1"/>
        <v/>
      </c>
      <c r="B247" s="26" t="str">
        <f t="shared" si="2"/>
        <v/>
      </c>
      <c r="C247" s="186" t="str">
        <f t="shared" si="3"/>
        <v/>
      </c>
      <c r="D247" s="187"/>
      <c r="E247" s="174" t="str">
        <f>IFERROR(__xludf.DUMMYFUNCTION("IF(D247&lt;&gt;"""",SPLIT(D247,"" 
""),)"),"")</f>
        <v/>
      </c>
    </row>
    <row r="248">
      <c r="A248" s="26" t="str">
        <f t="shared" si="1"/>
        <v/>
      </c>
      <c r="B248" s="26" t="str">
        <f t="shared" si="2"/>
        <v/>
      </c>
      <c r="C248" s="186" t="str">
        <f t="shared" si="3"/>
        <v/>
      </c>
      <c r="D248" s="187"/>
      <c r="E248" s="174" t="str">
        <f>IFERROR(__xludf.DUMMYFUNCTION("IF(D248&lt;&gt;"""",SPLIT(D248,"" 
""),)"),"")</f>
        <v/>
      </c>
    </row>
    <row r="249">
      <c r="A249" s="26" t="str">
        <f t="shared" si="1"/>
        <v/>
      </c>
      <c r="B249" s="26" t="str">
        <f t="shared" si="2"/>
        <v/>
      </c>
      <c r="C249" s="186" t="str">
        <f t="shared" si="3"/>
        <v/>
      </c>
      <c r="D249" s="187"/>
      <c r="E249" s="174" t="str">
        <f>IFERROR(__xludf.DUMMYFUNCTION("IF(D249&lt;&gt;"""",SPLIT(D249,"" 
""),)"),"")</f>
        <v/>
      </c>
    </row>
    <row r="250">
      <c r="A250" s="26" t="str">
        <f t="shared" si="1"/>
        <v/>
      </c>
      <c r="B250" s="26" t="str">
        <f t="shared" si="2"/>
        <v/>
      </c>
      <c r="C250" s="186" t="str">
        <f t="shared" si="3"/>
        <v/>
      </c>
      <c r="D250" s="187"/>
      <c r="E250" s="174" t="str">
        <f>IFERROR(__xludf.DUMMYFUNCTION("IF(D250&lt;&gt;"""",SPLIT(D250,"" 
""),)"),"")</f>
        <v/>
      </c>
    </row>
    <row r="251">
      <c r="A251" s="26" t="str">
        <f t="shared" si="1"/>
        <v/>
      </c>
      <c r="B251" s="26" t="str">
        <f t="shared" si="2"/>
        <v/>
      </c>
      <c r="C251" s="186" t="str">
        <f t="shared" si="3"/>
        <v/>
      </c>
      <c r="D251" s="187"/>
      <c r="E251" s="174" t="str">
        <f>IFERROR(__xludf.DUMMYFUNCTION("IF(D251&lt;&gt;"""",SPLIT(D251,"" 
""),)"),"")</f>
        <v/>
      </c>
    </row>
    <row r="252">
      <c r="A252" s="26" t="str">
        <f t="shared" si="1"/>
        <v/>
      </c>
      <c r="B252" s="26" t="str">
        <f t="shared" si="2"/>
        <v/>
      </c>
      <c r="C252" s="186" t="str">
        <f t="shared" si="3"/>
        <v/>
      </c>
      <c r="D252" s="187"/>
      <c r="E252" s="174" t="str">
        <f>IFERROR(__xludf.DUMMYFUNCTION("IF(D252&lt;&gt;"""",SPLIT(D252,"" 
""),)"),"")</f>
        <v/>
      </c>
    </row>
    <row r="253">
      <c r="A253" s="26" t="str">
        <f t="shared" si="1"/>
        <v/>
      </c>
      <c r="B253" s="26" t="str">
        <f t="shared" si="2"/>
        <v/>
      </c>
      <c r="C253" s="186" t="str">
        <f t="shared" si="3"/>
        <v/>
      </c>
      <c r="D253" s="187"/>
      <c r="E253" s="174" t="str">
        <f>IFERROR(__xludf.DUMMYFUNCTION("IF(D253&lt;&gt;"""",SPLIT(D253,"" 
""),)"),"")</f>
        <v/>
      </c>
    </row>
    <row r="254">
      <c r="A254" s="26" t="str">
        <f t="shared" si="1"/>
        <v/>
      </c>
      <c r="B254" s="26" t="str">
        <f t="shared" si="2"/>
        <v/>
      </c>
      <c r="C254" s="186" t="str">
        <f t="shared" si="3"/>
        <v/>
      </c>
      <c r="D254" s="187"/>
      <c r="E254" s="174" t="str">
        <f>IFERROR(__xludf.DUMMYFUNCTION("IF(D254&lt;&gt;"""",SPLIT(D254,"" 
""),)"),"")</f>
        <v/>
      </c>
    </row>
    <row r="255">
      <c r="A255" s="26" t="str">
        <f t="shared" si="1"/>
        <v/>
      </c>
      <c r="B255" s="26" t="str">
        <f t="shared" si="2"/>
        <v/>
      </c>
      <c r="C255" s="186" t="str">
        <f t="shared" si="3"/>
        <v/>
      </c>
      <c r="D255" s="187"/>
      <c r="E255" s="174" t="str">
        <f>IFERROR(__xludf.DUMMYFUNCTION("IF(D255&lt;&gt;"""",SPLIT(D255,"" 
""),)"),"")</f>
        <v/>
      </c>
    </row>
    <row r="256">
      <c r="A256" s="26" t="str">
        <f t="shared" si="1"/>
        <v/>
      </c>
      <c r="B256" s="26" t="str">
        <f t="shared" si="2"/>
        <v/>
      </c>
      <c r="C256" s="186" t="str">
        <f t="shared" si="3"/>
        <v/>
      </c>
      <c r="D256" s="187"/>
      <c r="E256" s="174" t="str">
        <f>IFERROR(__xludf.DUMMYFUNCTION("IF(D256&lt;&gt;"""",SPLIT(D256,"" 
""),)"),"")</f>
        <v/>
      </c>
    </row>
    <row r="257">
      <c r="A257" s="26" t="str">
        <f t="shared" si="1"/>
        <v/>
      </c>
      <c r="B257" s="26" t="str">
        <f t="shared" si="2"/>
        <v/>
      </c>
      <c r="C257" s="186" t="str">
        <f t="shared" si="3"/>
        <v/>
      </c>
      <c r="D257" s="187"/>
      <c r="E257" s="174" t="str">
        <f>IFERROR(__xludf.DUMMYFUNCTION("IF(D257&lt;&gt;"""",SPLIT(D257,"" 
""),)"),"")</f>
        <v/>
      </c>
    </row>
    <row r="258">
      <c r="A258" s="26" t="str">
        <f t="shared" si="1"/>
        <v/>
      </c>
      <c r="B258" s="26" t="str">
        <f t="shared" si="2"/>
        <v/>
      </c>
      <c r="C258" s="186" t="str">
        <f t="shared" si="3"/>
        <v/>
      </c>
      <c r="D258" s="187"/>
      <c r="E258" s="174" t="str">
        <f>IFERROR(__xludf.DUMMYFUNCTION("IF(D258&lt;&gt;"""",SPLIT(D258,"" 
""),)"),"")</f>
        <v/>
      </c>
    </row>
    <row r="259">
      <c r="A259" s="26" t="str">
        <f t="shared" si="1"/>
        <v/>
      </c>
      <c r="B259" s="26" t="str">
        <f t="shared" si="2"/>
        <v/>
      </c>
      <c r="C259" s="186" t="str">
        <f t="shared" si="3"/>
        <v/>
      </c>
      <c r="D259" s="187"/>
      <c r="E259" s="174" t="str">
        <f>IFERROR(__xludf.DUMMYFUNCTION("IF(D259&lt;&gt;"""",SPLIT(D259,"" 
""),)"),"")</f>
        <v/>
      </c>
    </row>
    <row r="260">
      <c r="A260" s="26" t="str">
        <f t="shared" si="1"/>
        <v/>
      </c>
      <c r="B260" s="26" t="str">
        <f t="shared" si="2"/>
        <v/>
      </c>
      <c r="C260" s="186" t="str">
        <f t="shared" si="3"/>
        <v/>
      </c>
      <c r="D260" s="187"/>
      <c r="E260" s="174" t="str">
        <f>IFERROR(__xludf.DUMMYFUNCTION("IF(D260&lt;&gt;"""",SPLIT(D260,"" 
""),)"),"")</f>
        <v/>
      </c>
    </row>
    <row r="261">
      <c r="A261" s="26" t="str">
        <f t="shared" si="1"/>
        <v/>
      </c>
      <c r="B261" s="26" t="str">
        <f t="shared" si="2"/>
        <v/>
      </c>
      <c r="C261" s="186" t="str">
        <f t="shared" si="3"/>
        <v/>
      </c>
      <c r="D261" s="187"/>
      <c r="E261" s="174" t="str">
        <f>IFERROR(__xludf.DUMMYFUNCTION("IF(D261&lt;&gt;"""",SPLIT(D261,"" 
""),)"),"")</f>
        <v/>
      </c>
    </row>
    <row r="262">
      <c r="A262" s="26" t="str">
        <f t="shared" si="1"/>
        <v/>
      </c>
      <c r="B262" s="26" t="str">
        <f t="shared" si="2"/>
        <v/>
      </c>
      <c r="C262" s="186" t="str">
        <f t="shared" si="3"/>
        <v/>
      </c>
      <c r="D262" s="187"/>
      <c r="E262" s="174" t="str">
        <f>IFERROR(__xludf.DUMMYFUNCTION("IF(D262&lt;&gt;"""",SPLIT(D262,"" 
""),)"),"")</f>
        <v/>
      </c>
    </row>
    <row r="263">
      <c r="A263" s="26" t="str">
        <f t="shared" si="1"/>
        <v/>
      </c>
      <c r="B263" s="26" t="str">
        <f t="shared" si="2"/>
        <v/>
      </c>
      <c r="C263" s="186" t="str">
        <f t="shared" si="3"/>
        <v/>
      </c>
      <c r="D263" s="187"/>
      <c r="E263" s="174" t="str">
        <f>IFERROR(__xludf.DUMMYFUNCTION("IF(D263&lt;&gt;"""",SPLIT(D263,"" 
""),)"),"")</f>
        <v/>
      </c>
    </row>
    <row r="264">
      <c r="A264" s="26" t="str">
        <f t="shared" si="1"/>
        <v/>
      </c>
      <c r="B264" s="26" t="str">
        <f t="shared" si="2"/>
        <v/>
      </c>
      <c r="C264" s="186" t="str">
        <f t="shared" si="3"/>
        <v/>
      </c>
      <c r="D264" s="187"/>
      <c r="E264" s="174" t="str">
        <f>IFERROR(__xludf.DUMMYFUNCTION("IF(D264&lt;&gt;"""",SPLIT(D264,"" 
""),)"),"")</f>
        <v/>
      </c>
    </row>
    <row r="265">
      <c r="A265" s="26" t="str">
        <f t="shared" si="1"/>
        <v/>
      </c>
      <c r="B265" s="26" t="str">
        <f t="shared" si="2"/>
        <v/>
      </c>
      <c r="C265" s="186" t="str">
        <f t="shared" si="3"/>
        <v/>
      </c>
      <c r="D265" s="187"/>
      <c r="E265" s="174" t="str">
        <f>IFERROR(__xludf.DUMMYFUNCTION("IF(D265&lt;&gt;"""",SPLIT(D265,"" 
""),)"),"")</f>
        <v/>
      </c>
    </row>
    <row r="266">
      <c r="A266" s="26" t="str">
        <f t="shared" si="1"/>
        <v/>
      </c>
      <c r="B266" s="26" t="str">
        <f t="shared" si="2"/>
        <v/>
      </c>
      <c r="C266" s="186" t="str">
        <f t="shared" si="3"/>
        <v/>
      </c>
      <c r="D266" s="187"/>
      <c r="E266" s="174" t="str">
        <f>IFERROR(__xludf.DUMMYFUNCTION("IF(D266&lt;&gt;"""",SPLIT(D266,"" 
""),)"),"")</f>
        <v/>
      </c>
    </row>
    <row r="267">
      <c r="A267" s="26" t="str">
        <f t="shared" si="1"/>
        <v/>
      </c>
      <c r="B267" s="26" t="str">
        <f t="shared" si="2"/>
        <v/>
      </c>
      <c r="C267" s="186" t="str">
        <f t="shared" si="3"/>
        <v/>
      </c>
      <c r="D267" s="187"/>
      <c r="E267" s="174" t="str">
        <f>IFERROR(__xludf.DUMMYFUNCTION("IF(D267&lt;&gt;"""",SPLIT(D267,"" 
""),)"),"")</f>
        <v/>
      </c>
    </row>
    <row r="268">
      <c r="A268" s="26" t="str">
        <f t="shared" si="1"/>
        <v/>
      </c>
      <c r="B268" s="26" t="str">
        <f t="shared" si="2"/>
        <v/>
      </c>
      <c r="C268" s="186" t="str">
        <f t="shared" si="3"/>
        <v/>
      </c>
      <c r="D268" s="187"/>
      <c r="E268" s="174" t="str">
        <f>IFERROR(__xludf.DUMMYFUNCTION("IF(D268&lt;&gt;"""",SPLIT(D268,"" 
""),)"),"")</f>
        <v/>
      </c>
    </row>
    <row r="269">
      <c r="A269" s="26" t="str">
        <f t="shared" si="1"/>
        <v/>
      </c>
      <c r="B269" s="26" t="str">
        <f t="shared" si="2"/>
        <v/>
      </c>
      <c r="C269" s="186" t="str">
        <f t="shared" si="3"/>
        <v/>
      </c>
      <c r="D269" s="187"/>
      <c r="E269" s="174" t="str">
        <f>IFERROR(__xludf.DUMMYFUNCTION("IF(D269&lt;&gt;"""",SPLIT(D269,"" 
""),)"),"")</f>
        <v/>
      </c>
    </row>
    <row r="270">
      <c r="A270" s="26" t="str">
        <f t="shared" si="1"/>
        <v/>
      </c>
      <c r="B270" s="26" t="str">
        <f t="shared" si="2"/>
        <v/>
      </c>
      <c r="C270" s="186" t="str">
        <f t="shared" si="3"/>
        <v/>
      </c>
      <c r="D270" s="187"/>
      <c r="E270" s="174" t="str">
        <f>IFERROR(__xludf.DUMMYFUNCTION("IF(D270&lt;&gt;"""",SPLIT(D270,"" 
""),)"),"")</f>
        <v/>
      </c>
    </row>
    <row r="271">
      <c r="A271" s="26" t="str">
        <f t="shared" si="1"/>
        <v/>
      </c>
      <c r="B271" s="26" t="str">
        <f t="shared" si="2"/>
        <v/>
      </c>
      <c r="C271" s="186" t="str">
        <f t="shared" si="3"/>
        <v/>
      </c>
      <c r="D271" s="187"/>
      <c r="E271" s="174" t="str">
        <f>IFERROR(__xludf.DUMMYFUNCTION("IF(D271&lt;&gt;"""",SPLIT(D271,"" 
""),)"),"")</f>
        <v/>
      </c>
    </row>
    <row r="272">
      <c r="A272" s="26" t="str">
        <f t="shared" si="1"/>
        <v/>
      </c>
      <c r="B272" s="26" t="str">
        <f t="shared" si="2"/>
        <v/>
      </c>
      <c r="C272" s="186" t="str">
        <f t="shared" si="3"/>
        <v/>
      </c>
      <c r="D272" s="187"/>
      <c r="E272" s="174" t="str">
        <f>IFERROR(__xludf.DUMMYFUNCTION("IF(D272&lt;&gt;"""",SPLIT(D272,"" 
""),)"),"")</f>
        <v/>
      </c>
    </row>
    <row r="273">
      <c r="A273" s="26" t="str">
        <f t="shared" si="1"/>
        <v/>
      </c>
      <c r="B273" s="26" t="str">
        <f t="shared" si="2"/>
        <v/>
      </c>
      <c r="C273" s="186" t="str">
        <f t="shared" si="3"/>
        <v/>
      </c>
      <c r="D273" s="187"/>
      <c r="E273" s="174" t="str">
        <f>IFERROR(__xludf.DUMMYFUNCTION("IF(D273&lt;&gt;"""",SPLIT(D273,"" 
""),)"),"")</f>
        <v/>
      </c>
    </row>
    <row r="274">
      <c r="A274" s="26" t="str">
        <f t="shared" si="1"/>
        <v/>
      </c>
      <c r="B274" s="26" t="str">
        <f t="shared" si="2"/>
        <v/>
      </c>
      <c r="C274" s="186" t="str">
        <f t="shared" si="3"/>
        <v/>
      </c>
      <c r="D274" s="187"/>
      <c r="E274" s="174" t="str">
        <f>IFERROR(__xludf.DUMMYFUNCTION("IF(D274&lt;&gt;"""",SPLIT(D274,"" 
""),)"),"")</f>
        <v/>
      </c>
    </row>
    <row r="275">
      <c r="A275" s="26" t="str">
        <f t="shared" si="1"/>
        <v/>
      </c>
      <c r="B275" s="26" t="str">
        <f t="shared" si="2"/>
        <v/>
      </c>
      <c r="C275" s="186" t="str">
        <f t="shared" si="3"/>
        <v/>
      </c>
      <c r="D275" s="187"/>
      <c r="E275" s="174" t="str">
        <f>IFERROR(__xludf.DUMMYFUNCTION("IF(D275&lt;&gt;"""",SPLIT(D275,"" 
""),)"),"")</f>
        <v/>
      </c>
    </row>
    <row r="276">
      <c r="A276" s="26" t="str">
        <f t="shared" si="1"/>
        <v/>
      </c>
      <c r="B276" s="26" t="str">
        <f t="shared" si="2"/>
        <v/>
      </c>
      <c r="C276" s="186" t="str">
        <f t="shared" si="3"/>
        <v/>
      </c>
      <c r="D276" s="187"/>
      <c r="E276" s="174" t="str">
        <f>IFERROR(__xludf.DUMMYFUNCTION("IF(D276&lt;&gt;"""",SPLIT(D276,"" 
""),)"),"")</f>
        <v/>
      </c>
    </row>
    <row r="277">
      <c r="A277" s="26" t="str">
        <f t="shared" si="1"/>
        <v/>
      </c>
      <c r="B277" s="26" t="str">
        <f t="shared" si="2"/>
        <v/>
      </c>
      <c r="C277" s="186" t="str">
        <f t="shared" si="3"/>
        <v/>
      </c>
      <c r="D277" s="187"/>
      <c r="E277" s="174" t="str">
        <f>IFERROR(__xludf.DUMMYFUNCTION("IF(D277&lt;&gt;"""",SPLIT(D277,"" 
""),)"),"")</f>
        <v/>
      </c>
    </row>
    <row r="278">
      <c r="A278" s="26" t="str">
        <f t="shared" si="1"/>
        <v/>
      </c>
      <c r="B278" s="26" t="str">
        <f t="shared" si="2"/>
        <v/>
      </c>
      <c r="C278" s="186" t="str">
        <f t="shared" si="3"/>
        <v/>
      </c>
      <c r="D278" s="187"/>
      <c r="E278" s="174" t="str">
        <f>IFERROR(__xludf.DUMMYFUNCTION("IF(D278&lt;&gt;"""",SPLIT(D278,"" 
""),)"),"")</f>
        <v/>
      </c>
    </row>
    <row r="279">
      <c r="A279" s="26" t="str">
        <f t="shared" si="1"/>
        <v/>
      </c>
      <c r="B279" s="26" t="str">
        <f t="shared" si="2"/>
        <v/>
      </c>
      <c r="C279" s="186" t="str">
        <f t="shared" si="3"/>
        <v/>
      </c>
      <c r="D279" s="187"/>
      <c r="E279" s="174" t="str">
        <f>IFERROR(__xludf.DUMMYFUNCTION("IF(D279&lt;&gt;"""",SPLIT(D279,"" 
""),)"),"")</f>
        <v/>
      </c>
    </row>
    <row r="280">
      <c r="A280" s="26" t="str">
        <f t="shared" si="1"/>
        <v/>
      </c>
      <c r="B280" s="26" t="str">
        <f t="shared" si="2"/>
        <v/>
      </c>
      <c r="C280" s="186" t="str">
        <f t="shared" si="3"/>
        <v/>
      </c>
      <c r="D280" s="187"/>
      <c r="E280" s="174" t="str">
        <f>IFERROR(__xludf.DUMMYFUNCTION("IF(D280&lt;&gt;"""",SPLIT(D280,"" 
""),)"),"")</f>
        <v/>
      </c>
    </row>
    <row r="281">
      <c r="A281" s="26" t="str">
        <f t="shared" si="1"/>
        <v/>
      </c>
      <c r="B281" s="26" t="str">
        <f t="shared" si="2"/>
        <v/>
      </c>
      <c r="C281" s="186" t="str">
        <f t="shared" si="3"/>
        <v/>
      </c>
      <c r="D281" s="187"/>
      <c r="E281" s="174" t="str">
        <f>IFERROR(__xludf.DUMMYFUNCTION("IF(D281&lt;&gt;"""",SPLIT(D281,"" 
""),)"),"")</f>
        <v/>
      </c>
    </row>
    <row r="282">
      <c r="A282" s="26" t="str">
        <f t="shared" si="1"/>
        <v/>
      </c>
      <c r="B282" s="26" t="str">
        <f t="shared" si="2"/>
        <v/>
      </c>
      <c r="C282" s="186" t="str">
        <f t="shared" si="3"/>
        <v/>
      </c>
      <c r="D282" s="187"/>
      <c r="E282" s="174" t="str">
        <f>IFERROR(__xludf.DUMMYFUNCTION("IF(D282&lt;&gt;"""",SPLIT(D282,"" 
""),)"),"")</f>
        <v/>
      </c>
    </row>
    <row r="283">
      <c r="A283" s="26" t="str">
        <f t="shared" si="1"/>
        <v/>
      </c>
      <c r="B283" s="26" t="str">
        <f t="shared" si="2"/>
        <v/>
      </c>
      <c r="C283" s="186" t="str">
        <f t="shared" si="3"/>
        <v/>
      </c>
      <c r="D283" s="187"/>
      <c r="E283" s="174" t="str">
        <f>IFERROR(__xludf.DUMMYFUNCTION("IF(D283&lt;&gt;"""",SPLIT(D283,"" 
""),)"),"")</f>
        <v/>
      </c>
    </row>
    <row r="284">
      <c r="A284" s="26" t="str">
        <f t="shared" si="1"/>
        <v/>
      </c>
      <c r="B284" s="26" t="str">
        <f t="shared" si="2"/>
        <v/>
      </c>
      <c r="C284" s="186" t="str">
        <f t="shared" si="3"/>
        <v/>
      </c>
      <c r="D284" s="187"/>
      <c r="E284" s="174" t="str">
        <f>IFERROR(__xludf.DUMMYFUNCTION("IF(D284&lt;&gt;"""",SPLIT(D284,"" 
""),)"),"")</f>
        <v/>
      </c>
    </row>
    <row r="285">
      <c r="A285" s="26" t="str">
        <f t="shared" si="1"/>
        <v/>
      </c>
      <c r="B285" s="26" t="str">
        <f t="shared" si="2"/>
        <v/>
      </c>
      <c r="C285" s="186" t="str">
        <f t="shared" si="3"/>
        <v/>
      </c>
      <c r="D285" s="187"/>
      <c r="E285" s="174" t="str">
        <f>IFERROR(__xludf.DUMMYFUNCTION("IF(D285&lt;&gt;"""",SPLIT(D285,"" 
""),)"),"")</f>
        <v/>
      </c>
    </row>
    <row r="286">
      <c r="A286" s="26" t="str">
        <f t="shared" si="1"/>
        <v/>
      </c>
      <c r="B286" s="26" t="str">
        <f t="shared" si="2"/>
        <v/>
      </c>
      <c r="C286" s="186" t="str">
        <f t="shared" si="3"/>
        <v/>
      </c>
      <c r="D286" s="187"/>
      <c r="E286" s="174" t="str">
        <f>IFERROR(__xludf.DUMMYFUNCTION("IF(D286&lt;&gt;"""",SPLIT(D286,"" 
""),)"),"")</f>
        <v/>
      </c>
    </row>
    <row r="287">
      <c r="A287" s="26" t="str">
        <f t="shared" si="1"/>
        <v/>
      </c>
      <c r="B287" s="26" t="str">
        <f t="shared" si="2"/>
        <v/>
      </c>
      <c r="C287" s="186" t="str">
        <f t="shared" si="3"/>
        <v/>
      </c>
      <c r="D287" s="187"/>
      <c r="E287" s="174" t="str">
        <f>IFERROR(__xludf.DUMMYFUNCTION("IF(D287&lt;&gt;"""",SPLIT(D287,"" 
""),)"),"")</f>
        <v/>
      </c>
    </row>
    <row r="288">
      <c r="A288" s="26" t="str">
        <f t="shared" si="1"/>
        <v/>
      </c>
      <c r="B288" s="26" t="str">
        <f t="shared" si="2"/>
        <v/>
      </c>
      <c r="C288" s="186" t="str">
        <f t="shared" si="3"/>
        <v/>
      </c>
      <c r="D288" s="187"/>
      <c r="E288" s="174" t="str">
        <f>IFERROR(__xludf.DUMMYFUNCTION("IF(D288&lt;&gt;"""",SPLIT(D288,"" 
""),)"),"")</f>
        <v/>
      </c>
    </row>
    <row r="289">
      <c r="A289" s="26" t="str">
        <f t="shared" si="1"/>
        <v/>
      </c>
      <c r="B289" s="26" t="str">
        <f t="shared" si="2"/>
        <v/>
      </c>
      <c r="C289" s="186" t="str">
        <f t="shared" si="3"/>
        <v/>
      </c>
      <c r="D289" s="187"/>
      <c r="E289" s="174" t="str">
        <f>IFERROR(__xludf.DUMMYFUNCTION("IF(D289&lt;&gt;"""",SPLIT(D289,"" 
""),)"),"")</f>
        <v/>
      </c>
    </row>
    <row r="290">
      <c r="A290" s="26" t="str">
        <f t="shared" si="1"/>
        <v/>
      </c>
      <c r="B290" s="26" t="str">
        <f t="shared" si="2"/>
        <v/>
      </c>
      <c r="C290" s="186" t="str">
        <f t="shared" si="3"/>
        <v/>
      </c>
      <c r="D290" s="187"/>
      <c r="E290" s="174" t="str">
        <f>IFERROR(__xludf.DUMMYFUNCTION("IF(D290&lt;&gt;"""",SPLIT(D290,"" 
""),)"),"")</f>
        <v/>
      </c>
    </row>
    <row r="291">
      <c r="A291" s="26" t="str">
        <f t="shared" si="1"/>
        <v/>
      </c>
      <c r="B291" s="26" t="str">
        <f t="shared" si="2"/>
        <v/>
      </c>
      <c r="C291" s="186" t="str">
        <f t="shared" si="3"/>
        <v/>
      </c>
      <c r="D291" s="187"/>
      <c r="E291" s="174" t="str">
        <f>IFERROR(__xludf.DUMMYFUNCTION("IF(D291&lt;&gt;"""",SPLIT(D291,"" 
""),)"),"")</f>
        <v/>
      </c>
    </row>
    <row r="292">
      <c r="A292" s="26" t="str">
        <f t="shared" si="1"/>
        <v/>
      </c>
      <c r="B292" s="26" t="str">
        <f t="shared" si="2"/>
        <v/>
      </c>
      <c r="C292" s="186" t="str">
        <f t="shared" si="3"/>
        <v/>
      </c>
      <c r="D292" s="187"/>
      <c r="E292" s="174" t="str">
        <f>IFERROR(__xludf.DUMMYFUNCTION("IF(D292&lt;&gt;"""",SPLIT(D292,"" 
""),)"),"")</f>
        <v/>
      </c>
    </row>
    <row r="293">
      <c r="A293" s="26" t="str">
        <f t="shared" si="1"/>
        <v/>
      </c>
      <c r="B293" s="26" t="str">
        <f t="shared" si="2"/>
        <v/>
      </c>
      <c r="C293" s="186" t="str">
        <f t="shared" si="3"/>
        <v/>
      </c>
      <c r="D293" s="187"/>
      <c r="E293" s="174" t="str">
        <f>IFERROR(__xludf.DUMMYFUNCTION("IF(D293&lt;&gt;"""",SPLIT(D293,"" 
""),)"),"")</f>
        <v/>
      </c>
    </row>
    <row r="294">
      <c r="A294" s="26" t="str">
        <f t="shared" si="1"/>
        <v/>
      </c>
      <c r="B294" s="26" t="str">
        <f t="shared" si="2"/>
        <v/>
      </c>
      <c r="C294" s="186" t="str">
        <f t="shared" si="3"/>
        <v/>
      </c>
      <c r="D294" s="187"/>
      <c r="E294" s="174" t="str">
        <f>IFERROR(__xludf.DUMMYFUNCTION("IF(D294&lt;&gt;"""",SPLIT(D294,"" 
""),)"),"")</f>
        <v/>
      </c>
    </row>
    <row r="295">
      <c r="A295" s="26" t="str">
        <f t="shared" si="1"/>
        <v/>
      </c>
      <c r="B295" s="26" t="str">
        <f t="shared" si="2"/>
        <v/>
      </c>
      <c r="C295" s="186" t="str">
        <f t="shared" si="3"/>
        <v/>
      </c>
      <c r="D295" s="187"/>
      <c r="E295" s="174" t="str">
        <f>IFERROR(__xludf.DUMMYFUNCTION("IF(D295&lt;&gt;"""",SPLIT(D295,"" 
""),)"),"")</f>
        <v/>
      </c>
    </row>
    <row r="296">
      <c r="A296" s="26" t="str">
        <f t="shared" si="1"/>
        <v/>
      </c>
      <c r="B296" s="26" t="str">
        <f t="shared" si="2"/>
        <v/>
      </c>
      <c r="C296" s="186" t="str">
        <f t="shared" si="3"/>
        <v/>
      </c>
      <c r="D296" s="187"/>
      <c r="E296" s="174" t="str">
        <f>IFERROR(__xludf.DUMMYFUNCTION("IF(D296&lt;&gt;"""",SPLIT(D296,"" 
""),)"),"")</f>
        <v/>
      </c>
    </row>
    <row r="297">
      <c r="A297" s="26" t="str">
        <f t="shared" si="1"/>
        <v/>
      </c>
      <c r="B297" s="26" t="str">
        <f t="shared" si="2"/>
        <v/>
      </c>
      <c r="C297" s="186" t="str">
        <f t="shared" si="3"/>
        <v/>
      </c>
      <c r="D297" s="187"/>
      <c r="E297" s="174" t="str">
        <f>IFERROR(__xludf.DUMMYFUNCTION("IF(D297&lt;&gt;"""",SPLIT(D297,"" 
""),)"),"")</f>
        <v/>
      </c>
    </row>
    <row r="298">
      <c r="A298" s="26" t="str">
        <f t="shared" si="1"/>
        <v/>
      </c>
      <c r="B298" s="26" t="str">
        <f t="shared" si="2"/>
        <v/>
      </c>
      <c r="C298" s="186" t="str">
        <f t="shared" si="3"/>
        <v/>
      </c>
      <c r="D298" s="187"/>
      <c r="E298" s="174" t="str">
        <f>IFERROR(__xludf.DUMMYFUNCTION("IF(D298&lt;&gt;"""",SPLIT(D298,"" 
""),)"),"")</f>
        <v/>
      </c>
    </row>
    <row r="299">
      <c r="A299" s="26" t="str">
        <f t="shared" si="1"/>
        <v/>
      </c>
      <c r="B299" s="26" t="str">
        <f t="shared" si="2"/>
        <v/>
      </c>
      <c r="C299" s="186" t="str">
        <f t="shared" si="3"/>
        <v/>
      </c>
      <c r="D299" s="187"/>
      <c r="E299" s="174" t="str">
        <f>IFERROR(__xludf.DUMMYFUNCTION("IF(D299&lt;&gt;"""",SPLIT(D299,"" 
""),)"),"")</f>
        <v/>
      </c>
    </row>
    <row r="300">
      <c r="A300" s="26" t="str">
        <f t="shared" si="1"/>
        <v/>
      </c>
      <c r="B300" s="26" t="str">
        <f t="shared" si="2"/>
        <v/>
      </c>
      <c r="C300" s="186" t="str">
        <f t="shared" si="3"/>
        <v/>
      </c>
      <c r="D300" s="187"/>
      <c r="E300" s="174" t="str">
        <f>IFERROR(__xludf.DUMMYFUNCTION("IF(D300&lt;&gt;"""",SPLIT(D300,"" 
""),)"),"")</f>
        <v/>
      </c>
    </row>
    <row r="301">
      <c r="A301" s="26" t="str">
        <f t="shared" si="1"/>
        <v/>
      </c>
      <c r="B301" s="26" t="str">
        <f t="shared" si="2"/>
        <v/>
      </c>
      <c r="C301" s="186" t="str">
        <f t="shared" si="3"/>
        <v/>
      </c>
      <c r="D301" s="187"/>
      <c r="E301" s="174" t="str">
        <f>IFERROR(__xludf.DUMMYFUNCTION("IF(D301&lt;&gt;"""",SPLIT(D301,"" 
""),)"),"")</f>
        <v/>
      </c>
    </row>
    <row r="302">
      <c r="A302" s="26" t="str">
        <f t="shared" si="1"/>
        <v/>
      </c>
      <c r="B302" s="26" t="str">
        <f t="shared" si="2"/>
        <v/>
      </c>
      <c r="C302" s="186" t="str">
        <f t="shared" si="3"/>
        <v/>
      </c>
      <c r="D302" s="187"/>
      <c r="E302" s="174" t="str">
        <f>IFERROR(__xludf.DUMMYFUNCTION("IF(D302&lt;&gt;"""",SPLIT(D302,"" 
""),)"),"")</f>
        <v/>
      </c>
    </row>
    <row r="303">
      <c r="A303" s="26" t="str">
        <f t="shared" si="1"/>
        <v/>
      </c>
      <c r="B303" s="26" t="str">
        <f t="shared" si="2"/>
        <v/>
      </c>
      <c r="C303" s="186" t="str">
        <f t="shared" si="3"/>
        <v/>
      </c>
      <c r="D303" s="187"/>
      <c r="E303" s="174" t="str">
        <f>IFERROR(__xludf.DUMMYFUNCTION("IF(D303&lt;&gt;"""",SPLIT(D303,"" 
""),)"),"")</f>
        <v/>
      </c>
    </row>
    <row r="304">
      <c r="A304" s="26" t="str">
        <f t="shared" si="1"/>
        <v/>
      </c>
      <c r="B304" s="26" t="str">
        <f t="shared" si="2"/>
        <v/>
      </c>
      <c r="C304" s="186" t="str">
        <f t="shared" si="3"/>
        <v/>
      </c>
      <c r="D304" s="187"/>
      <c r="E304" s="174" t="str">
        <f>IFERROR(__xludf.DUMMYFUNCTION("IF(D304&lt;&gt;"""",SPLIT(D304,"" 
""),)"),"")</f>
        <v/>
      </c>
    </row>
    <row r="305">
      <c r="A305" s="26" t="str">
        <f t="shared" si="1"/>
        <v/>
      </c>
      <c r="B305" s="26" t="str">
        <f t="shared" si="2"/>
        <v/>
      </c>
      <c r="C305" s="186" t="str">
        <f t="shared" si="3"/>
        <v/>
      </c>
      <c r="D305" s="187"/>
      <c r="E305" s="174" t="str">
        <f>IFERROR(__xludf.DUMMYFUNCTION("IF(D305&lt;&gt;"""",SPLIT(D305,"" 
""),)"),"")</f>
        <v/>
      </c>
    </row>
    <row r="306">
      <c r="A306" s="26" t="str">
        <f t="shared" si="1"/>
        <v/>
      </c>
      <c r="B306" s="26" t="str">
        <f t="shared" si="2"/>
        <v/>
      </c>
      <c r="C306" s="186" t="str">
        <f t="shared" si="3"/>
        <v/>
      </c>
      <c r="D306" s="187"/>
      <c r="E306" s="174" t="str">
        <f>IFERROR(__xludf.DUMMYFUNCTION("IF(D306&lt;&gt;"""",SPLIT(D306,"" 
""),)"),"")</f>
        <v/>
      </c>
    </row>
    <row r="307">
      <c r="A307" s="26" t="str">
        <f t="shared" si="1"/>
        <v/>
      </c>
      <c r="B307" s="26" t="str">
        <f t="shared" si="2"/>
        <v/>
      </c>
      <c r="C307" s="186" t="str">
        <f t="shared" si="3"/>
        <v/>
      </c>
      <c r="D307" s="187"/>
      <c r="E307" s="174" t="str">
        <f>IFERROR(__xludf.DUMMYFUNCTION("IF(D307&lt;&gt;"""",SPLIT(D307,"" 
""),)"),"")</f>
        <v/>
      </c>
    </row>
    <row r="308">
      <c r="A308" s="26" t="str">
        <f t="shared" si="1"/>
        <v/>
      </c>
      <c r="B308" s="26" t="str">
        <f t="shared" si="2"/>
        <v/>
      </c>
      <c r="C308" s="186" t="str">
        <f t="shared" si="3"/>
        <v/>
      </c>
      <c r="D308" s="187"/>
      <c r="E308" s="174" t="str">
        <f>IFERROR(__xludf.DUMMYFUNCTION("IF(D308&lt;&gt;"""",SPLIT(D308,"" 
""),)"),"")</f>
        <v/>
      </c>
    </row>
    <row r="309">
      <c r="A309" s="26" t="str">
        <f t="shared" si="1"/>
        <v/>
      </c>
      <c r="B309" s="26" t="str">
        <f t="shared" si="2"/>
        <v/>
      </c>
      <c r="C309" s="186" t="str">
        <f t="shared" si="3"/>
        <v/>
      </c>
      <c r="D309" s="187"/>
      <c r="E309" s="174" t="str">
        <f>IFERROR(__xludf.DUMMYFUNCTION("IF(D309&lt;&gt;"""",SPLIT(D309,"" 
""),)"),"")</f>
        <v/>
      </c>
    </row>
    <row r="310">
      <c r="A310" s="26" t="str">
        <f t="shared" si="1"/>
        <v/>
      </c>
      <c r="B310" s="26" t="str">
        <f t="shared" si="2"/>
        <v/>
      </c>
      <c r="C310" s="186" t="str">
        <f t="shared" si="3"/>
        <v/>
      </c>
      <c r="D310" s="187"/>
      <c r="E310" s="174" t="str">
        <f>IFERROR(__xludf.DUMMYFUNCTION("IF(D310&lt;&gt;"""",SPLIT(D310,"" 
""),)"),"")</f>
        <v/>
      </c>
    </row>
    <row r="311">
      <c r="A311" s="26" t="str">
        <f t="shared" si="1"/>
        <v/>
      </c>
      <c r="B311" s="26" t="str">
        <f t="shared" si="2"/>
        <v/>
      </c>
      <c r="C311" s="186" t="str">
        <f t="shared" si="3"/>
        <v/>
      </c>
      <c r="D311" s="187"/>
      <c r="E311" s="174" t="str">
        <f>IFERROR(__xludf.DUMMYFUNCTION("IF(D311&lt;&gt;"""",SPLIT(D311,"" 
""),)"),"")</f>
        <v/>
      </c>
    </row>
    <row r="312">
      <c r="A312" s="26" t="str">
        <f t="shared" si="1"/>
        <v/>
      </c>
      <c r="B312" s="26" t="str">
        <f t="shared" si="2"/>
        <v/>
      </c>
      <c r="C312" s="186" t="str">
        <f t="shared" si="3"/>
        <v/>
      </c>
      <c r="D312" s="187"/>
      <c r="E312" s="174" t="str">
        <f>IFERROR(__xludf.DUMMYFUNCTION("IF(D312&lt;&gt;"""",SPLIT(D312,"" 
""),)"),"")</f>
        <v/>
      </c>
    </row>
    <row r="313">
      <c r="A313" s="26" t="str">
        <f t="shared" si="1"/>
        <v/>
      </c>
      <c r="B313" s="26" t="str">
        <f t="shared" si="2"/>
        <v/>
      </c>
      <c r="C313" s="186" t="str">
        <f t="shared" si="3"/>
        <v/>
      </c>
      <c r="D313" s="187"/>
      <c r="E313" s="174" t="str">
        <f>IFERROR(__xludf.DUMMYFUNCTION("IF(D313&lt;&gt;"""",SPLIT(D313,"" 
""),)"),"")</f>
        <v/>
      </c>
    </row>
    <row r="314">
      <c r="A314" s="26" t="str">
        <f t="shared" si="1"/>
        <v/>
      </c>
      <c r="B314" s="26" t="str">
        <f t="shared" si="2"/>
        <v/>
      </c>
      <c r="C314" s="186" t="str">
        <f t="shared" si="3"/>
        <v/>
      </c>
      <c r="D314" s="187"/>
      <c r="E314" s="174" t="str">
        <f>IFERROR(__xludf.DUMMYFUNCTION("IF(D314&lt;&gt;"""",SPLIT(D314,"" 
""),)"),"")</f>
        <v/>
      </c>
    </row>
    <row r="315">
      <c r="A315" s="26" t="str">
        <f t="shared" si="1"/>
        <v/>
      </c>
      <c r="B315" s="26" t="str">
        <f t="shared" si="2"/>
        <v/>
      </c>
      <c r="C315" s="186" t="str">
        <f t="shared" si="3"/>
        <v/>
      </c>
      <c r="D315" s="187"/>
      <c r="E315" s="174" t="str">
        <f>IFERROR(__xludf.DUMMYFUNCTION("IF(D315&lt;&gt;"""",SPLIT(D315,"" 
""),)"),"")</f>
        <v/>
      </c>
    </row>
    <row r="316">
      <c r="A316" s="26" t="str">
        <f t="shared" si="1"/>
        <v/>
      </c>
      <c r="B316" s="26" t="str">
        <f t="shared" si="2"/>
        <v/>
      </c>
      <c r="C316" s="186" t="str">
        <f t="shared" si="3"/>
        <v/>
      </c>
      <c r="D316" s="187"/>
      <c r="E316" s="174" t="str">
        <f>IFERROR(__xludf.DUMMYFUNCTION("IF(D316&lt;&gt;"""",SPLIT(D316,"" 
""),)"),"")</f>
        <v/>
      </c>
    </row>
    <row r="317">
      <c r="A317" s="26" t="str">
        <f t="shared" si="1"/>
        <v/>
      </c>
      <c r="B317" s="26" t="str">
        <f t="shared" si="2"/>
        <v/>
      </c>
      <c r="C317" s="186" t="str">
        <f t="shared" si="3"/>
        <v/>
      </c>
      <c r="D317" s="187"/>
      <c r="E317" s="174" t="str">
        <f>IFERROR(__xludf.DUMMYFUNCTION("IF(D317&lt;&gt;"""",SPLIT(D317,"" 
""),)"),"")</f>
        <v/>
      </c>
    </row>
    <row r="318">
      <c r="A318" s="26" t="str">
        <f t="shared" si="1"/>
        <v/>
      </c>
      <c r="B318" s="26" t="str">
        <f t="shared" si="2"/>
        <v/>
      </c>
      <c r="C318" s="186" t="str">
        <f t="shared" si="3"/>
        <v/>
      </c>
      <c r="D318" s="187"/>
      <c r="E318" s="174" t="str">
        <f>IFERROR(__xludf.DUMMYFUNCTION("IF(D318&lt;&gt;"""",SPLIT(D318,"" 
""),)"),"")</f>
        <v/>
      </c>
    </row>
    <row r="319">
      <c r="A319" s="26" t="str">
        <f t="shared" si="1"/>
        <v/>
      </c>
      <c r="B319" s="26" t="str">
        <f t="shared" si="2"/>
        <v/>
      </c>
      <c r="C319" s="186" t="str">
        <f t="shared" si="3"/>
        <v/>
      </c>
      <c r="D319" s="187"/>
      <c r="E319" s="174" t="str">
        <f>IFERROR(__xludf.DUMMYFUNCTION("IF(D319&lt;&gt;"""",SPLIT(D319,"" 
""),)"),"")</f>
        <v/>
      </c>
    </row>
    <row r="320">
      <c r="A320" s="26" t="str">
        <f t="shared" si="1"/>
        <v/>
      </c>
      <c r="B320" s="26" t="str">
        <f t="shared" si="2"/>
        <v/>
      </c>
      <c r="C320" s="186" t="str">
        <f t="shared" si="3"/>
        <v/>
      </c>
      <c r="D320" s="187"/>
      <c r="E320" s="174" t="str">
        <f>IFERROR(__xludf.DUMMYFUNCTION("IF(D320&lt;&gt;"""",SPLIT(D320,"" 
""),)"),"")</f>
        <v/>
      </c>
    </row>
    <row r="321">
      <c r="A321" s="26" t="str">
        <f t="shared" si="1"/>
        <v/>
      </c>
      <c r="B321" s="26" t="str">
        <f t="shared" si="2"/>
        <v/>
      </c>
      <c r="C321" s="186" t="str">
        <f t="shared" si="3"/>
        <v/>
      </c>
      <c r="D321" s="187"/>
      <c r="E321" s="174" t="str">
        <f>IFERROR(__xludf.DUMMYFUNCTION("IF(D321&lt;&gt;"""",SPLIT(D321,"" 
""),)"),"")</f>
        <v/>
      </c>
    </row>
    <row r="322">
      <c r="A322" s="26" t="str">
        <f t="shared" si="1"/>
        <v/>
      </c>
      <c r="B322" s="26" t="str">
        <f t="shared" si="2"/>
        <v/>
      </c>
      <c r="C322" s="186" t="str">
        <f t="shared" si="3"/>
        <v/>
      </c>
      <c r="D322" s="187"/>
      <c r="E322" s="174" t="str">
        <f>IFERROR(__xludf.DUMMYFUNCTION("IF(D322&lt;&gt;"""",SPLIT(D322,"" 
""),)"),"")</f>
        <v/>
      </c>
    </row>
    <row r="323">
      <c r="A323" s="26" t="str">
        <f t="shared" si="1"/>
        <v/>
      </c>
      <c r="B323" s="26" t="str">
        <f t="shared" si="2"/>
        <v/>
      </c>
      <c r="C323" s="186" t="str">
        <f t="shared" si="3"/>
        <v/>
      </c>
      <c r="D323" s="187"/>
      <c r="E323" s="174" t="str">
        <f>IFERROR(__xludf.DUMMYFUNCTION("IF(D323&lt;&gt;"""",SPLIT(D323,"" 
""),)"),"")</f>
        <v/>
      </c>
    </row>
    <row r="324">
      <c r="A324" s="26" t="str">
        <f t="shared" si="1"/>
        <v/>
      </c>
      <c r="B324" s="26" t="str">
        <f t="shared" si="2"/>
        <v/>
      </c>
      <c r="C324" s="186" t="str">
        <f t="shared" si="3"/>
        <v/>
      </c>
      <c r="D324" s="187"/>
      <c r="E324" s="174" t="str">
        <f>IFERROR(__xludf.DUMMYFUNCTION("IF(D324&lt;&gt;"""",SPLIT(D324,"" 
""),)"),"")</f>
        <v/>
      </c>
    </row>
    <row r="325">
      <c r="A325" s="26" t="str">
        <f t="shared" si="1"/>
        <v/>
      </c>
      <c r="B325" s="26" t="str">
        <f t="shared" si="2"/>
        <v/>
      </c>
      <c r="C325" s="186" t="str">
        <f t="shared" si="3"/>
        <v/>
      </c>
      <c r="D325" s="187"/>
      <c r="E325" s="174" t="str">
        <f>IFERROR(__xludf.DUMMYFUNCTION("IF(D325&lt;&gt;"""",SPLIT(D325,"" 
""),)"),"")</f>
        <v/>
      </c>
    </row>
    <row r="326">
      <c r="A326" s="26" t="str">
        <f t="shared" si="1"/>
        <v/>
      </c>
      <c r="B326" s="26" t="str">
        <f t="shared" si="2"/>
        <v/>
      </c>
      <c r="C326" s="186" t="str">
        <f t="shared" si="3"/>
        <v/>
      </c>
      <c r="D326" s="187"/>
      <c r="E326" s="174" t="str">
        <f>IFERROR(__xludf.DUMMYFUNCTION("IF(D326&lt;&gt;"""",SPLIT(D326,"" 
""),)"),"")</f>
        <v/>
      </c>
    </row>
    <row r="327">
      <c r="A327" s="26" t="str">
        <f t="shared" si="1"/>
        <v/>
      </c>
      <c r="B327" s="26" t="str">
        <f t="shared" si="2"/>
        <v/>
      </c>
      <c r="C327" s="186" t="str">
        <f t="shared" si="3"/>
        <v/>
      </c>
      <c r="D327" s="187"/>
      <c r="E327" s="174" t="str">
        <f>IFERROR(__xludf.DUMMYFUNCTION("IF(D327&lt;&gt;"""",SPLIT(D327,"" 
""),)"),"")</f>
        <v/>
      </c>
    </row>
    <row r="328">
      <c r="A328" s="26" t="str">
        <f t="shared" si="1"/>
        <v/>
      </c>
      <c r="B328" s="26" t="str">
        <f t="shared" si="2"/>
        <v/>
      </c>
      <c r="C328" s="186" t="str">
        <f t="shared" si="3"/>
        <v/>
      </c>
      <c r="D328" s="187"/>
      <c r="E328" s="174" t="str">
        <f>IFERROR(__xludf.DUMMYFUNCTION("IF(D328&lt;&gt;"""",SPLIT(D328,"" 
""),)"),"")</f>
        <v/>
      </c>
    </row>
    <row r="329">
      <c r="A329" s="26" t="str">
        <f t="shared" si="1"/>
        <v/>
      </c>
      <c r="B329" s="26" t="str">
        <f t="shared" si="2"/>
        <v/>
      </c>
      <c r="C329" s="186" t="str">
        <f t="shared" si="3"/>
        <v/>
      </c>
      <c r="D329" s="187"/>
      <c r="E329" s="174" t="str">
        <f>IFERROR(__xludf.DUMMYFUNCTION("IF(D329&lt;&gt;"""",SPLIT(D329,"" 
""),)"),"")</f>
        <v/>
      </c>
    </row>
    <row r="330">
      <c r="A330" s="26" t="str">
        <f t="shared" si="1"/>
        <v/>
      </c>
      <c r="B330" s="26" t="str">
        <f t="shared" si="2"/>
        <v/>
      </c>
      <c r="C330" s="186" t="str">
        <f t="shared" si="3"/>
        <v/>
      </c>
      <c r="D330" s="187"/>
      <c r="E330" s="174" t="str">
        <f>IFERROR(__xludf.DUMMYFUNCTION("IF(D330&lt;&gt;"""",SPLIT(D330,"" 
""),)"),"")</f>
        <v/>
      </c>
    </row>
    <row r="331">
      <c r="A331" s="26" t="str">
        <f t="shared" si="1"/>
        <v/>
      </c>
      <c r="B331" s="26" t="str">
        <f t="shared" si="2"/>
        <v/>
      </c>
      <c r="C331" s="186" t="str">
        <f t="shared" si="3"/>
        <v/>
      </c>
      <c r="D331" s="187"/>
      <c r="E331" s="174" t="str">
        <f>IFERROR(__xludf.DUMMYFUNCTION("IF(D331&lt;&gt;"""",SPLIT(D331,"" 
""),)"),"")</f>
        <v/>
      </c>
    </row>
    <row r="332">
      <c r="A332" s="26" t="str">
        <f t="shared" si="1"/>
        <v/>
      </c>
      <c r="B332" s="26" t="str">
        <f t="shared" si="2"/>
        <v/>
      </c>
      <c r="C332" s="186" t="str">
        <f t="shared" si="3"/>
        <v/>
      </c>
      <c r="D332" s="187"/>
      <c r="E332" s="174" t="str">
        <f>IFERROR(__xludf.DUMMYFUNCTION("IF(D332&lt;&gt;"""",SPLIT(D332,"" 
""),)"),"")</f>
        <v/>
      </c>
    </row>
    <row r="333">
      <c r="A333" s="26" t="str">
        <f t="shared" si="1"/>
        <v/>
      </c>
      <c r="B333" s="26" t="str">
        <f t="shared" si="2"/>
        <v/>
      </c>
      <c r="C333" s="186" t="str">
        <f t="shared" si="3"/>
        <v/>
      </c>
      <c r="D333" s="187"/>
      <c r="E333" s="174" t="str">
        <f>IFERROR(__xludf.DUMMYFUNCTION("IF(D333&lt;&gt;"""",SPLIT(D333,"" 
""),)"),"")</f>
        <v/>
      </c>
    </row>
    <row r="334">
      <c r="A334" s="26" t="str">
        <f t="shared" si="1"/>
        <v/>
      </c>
      <c r="B334" s="26" t="str">
        <f t="shared" si="2"/>
        <v/>
      </c>
      <c r="C334" s="186" t="str">
        <f t="shared" si="3"/>
        <v/>
      </c>
      <c r="D334" s="187"/>
      <c r="E334" s="174" t="str">
        <f>IFERROR(__xludf.DUMMYFUNCTION("IF(D334&lt;&gt;"""",SPLIT(D334,"" 
""),)"),"")</f>
        <v/>
      </c>
    </row>
    <row r="335">
      <c r="A335" s="26" t="str">
        <f t="shared" si="1"/>
        <v/>
      </c>
      <c r="B335" s="26" t="str">
        <f t="shared" si="2"/>
        <v/>
      </c>
      <c r="C335" s="186" t="str">
        <f t="shared" si="3"/>
        <v/>
      </c>
      <c r="D335" s="187"/>
      <c r="E335" s="174" t="str">
        <f>IFERROR(__xludf.DUMMYFUNCTION("IF(D335&lt;&gt;"""",SPLIT(D335,"" 
""),)"),"")</f>
        <v/>
      </c>
    </row>
    <row r="336">
      <c r="A336" s="26" t="str">
        <f t="shared" si="1"/>
        <v/>
      </c>
      <c r="B336" s="26" t="str">
        <f t="shared" si="2"/>
        <v/>
      </c>
      <c r="C336" s="186" t="str">
        <f t="shared" si="3"/>
        <v/>
      </c>
      <c r="D336" s="187"/>
      <c r="E336" s="174" t="str">
        <f>IFERROR(__xludf.DUMMYFUNCTION("IF(D336&lt;&gt;"""",SPLIT(D336,"" 
""),)"),"")</f>
        <v/>
      </c>
    </row>
    <row r="337">
      <c r="A337" s="26" t="str">
        <f t="shared" si="1"/>
        <v/>
      </c>
      <c r="B337" s="26" t="str">
        <f t="shared" si="2"/>
        <v/>
      </c>
      <c r="C337" s="186" t="str">
        <f t="shared" si="3"/>
        <v/>
      </c>
      <c r="D337" s="187"/>
      <c r="E337" s="174" t="str">
        <f>IFERROR(__xludf.DUMMYFUNCTION("IF(D337&lt;&gt;"""",SPLIT(D337,"" 
""),)"),"")</f>
        <v/>
      </c>
    </row>
    <row r="338">
      <c r="A338" s="26" t="str">
        <f t="shared" si="1"/>
        <v/>
      </c>
      <c r="B338" s="26" t="str">
        <f t="shared" si="2"/>
        <v/>
      </c>
      <c r="C338" s="186" t="str">
        <f t="shared" si="3"/>
        <v/>
      </c>
      <c r="D338" s="187"/>
      <c r="E338" s="174" t="str">
        <f>IFERROR(__xludf.DUMMYFUNCTION("IF(D338&lt;&gt;"""",SPLIT(D338,"" 
""),)"),"")</f>
        <v/>
      </c>
    </row>
    <row r="339">
      <c r="A339" s="26" t="str">
        <f t="shared" si="1"/>
        <v/>
      </c>
      <c r="B339" s="26" t="str">
        <f t="shared" si="2"/>
        <v/>
      </c>
      <c r="C339" s="186" t="str">
        <f t="shared" si="3"/>
        <v/>
      </c>
      <c r="D339" s="187"/>
      <c r="E339" s="174" t="str">
        <f>IFERROR(__xludf.DUMMYFUNCTION("IF(D339&lt;&gt;"""",SPLIT(D339,"" 
""),)"),"")</f>
        <v/>
      </c>
    </row>
    <row r="340">
      <c r="A340" s="26" t="str">
        <f t="shared" si="1"/>
        <v/>
      </c>
      <c r="B340" s="26" t="str">
        <f t="shared" si="2"/>
        <v/>
      </c>
      <c r="C340" s="186" t="str">
        <f t="shared" si="3"/>
        <v/>
      </c>
      <c r="D340" s="187"/>
      <c r="E340" s="174" t="str">
        <f>IFERROR(__xludf.DUMMYFUNCTION("IF(D340&lt;&gt;"""",SPLIT(D340,"" 
""),)"),"")</f>
        <v/>
      </c>
    </row>
    <row r="341">
      <c r="A341" s="26" t="str">
        <f t="shared" si="1"/>
        <v/>
      </c>
      <c r="B341" s="26" t="str">
        <f t="shared" si="2"/>
        <v/>
      </c>
      <c r="C341" s="186" t="str">
        <f t="shared" si="3"/>
        <v/>
      </c>
      <c r="D341" s="187"/>
      <c r="E341" s="174" t="str">
        <f>IFERROR(__xludf.DUMMYFUNCTION("IF(D341&lt;&gt;"""",SPLIT(D341,"" 
""),)"),"")</f>
        <v/>
      </c>
    </row>
    <row r="342">
      <c r="A342" s="26" t="str">
        <f t="shared" si="1"/>
        <v/>
      </c>
      <c r="B342" s="26" t="str">
        <f t="shared" si="2"/>
        <v/>
      </c>
      <c r="C342" s="186" t="str">
        <f t="shared" si="3"/>
        <v/>
      </c>
      <c r="D342" s="187"/>
      <c r="E342" s="174" t="str">
        <f>IFERROR(__xludf.DUMMYFUNCTION("IF(D342&lt;&gt;"""",SPLIT(D342,"" 
""),)"),"")</f>
        <v/>
      </c>
    </row>
    <row r="343">
      <c r="A343" s="26" t="str">
        <f t="shared" si="1"/>
        <v/>
      </c>
      <c r="B343" s="26" t="str">
        <f t="shared" si="2"/>
        <v/>
      </c>
      <c r="C343" s="186" t="str">
        <f t="shared" si="3"/>
        <v/>
      </c>
      <c r="D343" s="187"/>
      <c r="E343" s="174" t="str">
        <f>IFERROR(__xludf.DUMMYFUNCTION("IF(D343&lt;&gt;"""",SPLIT(D343,"" 
""),)"),"")</f>
        <v/>
      </c>
    </row>
    <row r="344">
      <c r="A344" s="26" t="str">
        <f t="shared" si="1"/>
        <v/>
      </c>
      <c r="B344" s="26" t="str">
        <f t="shared" si="2"/>
        <v/>
      </c>
      <c r="C344" s="186" t="str">
        <f t="shared" si="3"/>
        <v/>
      </c>
      <c r="D344" s="187"/>
      <c r="E344" s="174" t="str">
        <f>IFERROR(__xludf.DUMMYFUNCTION("IF(D344&lt;&gt;"""",SPLIT(D344,"" 
""),)"),"")</f>
        <v/>
      </c>
    </row>
    <row r="345">
      <c r="A345" s="26" t="str">
        <f t="shared" si="1"/>
        <v/>
      </c>
      <c r="B345" s="26" t="str">
        <f t="shared" si="2"/>
        <v/>
      </c>
      <c r="C345" s="186" t="str">
        <f t="shared" si="3"/>
        <v/>
      </c>
      <c r="D345" s="187"/>
      <c r="E345" s="174" t="str">
        <f>IFERROR(__xludf.DUMMYFUNCTION("IF(D345&lt;&gt;"""",SPLIT(D345,"" 
""),)"),"")</f>
        <v/>
      </c>
    </row>
    <row r="346">
      <c r="A346" s="26" t="str">
        <f t="shared" si="1"/>
        <v/>
      </c>
      <c r="B346" s="26" t="str">
        <f t="shared" si="2"/>
        <v/>
      </c>
      <c r="C346" s="186" t="str">
        <f t="shared" si="3"/>
        <v/>
      </c>
      <c r="D346" s="187"/>
      <c r="E346" s="174" t="str">
        <f>IFERROR(__xludf.DUMMYFUNCTION("IF(D346&lt;&gt;"""",SPLIT(D346,"" 
""),)"),"")</f>
        <v/>
      </c>
    </row>
    <row r="347">
      <c r="A347" s="26" t="str">
        <f t="shared" si="1"/>
        <v/>
      </c>
      <c r="B347" s="26" t="str">
        <f t="shared" si="2"/>
        <v/>
      </c>
      <c r="C347" s="186" t="str">
        <f t="shared" si="3"/>
        <v/>
      </c>
      <c r="D347" s="187"/>
      <c r="E347" s="174" t="str">
        <f>IFERROR(__xludf.DUMMYFUNCTION("IF(D347&lt;&gt;"""",SPLIT(D347,"" 
""),)"),"")</f>
        <v/>
      </c>
    </row>
    <row r="348">
      <c r="A348" s="26" t="str">
        <f t="shared" si="1"/>
        <v/>
      </c>
      <c r="B348" s="26" t="str">
        <f t="shared" si="2"/>
        <v/>
      </c>
      <c r="C348" s="186" t="str">
        <f t="shared" si="3"/>
        <v/>
      </c>
      <c r="D348" s="187"/>
      <c r="E348" s="174" t="str">
        <f>IFERROR(__xludf.DUMMYFUNCTION("IF(D348&lt;&gt;"""",SPLIT(D348,"" 
""),)"),"")</f>
        <v/>
      </c>
    </row>
    <row r="349">
      <c r="A349" s="26" t="str">
        <f t="shared" si="1"/>
        <v/>
      </c>
      <c r="B349" s="26" t="str">
        <f t="shared" si="2"/>
        <v/>
      </c>
      <c r="C349" s="186" t="str">
        <f t="shared" si="3"/>
        <v/>
      </c>
      <c r="D349" s="187"/>
      <c r="E349" s="174" t="str">
        <f>IFERROR(__xludf.DUMMYFUNCTION("IF(D349&lt;&gt;"""",SPLIT(D349,"" 
""),)"),"")</f>
        <v/>
      </c>
    </row>
    <row r="350">
      <c r="A350" s="26" t="str">
        <f t="shared" si="1"/>
        <v/>
      </c>
      <c r="B350" s="26" t="str">
        <f t="shared" si="2"/>
        <v/>
      </c>
      <c r="C350" s="186" t="str">
        <f t="shared" si="3"/>
        <v/>
      </c>
      <c r="D350" s="187"/>
      <c r="E350" s="174" t="str">
        <f>IFERROR(__xludf.DUMMYFUNCTION("IF(D350&lt;&gt;"""",SPLIT(D350,"" 
""),)"),"")</f>
        <v/>
      </c>
    </row>
    <row r="351">
      <c r="A351" s="26" t="str">
        <f t="shared" si="1"/>
        <v/>
      </c>
      <c r="B351" s="26" t="str">
        <f t="shared" si="2"/>
        <v/>
      </c>
      <c r="C351" s="186" t="str">
        <f t="shared" si="3"/>
        <v/>
      </c>
      <c r="D351" s="187"/>
      <c r="E351" s="174" t="str">
        <f>IFERROR(__xludf.DUMMYFUNCTION("IF(D351&lt;&gt;"""",SPLIT(D351,"" 
""),)"),"")</f>
        <v/>
      </c>
    </row>
    <row r="352">
      <c r="A352" s="26" t="str">
        <f t="shared" si="1"/>
        <v/>
      </c>
      <c r="B352" s="26" t="str">
        <f t="shared" si="2"/>
        <v/>
      </c>
      <c r="C352" s="186" t="str">
        <f t="shared" si="3"/>
        <v/>
      </c>
      <c r="D352" s="187"/>
      <c r="E352" s="174" t="str">
        <f>IFERROR(__xludf.DUMMYFUNCTION("IF(D352&lt;&gt;"""",SPLIT(D352,"" 
""),)"),"")</f>
        <v/>
      </c>
    </row>
    <row r="353">
      <c r="A353" s="26" t="str">
        <f t="shared" si="1"/>
        <v/>
      </c>
      <c r="B353" s="26" t="str">
        <f t="shared" si="2"/>
        <v/>
      </c>
      <c r="C353" s="186" t="str">
        <f t="shared" si="3"/>
        <v/>
      </c>
      <c r="D353" s="187"/>
      <c r="E353" s="174" t="str">
        <f>IFERROR(__xludf.DUMMYFUNCTION("IF(D353&lt;&gt;"""",SPLIT(D353,"" 
""),)"),"")</f>
        <v/>
      </c>
    </row>
    <row r="354">
      <c r="A354" s="26" t="str">
        <f t="shared" si="1"/>
        <v/>
      </c>
      <c r="B354" s="26" t="str">
        <f t="shared" si="2"/>
        <v/>
      </c>
      <c r="C354" s="186" t="str">
        <f t="shared" si="3"/>
        <v/>
      </c>
      <c r="D354" s="187"/>
      <c r="E354" s="174" t="str">
        <f>IFERROR(__xludf.DUMMYFUNCTION("IF(D354&lt;&gt;"""",SPLIT(D354,"" 
""),)"),"")</f>
        <v/>
      </c>
    </row>
    <row r="355">
      <c r="A355" s="26" t="str">
        <f t="shared" si="1"/>
        <v/>
      </c>
      <c r="B355" s="26" t="str">
        <f t="shared" si="2"/>
        <v/>
      </c>
      <c r="C355" s="186" t="str">
        <f t="shared" si="3"/>
        <v/>
      </c>
      <c r="D355" s="187"/>
      <c r="E355" s="174" t="str">
        <f>IFERROR(__xludf.DUMMYFUNCTION("IF(D355&lt;&gt;"""",SPLIT(D355,"" 
""),)"),"")</f>
        <v/>
      </c>
    </row>
    <row r="356">
      <c r="A356" s="26" t="str">
        <f t="shared" si="1"/>
        <v/>
      </c>
      <c r="B356" s="26" t="str">
        <f t="shared" si="2"/>
        <v/>
      </c>
      <c r="C356" s="186" t="str">
        <f t="shared" si="3"/>
        <v/>
      </c>
      <c r="D356" s="187"/>
      <c r="E356" s="174" t="str">
        <f>IFERROR(__xludf.DUMMYFUNCTION("IF(D356&lt;&gt;"""",SPLIT(D356,"" 
""),)"),"")</f>
        <v/>
      </c>
    </row>
    <row r="357">
      <c r="A357" s="26" t="str">
        <f t="shared" si="1"/>
        <v/>
      </c>
      <c r="B357" s="26" t="str">
        <f t="shared" si="2"/>
        <v/>
      </c>
      <c r="C357" s="186" t="str">
        <f t="shared" si="3"/>
        <v/>
      </c>
      <c r="D357" s="187"/>
      <c r="E357" s="174" t="str">
        <f>IFERROR(__xludf.DUMMYFUNCTION("IF(D357&lt;&gt;"""",SPLIT(D357,"" 
""),)"),"")</f>
        <v/>
      </c>
    </row>
    <row r="358">
      <c r="A358" s="26" t="str">
        <f t="shared" si="1"/>
        <v/>
      </c>
      <c r="B358" s="26" t="str">
        <f t="shared" si="2"/>
        <v/>
      </c>
      <c r="C358" s="186" t="str">
        <f t="shared" si="3"/>
        <v/>
      </c>
      <c r="D358" s="187"/>
      <c r="E358" s="174" t="str">
        <f>IFERROR(__xludf.DUMMYFUNCTION("IF(D358&lt;&gt;"""",SPLIT(D358,"" 
""),)"),"")</f>
        <v/>
      </c>
    </row>
    <row r="359">
      <c r="A359" s="26" t="str">
        <f t="shared" si="1"/>
        <v/>
      </c>
      <c r="B359" s="26" t="str">
        <f t="shared" si="2"/>
        <v/>
      </c>
      <c r="C359" s="186" t="str">
        <f t="shared" si="3"/>
        <v/>
      </c>
      <c r="D359" s="187"/>
      <c r="E359" s="174" t="str">
        <f>IFERROR(__xludf.DUMMYFUNCTION("IF(D359&lt;&gt;"""",SPLIT(D359,"" 
""),)"),"")</f>
        <v/>
      </c>
    </row>
    <row r="360">
      <c r="A360" s="26" t="str">
        <f t="shared" si="1"/>
        <v/>
      </c>
      <c r="B360" s="26" t="str">
        <f t="shared" si="2"/>
        <v/>
      </c>
      <c r="C360" s="186" t="str">
        <f t="shared" si="3"/>
        <v/>
      </c>
      <c r="D360" s="187"/>
      <c r="E360" s="174" t="str">
        <f>IFERROR(__xludf.DUMMYFUNCTION("IF(D360&lt;&gt;"""",SPLIT(D360,"" 
""),)"),"")</f>
        <v/>
      </c>
    </row>
    <row r="361">
      <c r="A361" s="26" t="str">
        <f t="shared" si="1"/>
        <v/>
      </c>
      <c r="B361" s="26" t="str">
        <f t="shared" si="2"/>
        <v/>
      </c>
      <c r="C361" s="186" t="str">
        <f t="shared" si="3"/>
        <v/>
      </c>
      <c r="D361" s="187"/>
      <c r="E361" s="174" t="str">
        <f>IFERROR(__xludf.DUMMYFUNCTION("IF(D361&lt;&gt;"""",SPLIT(D361,"" 
""),)"),"")</f>
        <v/>
      </c>
    </row>
    <row r="362">
      <c r="A362" s="26" t="str">
        <f t="shared" si="1"/>
        <v/>
      </c>
      <c r="B362" s="26" t="str">
        <f t="shared" si="2"/>
        <v/>
      </c>
      <c r="C362" s="186" t="str">
        <f t="shared" si="3"/>
        <v/>
      </c>
      <c r="D362" s="187"/>
      <c r="E362" s="174" t="str">
        <f>IFERROR(__xludf.DUMMYFUNCTION("IF(D362&lt;&gt;"""",SPLIT(D362,"" 
""),)"),"")</f>
        <v/>
      </c>
    </row>
    <row r="363">
      <c r="A363" s="26" t="str">
        <f t="shared" si="1"/>
        <v/>
      </c>
      <c r="B363" s="26" t="str">
        <f t="shared" si="2"/>
        <v/>
      </c>
      <c r="C363" s="186" t="str">
        <f t="shared" si="3"/>
        <v/>
      </c>
      <c r="D363" s="187"/>
      <c r="E363" s="174" t="str">
        <f>IFERROR(__xludf.DUMMYFUNCTION("IF(D363&lt;&gt;"""",SPLIT(D363,"" 
""),)"),"")</f>
        <v/>
      </c>
    </row>
    <row r="364">
      <c r="A364" s="26" t="str">
        <f t="shared" si="1"/>
        <v/>
      </c>
      <c r="B364" s="26" t="str">
        <f t="shared" si="2"/>
        <v/>
      </c>
      <c r="C364" s="186" t="str">
        <f t="shared" si="3"/>
        <v/>
      </c>
      <c r="D364" s="187"/>
      <c r="E364" s="174" t="str">
        <f>IFERROR(__xludf.DUMMYFUNCTION("IF(D364&lt;&gt;"""",SPLIT(D364,"" 
""),)"),"")</f>
        <v/>
      </c>
    </row>
    <row r="365">
      <c r="A365" s="26" t="str">
        <f t="shared" si="1"/>
        <v/>
      </c>
      <c r="B365" s="26" t="str">
        <f t="shared" si="2"/>
        <v/>
      </c>
      <c r="C365" s="186" t="str">
        <f t="shared" si="3"/>
        <v/>
      </c>
      <c r="D365" s="187"/>
      <c r="E365" s="174" t="str">
        <f>IFERROR(__xludf.DUMMYFUNCTION("IF(D365&lt;&gt;"""",SPLIT(D365,"" 
""),)"),"")</f>
        <v/>
      </c>
    </row>
    <row r="366">
      <c r="A366" s="26" t="str">
        <f t="shared" si="1"/>
        <v/>
      </c>
      <c r="B366" s="26" t="str">
        <f t="shared" si="2"/>
        <v/>
      </c>
      <c r="C366" s="186" t="str">
        <f t="shared" si="3"/>
        <v/>
      </c>
      <c r="D366" s="187"/>
      <c r="E366" s="174" t="str">
        <f>IFERROR(__xludf.DUMMYFUNCTION("IF(D366&lt;&gt;"""",SPLIT(D366,"" 
""),)"),"")</f>
        <v/>
      </c>
    </row>
    <row r="367">
      <c r="A367" s="26" t="str">
        <f t="shared" si="1"/>
        <v/>
      </c>
      <c r="B367" s="26" t="str">
        <f t="shared" si="2"/>
        <v/>
      </c>
      <c r="C367" s="186" t="str">
        <f t="shared" si="3"/>
        <v/>
      </c>
      <c r="D367" s="187"/>
      <c r="E367" s="174" t="str">
        <f>IFERROR(__xludf.DUMMYFUNCTION("IF(D367&lt;&gt;"""",SPLIT(D367,"" 
""),)"),"")</f>
        <v/>
      </c>
    </row>
    <row r="368">
      <c r="A368" s="26" t="str">
        <f t="shared" si="1"/>
        <v/>
      </c>
      <c r="B368" s="26" t="str">
        <f t="shared" si="2"/>
        <v/>
      </c>
      <c r="C368" s="186" t="str">
        <f t="shared" si="3"/>
        <v/>
      </c>
      <c r="D368" s="187"/>
      <c r="E368" s="174" t="str">
        <f>IFERROR(__xludf.DUMMYFUNCTION("IF(D368&lt;&gt;"""",SPLIT(D368,"" 
""),)"),"")</f>
        <v/>
      </c>
    </row>
    <row r="369">
      <c r="A369" s="26" t="str">
        <f t="shared" si="1"/>
        <v/>
      </c>
      <c r="B369" s="26" t="str">
        <f t="shared" si="2"/>
        <v/>
      </c>
      <c r="C369" s="186" t="str">
        <f t="shared" si="3"/>
        <v/>
      </c>
      <c r="D369" s="187"/>
      <c r="E369" s="174" t="str">
        <f>IFERROR(__xludf.DUMMYFUNCTION("IF(D369&lt;&gt;"""",SPLIT(D369,"" 
""),)"),"")</f>
        <v/>
      </c>
    </row>
    <row r="370">
      <c r="A370" s="26" t="str">
        <f t="shared" si="1"/>
        <v/>
      </c>
      <c r="B370" s="26" t="str">
        <f t="shared" si="2"/>
        <v/>
      </c>
      <c r="C370" s="186" t="str">
        <f t="shared" si="3"/>
        <v/>
      </c>
      <c r="D370" s="187"/>
      <c r="E370" s="174" t="str">
        <f>IFERROR(__xludf.DUMMYFUNCTION("IF(D370&lt;&gt;"""",SPLIT(D370,"" 
""),)"),"")</f>
        <v/>
      </c>
    </row>
    <row r="371">
      <c r="A371" s="26" t="str">
        <f t="shared" si="1"/>
        <v/>
      </c>
      <c r="B371" s="26" t="str">
        <f t="shared" si="2"/>
        <v/>
      </c>
      <c r="C371" s="186" t="str">
        <f t="shared" si="3"/>
        <v/>
      </c>
      <c r="D371" s="187"/>
      <c r="E371" s="174" t="str">
        <f>IFERROR(__xludf.DUMMYFUNCTION("IF(D371&lt;&gt;"""",SPLIT(D371,"" 
""),)"),"")</f>
        <v/>
      </c>
    </row>
    <row r="372">
      <c r="A372" s="26" t="str">
        <f t="shared" si="1"/>
        <v/>
      </c>
      <c r="B372" s="26" t="str">
        <f t="shared" si="2"/>
        <v/>
      </c>
      <c r="C372" s="186" t="str">
        <f t="shared" si="3"/>
        <v/>
      </c>
      <c r="D372" s="187"/>
      <c r="E372" s="174" t="str">
        <f>IFERROR(__xludf.DUMMYFUNCTION("IF(D372&lt;&gt;"""",SPLIT(D372,"" 
""),)"),"")</f>
        <v/>
      </c>
    </row>
    <row r="373">
      <c r="A373" s="26" t="str">
        <f t="shared" si="1"/>
        <v/>
      </c>
      <c r="B373" s="26" t="str">
        <f t="shared" si="2"/>
        <v/>
      </c>
      <c r="C373" s="186" t="str">
        <f t="shared" si="3"/>
        <v/>
      </c>
      <c r="D373" s="187"/>
      <c r="E373" s="174" t="str">
        <f>IFERROR(__xludf.DUMMYFUNCTION("IF(D373&lt;&gt;"""",SPLIT(D373,"" 
""),)"),"")</f>
        <v/>
      </c>
    </row>
    <row r="374">
      <c r="A374" s="26" t="str">
        <f t="shared" si="1"/>
        <v/>
      </c>
      <c r="B374" s="26" t="str">
        <f t="shared" si="2"/>
        <v/>
      </c>
      <c r="C374" s="186" t="str">
        <f t="shared" si="3"/>
        <v/>
      </c>
      <c r="D374" s="187"/>
      <c r="E374" s="174" t="str">
        <f>IFERROR(__xludf.DUMMYFUNCTION("IF(D374&lt;&gt;"""",SPLIT(D374,"" 
""),)"),"")</f>
        <v/>
      </c>
    </row>
    <row r="375">
      <c r="A375" s="26" t="str">
        <f t="shared" si="1"/>
        <v/>
      </c>
      <c r="B375" s="26" t="str">
        <f t="shared" si="2"/>
        <v/>
      </c>
      <c r="C375" s="186" t="str">
        <f t="shared" si="3"/>
        <v/>
      </c>
      <c r="D375" s="187"/>
      <c r="E375" s="174" t="str">
        <f>IFERROR(__xludf.DUMMYFUNCTION("IF(D375&lt;&gt;"""",SPLIT(D375,"" 
""),)"),"")</f>
        <v/>
      </c>
    </row>
    <row r="376">
      <c r="A376" s="26" t="str">
        <f t="shared" si="1"/>
        <v/>
      </c>
      <c r="B376" s="26" t="str">
        <f t="shared" si="2"/>
        <v/>
      </c>
      <c r="C376" s="186" t="str">
        <f t="shared" si="3"/>
        <v/>
      </c>
      <c r="D376" s="187"/>
      <c r="E376" s="174" t="str">
        <f>IFERROR(__xludf.DUMMYFUNCTION("IF(D376&lt;&gt;"""",SPLIT(D376,"" 
""),)"),"")</f>
        <v/>
      </c>
    </row>
    <row r="377">
      <c r="A377" s="26" t="str">
        <f t="shared" si="1"/>
        <v/>
      </c>
      <c r="B377" s="26" t="str">
        <f t="shared" si="2"/>
        <v/>
      </c>
      <c r="C377" s="186" t="str">
        <f t="shared" si="3"/>
        <v/>
      </c>
      <c r="D377" s="187"/>
      <c r="E377" s="174" t="str">
        <f>IFERROR(__xludf.DUMMYFUNCTION("IF(D377&lt;&gt;"""",SPLIT(D377,"" 
""),)"),"")</f>
        <v/>
      </c>
    </row>
    <row r="378">
      <c r="A378" s="26" t="str">
        <f t="shared" si="1"/>
        <v/>
      </c>
      <c r="B378" s="26" t="str">
        <f t="shared" si="2"/>
        <v/>
      </c>
      <c r="C378" s="186" t="str">
        <f t="shared" si="3"/>
        <v/>
      </c>
      <c r="D378" s="187"/>
      <c r="E378" s="174" t="str">
        <f>IFERROR(__xludf.DUMMYFUNCTION("IF(D378&lt;&gt;"""",SPLIT(D378,"" 
""),)"),"")</f>
        <v/>
      </c>
    </row>
    <row r="379">
      <c r="A379" s="26" t="str">
        <f t="shared" si="1"/>
        <v/>
      </c>
      <c r="B379" s="26" t="str">
        <f t="shared" si="2"/>
        <v/>
      </c>
      <c r="C379" s="186" t="str">
        <f t="shared" si="3"/>
        <v/>
      </c>
      <c r="D379" s="187"/>
      <c r="E379" s="174" t="str">
        <f>IFERROR(__xludf.DUMMYFUNCTION("IF(D379&lt;&gt;"""",SPLIT(D379,"" 
""),)"),"")</f>
        <v/>
      </c>
    </row>
    <row r="380">
      <c r="A380" s="26" t="str">
        <f t="shared" si="1"/>
        <v/>
      </c>
      <c r="B380" s="26" t="str">
        <f t="shared" si="2"/>
        <v/>
      </c>
      <c r="C380" s="186" t="str">
        <f t="shared" si="3"/>
        <v/>
      </c>
      <c r="D380" s="187"/>
      <c r="E380" s="174" t="str">
        <f>IFERROR(__xludf.DUMMYFUNCTION("IF(D380&lt;&gt;"""",SPLIT(D380,"" 
""),)"),"")</f>
        <v/>
      </c>
    </row>
    <row r="381">
      <c r="A381" s="26" t="str">
        <f t="shared" si="1"/>
        <v/>
      </c>
      <c r="B381" s="26" t="str">
        <f t="shared" si="2"/>
        <v/>
      </c>
      <c r="C381" s="186" t="str">
        <f t="shared" si="3"/>
        <v/>
      </c>
      <c r="D381" s="187"/>
      <c r="E381" s="174" t="str">
        <f>IFERROR(__xludf.DUMMYFUNCTION("IF(D381&lt;&gt;"""",SPLIT(D381,"" 
""),)"),"")</f>
        <v/>
      </c>
    </row>
    <row r="382">
      <c r="A382" s="26" t="str">
        <f t="shared" si="1"/>
        <v/>
      </c>
      <c r="B382" s="26" t="str">
        <f t="shared" si="2"/>
        <v/>
      </c>
      <c r="C382" s="186" t="str">
        <f t="shared" si="3"/>
        <v/>
      </c>
      <c r="D382" s="187"/>
      <c r="E382" s="174" t="str">
        <f>IFERROR(__xludf.DUMMYFUNCTION("IF(D382&lt;&gt;"""",SPLIT(D382,"" 
""),)"),"")</f>
        <v/>
      </c>
    </row>
    <row r="383">
      <c r="A383" s="26" t="str">
        <f t="shared" si="1"/>
        <v/>
      </c>
      <c r="B383" s="26" t="str">
        <f t="shared" si="2"/>
        <v/>
      </c>
      <c r="C383" s="186" t="str">
        <f t="shared" si="3"/>
        <v/>
      </c>
      <c r="D383" s="187"/>
      <c r="E383" s="174" t="str">
        <f>IFERROR(__xludf.DUMMYFUNCTION("IF(D383&lt;&gt;"""",SPLIT(D383,"" 
""),)"),"")</f>
        <v/>
      </c>
    </row>
    <row r="384">
      <c r="A384" s="26" t="str">
        <f t="shared" si="1"/>
        <v/>
      </c>
      <c r="B384" s="26" t="str">
        <f t="shared" si="2"/>
        <v/>
      </c>
      <c r="C384" s="186" t="str">
        <f t="shared" si="3"/>
        <v/>
      </c>
      <c r="D384" s="187"/>
      <c r="E384" s="174" t="str">
        <f>IFERROR(__xludf.DUMMYFUNCTION("IF(D384&lt;&gt;"""",SPLIT(D384,"" 
""),)"),"")</f>
        <v/>
      </c>
    </row>
    <row r="385">
      <c r="A385" s="26" t="str">
        <f t="shared" si="1"/>
        <v/>
      </c>
      <c r="B385" s="26" t="str">
        <f t="shared" si="2"/>
        <v/>
      </c>
      <c r="C385" s="186" t="str">
        <f t="shared" si="3"/>
        <v/>
      </c>
      <c r="D385" s="187"/>
      <c r="E385" s="174" t="str">
        <f>IFERROR(__xludf.DUMMYFUNCTION("IF(D385&lt;&gt;"""",SPLIT(D385,"" 
""),)"),"")</f>
        <v/>
      </c>
    </row>
    <row r="386">
      <c r="A386" s="26" t="str">
        <f t="shared" si="1"/>
        <v/>
      </c>
      <c r="B386" s="26" t="str">
        <f t="shared" si="2"/>
        <v/>
      </c>
      <c r="C386" s="186" t="str">
        <f t="shared" si="3"/>
        <v/>
      </c>
      <c r="D386" s="187"/>
      <c r="E386" s="174" t="str">
        <f>IFERROR(__xludf.DUMMYFUNCTION("IF(D386&lt;&gt;"""",SPLIT(D386,"" 
""),)"),"")</f>
        <v/>
      </c>
    </row>
    <row r="387">
      <c r="A387" s="26" t="str">
        <f t="shared" si="1"/>
        <v/>
      </c>
      <c r="B387" s="26" t="str">
        <f t="shared" si="2"/>
        <v/>
      </c>
      <c r="C387" s="186" t="str">
        <f t="shared" si="3"/>
        <v/>
      </c>
      <c r="D387" s="187"/>
      <c r="E387" s="174" t="str">
        <f>IFERROR(__xludf.DUMMYFUNCTION("IF(D387&lt;&gt;"""",SPLIT(D387,"" 
""),)"),"")</f>
        <v/>
      </c>
    </row>
    <row r="388">
      <c r="A388" s="26" t="str">
        <f t="shared" si="1"/>
        <v/>
      </c>
      <c r="B388" s="26" t="str">
        <f t="shared" si="2"/>
        <v/>
      </c>
      <c r="C388" s="186" t="str">
        <f t="shared" si="3"/>
        <v/>
      </c>
      <c r="D388" s="187"/>
      <c r="E388" s="174" t="str">
        <f>IFERROR(__xludf.DUMMYFUNCTION("IF(D388&lt;&gt;"""",SPLIT(D388,"" 
""),)"),"")</f>
        <v/>
      </c>
    </row>
    <row r="389">
      <c r="A389" s="26" t="str">
        <f t="shared" si="1"/>
        <v/>
      </c>
      <c r="B389" s="26" t="str">
        <f t="shared" si="2"/>
        <v/>
      </c>
      <c r="C389" s="186" t="str">
        <f t="shared" si="3"/>
        <v/>
      </c>
      <c r="D389" s="187"/>
      <c r="E389" s="174" t="str">
        <f>IFERROR(__xludf.DUMMYFUNCTION("IF(D389&lt;&gt;"""",SPLIT(D389,"" 
""),)"),"")</f>
        <v/>
      </c>
    </row>
    <row r="390">
      <c r="A390" s="26" t="str">
        <f t="shared" si="1"/>
        <v/>
      </c>
      <c r="B390" s="26" t="str">
        <f t="shared" si="2"/>
        <v/>
      </c>
      <c r="C390" s="186" t="str">
        <f t="shared" si="3"/>
        <v/>
      </c>
      <c r="D390" s="187"/>
      <c r="E390" s="174" t="str">
        <f>IFERROR(__xludf.DUMMYFUNCTION("IF(D390&lt;&gt;"""",SPLIT(D390,"" 
""),)"),"")</f>
        <v/>
      </c>
    </row>
    <row r="391">
      <c r="A391" s="26" t="str">
        <f t="shared" si="1"/>
        <v/>
      </c>
      <c r="B391" s="26" t="str">
        <f t="shared" si="2"/>
        <v/>
      </c>
      <c r="C391" s="186" t="str">
        <f t="shared" si="3"/>
        <v/>
      </c>
      <c r="D391" s="187"/>
      <c r="E391" s="174" t="str">
        <f>IFERROR(__xludf.DUMMYFUNCTION("IF(D391&lt;&gt;"""",SPLIT(D391,"" 
""),)"),"")</f>
        <v/>
      </c>
    </row>
    <row r="392">
      <c r="A392" s="26" t="str">
        <f t="shared" si="1"/>
        <v/>
      </c>
      <c r="B392" s="26" t="str">
        <f t="shared" si="2"/>
        <v/>
      </c>
      <c r="C392" s="186" t="str">
        <f t="shared" si="3"/>
        <v/>
      </c>
      <c r="D392" s="187"/>
      <c r="E392" s="174" t="str">
        <f>IFERROR(__xludf.DUMMYFUNCTION("IF(D392&lt;&gt;"""",SPLIT(D392,"" 
""),)"),"")</f>
        <v/>
      </c>
    </row>
    <row r="393">
      <c r="A393" s="26" t="str">
        <f t="shared" si="1"/>
        <v/>
      </c>
      <c r="B393" s="26" t="str">
        <f t="shared" si="2"/>
        <v/>
      </c>
      <c r="C393" s="186" t="str">
        <f t="shared" si="3"/>
        <v/>
      </c>
      <c r="D393" s="187"/>
      <c r="E393" s="174" t="str">
        <f>IFERROR(__xludf.DUMMYFUNCTION("IF(D393&lt;&gt;"""",SPLIT(D393,"" 
""),)"),"")</f>
        <v/>
      </c>
    </row>
    <row r="394">
      <c r="A394" s="26" t="str">
        <f t="shared" si="1"/>
        <v/>
      </c>
      <c r="B394" s="26" t="str">
        <f t="shared" si="2"/>
        <v/>
      </c>
      <c r="C394" s="186" t="str">
        <f t="shared" si="3"/>
        <v/>
      </c>
      <c r="D394" s="187"/>
      <c r="E394" s="174" t="str">
        <f>IFERROR(__xludf.DUMMYFUNCTION("IF(D394&lt;&gt;"""",SPLIT(D394,"" 
""),)"),"")</f>
        <v/>
      </c>
    </row>
    <row r="395">
      <c r="A395" s="26" t="str">
        <f t="shared" si="1"/>
        <v/>
      </c>
      <c r="B395" s="26" t="str">
        <f t="shared" si="2"/>
        <v/>
      </c>
      <c r="C395" s="186" t="str">
        <f t="shared" si="3"/>
        <v/>
      </c>
      <c r="D395" s="187"/>
      <c r="E395" s="174" t="str">
        <f>IFERROR(__xludf.DUMMYFUNCTION("IF(D395&lt;&gt;"""",SPLIT(D395,"" 
""),)"),"")</f>
        <v/>
      </c>
    </row>
    <row r="396">
      <c r="A396" s="26" t="str">
        <f t="shared" si="1"/>
        <v/>
      </c>
      <c r="B396" s="26" t="str">
        <f t="shared" si="2"/>
        <v/>
      </c>
      <c r="C396" s="186" t="str">
        <f t="shared" si="3"/>
        <v/>
      </c>
      <c r="D396" s="187"/>
      <c r="E396" s="174" t="str">
        <f>IFERROR(__xludf.DUMMYFUNCTION("IF(D396&lt;&gt;"""",SPLIT(D396,"" 
""),)"),"")</f>
        <v/>
      </c>
    </row>
    <row r="397">
      <c r="A397" s="26" t="str">
        <f t="shared" si="1"/>
        <v/>
      </c>
      <c r="B397" s="26" t="str">
        <f t="shared" si="2"/>
        <v/>
      </c>
      <c r="C397" s="186" t="str">
        <f t="shared" si="3"/>
        <v/>
      </c>
      <c r="D397" s="187"/>
      <c r="E397" s="174" t="str">
        <f>IFERROR(__xludf.DUMMYFUNCTION("IF(D397&lt;&gt;"""",SPLIT(D397,"" 
""),)"),"")</f>
        <v/>
      </c>
    </row>
    <row r="398">
      <c r="A398" s="26" t="str">
        <f t="shared" si="1"/>
        <v/>
      </c>
      <c r="B398" s="26" t="str">
        <f t="shared" si="2"/>
        <v/>
      </c>
      <c r="C398" s="186" t="str">
        <f t="shared" si="3"/>
        <v/>
      </c>
      <c r="D398" s="187"/>
      <c r="E398" s="174" t="str">
        <f>IFERROR(__xludf.DUMMYFUNCTION("IF(D398&lt;&gt;"""",SPLIT(D398,"" 
""),)"),"")</f>
        <v/>
      </c>
    </row>
    <row r="399">
      <c r="A399" s="26" t="str">
        <f t="shared" si="1"/>
        <v/>
      </c>
      <c r="B399" s="26" t="str">
        <f t="shared" si="2"/>
        <v/>
      </c>
      <c r="C399" s="186" t="str">
        <f t="shared" si="3"/>
        <v/>
      </c>
      <c r="D399" s="187"/>
      <c r="E399" s="174" t="str">
        <f>IFERROR(__xludf.DUMMYFUNCTION("IF(D399&lt;&gt;"""",SPLIT(D399,"" 
""),)"),"")</f>
        <v/>
      </c>
    </row>
    <row r="400">
      <c r="A400" s="26" t="str">
        <f t="shared" si="1"/>
        <v/>
      </c>
      <c r="B400" s="26" t="str">
        <f t="shared" si="2"/>
        <v/>
      </c>
      <c r="C400" s="186" t="str">
        <f t="shared" si="3"/>
        <v/>
      </c>
      <c r="D400" s="187"/>
      <c r="E400" s="174" t="str">
        <f>IFERROR(__xludf.DUMMYFUNCTION("IF(D400&lt;&gt;"""",SPLIT(D400,"" 
""),)"),"")</f>
        <v/>
      </c>
    </row>
    <row r="401">
      <c r="A401" s="26" t="str">
        <f t="shared" si="1"/>
        <v/>
      </c>
      <c r="B401" s="26" t="str">
        <f t="shared" si="2"/>
        <v/>
      </c>
      <c r="C401" s="186" t="str">
        <f t="shared" si="3"/>
        <v/>
      </c>
      <c r="D401" s="187"/>
      <c r="E401" s="174" t="str">
        <f>IFERROR(__xludf.DUMMYFUNCTION("IF(D401&lt;&gt;"""",SPLIT(D401,"" 
""),)"),"")</f>
        <v/>
      </c>
    </row>
    <row r="402">
      <c r="A402" s="26" t="str">
        <f t="shared" si="1"/>
        <v/>
      </c>
      <c r="B402" s="26" t="str">
        <f t="shared" si="2"/>
        <v/>
      </c>
      <c r="C402" s="186" t="str">
        <f t="shared" si="3"/>
        <v/>
      </c>
      <c r="D402" s="187"/>
      <c r="E402" s="174" t="str">
        <f>IFERROR(__xludf.DUMMYFUNCTION("IF(D402&lt;&gt;"""",SPLIT(D402,"" 
""),)"),"")</f>
        <v/>
      </c>
    </row>
    <row r="403">
      <c r="A403" s="26" t="str">
        <f t="shared" si="1"/>
        <v/>
      </c>
      <c r="B403" s="26" t="str">
        <f t="shared" si="2"/>
        <v/>
      </c>
      <c r="C403" s="186" t="str">
        <f t="shared" si="3"/>
        <v/>
      </c>
      <c r="D403" s="187"/>
      <c r="E403" s="174" t="str">
        <f>IFERROR(__xludf.DUMMYFUNCTION("IF(D403&lt;&gt;"""",SPLIT(D403,"" 
""),)"),"")</f>
        <v/>
      </c>
    </row>
    <row r="404">
      <c r="A404" s="26" t="str">
        <f t="shared" si="1"/>
        <v/>
      </c>
      <c r="B404" s="26" t="str">
        <f t="shared" si="2"/>
        <v/>
      </c>
      <c r="C404" s="186" t="str">
        <f t="shared" si="3"/>
        <v/>
      </c>
      <c r="D404" s="187"/>
      <c r="E404" s="174" t="str">
        <f>IFERROR(__xludf.DUMMYFUNCTION("IF(D404&lt;&gt;"""",SPLIT(D404,"" 
""),)"),"")</f>
        <v/>
      </c>
    </row>
    <row r="405">
      <c r="A405" s="26" t="str">
        <f t="shared" si="1"/>
        <v/>
      </c>
      <c r="B405" s="26" t="str">
        <f t="shared" si="2"/>
        <v/>
      </c>
      <c r="C405" s="186" t="str">
        <f t="shared" si="3"/>
        <v/>
      </c>
      <c r="D405" s="187"/>
      <c r="E405" s="174" t="str">
        <f>IFERROR(__xludf.DUMMYFUNCTION("IF(D405&lt;&gt;"""",SPLIT(D405,"" 
""),)"),"")</f>
        <v/>
      </c>
    </row>
    <row r="406">
      <c r="A406" s="26" t="str">
        <f t="shared" si="1"/>
        <v/>
      </c>
      <c r="B406" s="26" t="str">
        <f t="shared" si="2"/>
        <v/>
      </c>
      <c r="C406" s="186" t="str">
        <f t="shared" si="3"/>
        <v/>
      </c>
      <c r="D406" s="187"/>
      <c r="E406" s="174" t="str">
        <f>IFERROR(__xludf.DUMMYFUNCTION("IF(D406&lt;&gt;"""",SPLIT(D406,"" 
""),)"),"")</f>
        <v/>
      </c>
    </row>
    <row r="407">
      <c r="A407" s="26" t="str">
        <f t="shared" si="1"/>
        <v/>
      </c>
      <c r="B407" s="26" t="str">
        <f t="shared" si="2"/>
        <v/>
      </c>
      <c r="C407" s="186" t="str">
        <f t="shared" si="3"/>
        <v/>
      </c>
      <c r="D407" s="187"/>
      <c r="E407" s="174" t="str">
        <f>IFERROR(__xludf.DUMMYFUNCTION("IF(D407&lt;&gt;"""",SPLIT(D407,"" 
""),)"),"")</f>
        <v/>
      </c>
    </row>
    <row r="408">
      <c r="A408" s="26" t="str">
        <f t="shared" si="1"/>
        <v/>
      </c>
      <c r="B408" s="26" t="str">
        <f t="shared" si="2"/>
        <v/>
      </c>
      <c r="C408" s="186" t="str">
        <f t="shared" si="3"/>
        <v/>
      </c>
      <c r="D408" s="187"/>
      <c r="E408" s="174" t="str">
        <f>IFERROR(__xludf.DUMMYFUNCTION("IF(D408&lt;&gt;"""",SPLIT(D408,"" 
""),)"),"")</f>
        <v/>
      </c>
    </row>
    <row r="409">
      <c r="A409" s="26" t="str">
        <f t="shared" si="1"/>
        <v/>
      </c>
      <c r="B409" s="26" t="str">
        <f t="shared" si="2"/>
        <v/>
      </c>
      <c r="C409" s="186" t="str">
        <f t="shared" si="3"/>
        <v/>
      </c>
      <c r="D409" s="187"/>
      <c r="E409" s="174" t="str">
        <f>IFERROR(__xludf.DUMMYFUNCTION("IF(D409&lt;&gt;"""",SPLIT(D409,"" 
""),)"),"")</f>
        <v/>
      </c>
    </row>
    <row r="410">
      <c r="A410" s="26" t="str">
        <f t="shared" si="1"/>
        <v/>
      </c>
      <c r="B410" s="26" t="str">
        <f t="shared" si="2"/>
        <v/>
      </c>
      <c r="C410" s="186" t="str">
        <f t="shared" si="3"/>
        <v/>
      </c>
      <c r="D410" s="187"/>
      <c r="E410" s="174" t="str">
        <f>IFERROR(__xludf.DUMMYFUNCTION("IF(D410&lt;&gt;"""",SPLIT(D410,"" 
""),)"),"")</f>
        <v/>
      </c>
    </row>
    <row r="411">
      <c r="A411" s="26" t="str">
        <f t="shared" si="1"/>
        <v/>
      </c>
      <c r="B411" s="26" t="str">
        <f t="shared" si="2"/>
        <v/>
      </c>
      <c r="C411" s="186" t="str">
        <f t="shared" si="3"/>
        <v/>
      </c>
      <c r="D411" s="187"/>
      <c r="E411" s="174" t="str">
        <f>IFERROR(__xludf.DUMMYFUNCTION("IF(D411&lt;&gt;"""",SPLIT(D411,"" 
""),)"),"")</f>
        <v/>
      </c>
    </row>
    <row r="412">
      <c r="A412" s="26" t="str">
        <f t="shared" si="1"/>
        <v/>
      </c>
      <c r="B412" s="26" t="str">
        <f t="shared" si="2"/>
        <v/>
      </c>
      <c r="C412" s="186" t="str">
        <f t="shared" si="3"/>
        <v/>
      </c>
      <c r="D412" s="187"/>
      <c r="E412" s="174" t="str">
        <f>IFERROR(__xludf.DUMMYFUNCTION("IF(D412&lt;&gt;"""",SPLIT(D412,"" 
""),)"),"")</f>
        <v/>
      </c>
    </row>
    <row r="413">
      <c r="A413" s="26" t="str">
        <f t="shared" si="1"/>
        <v/>
      </c>
      <c r="B413" s="26" t="str">
        <f t="shared" si="2"/>
        <v/>
      </c>
      <c r="C413" s="186" t="str">
        <f t="shared" si="3"/>
        <v/>
      </c>
      <c r="D413" s="187"/>
      <c r="E413" s="174" t="str">
        <f>IFERROR(__xludf.DUMMYFUNCTION("IF(D413&lt;&gt;"""",SPLIT(D413,"" 
""),)"),"")</f>
        <v/>
      </c>
    </row>
    <row r="414">
      <c r="A414" s="26" t="str">
        <f t="shared" si="1"/>
        <v/>
      </c>
      <c r="B414" s="26" t="str">
        <f t="shared" si="2"/>
        <v/>
      </c>
      <c r="C414" s="186" t="str">
        <f t="shared" si="3"/>
        <v/>
      </c>
      <c r="D414" s="187"/>
      <c r="E414" s="174" t="str">
        <f>IFERROR(__xludf.DUMMYFUNCTION("IF(D414&lt;&gt;"""",SPLIT(D414,"" 
""),)"),"")</f>
        <v/>
      </c>
    </row>
    <row r="415">
      <c r="A415" s="26" t="str">
        <f t="shared" si="1"/>
        <v/>
      </c>
      <c r="B415" s="26" t="str">
        <f t="shared" si="2"/>
        <v/>
      </c>
      <c r="C415" s="186" t="str">
        <f t="shared" si="3"/>
        <v/>
      </c>
      <c r="D415" s="187"/>
      <c r="E415" s="174" t="str">
        <f>IFERROR(__xludf.DUMMYFUNCTION("IF(D415&lt;&gt;"""",SPLIT(D415,"" 
""),)"),"")</f>
        <v/>
      </c>
    </row>
    <row r="416">
      <c r="A416" s="26" t="str">
        <f t="shared" si="1"/>
        <v/>
      </c>
      <c r="B416" s="26" t="str">
        <f t="shared" si="2"/>
        <v/>
      </c>
      <c r="C416" s="186" t="str">
        <f t="shared" si="3"/>
        <v/>
      </c>
      <c r="D416" s="187"/>
      <c r="E416" s="174" t="str">
        <f>IFERROR(__xludf.DUMMYFUNCTION("IF(D416&lt;&gt;"""",SPLIT(D416,"" 
""),)"),"")</f>
        <v/>
      </c>
    </row>
    <row r="417">
      <c r="A417" s="26" t="str">
        <f t="shared" si="1"/>
        <v/>
      </c>
      <c r="B417" s="26" t="str">
        <f t="shared" si="2"/>
        <v/>
      </c>
      <c r="C417" s="186" t="str">
        <f t="shared" si="3"/>
        <v/>
      </c>
      <c r="D417" s="187"/>
      <c r="E417" s="174" t="str">
        <f>IFERROR(__xludf.DUMMYFUNCTION("IF(D417&lt;&gt;"""",SPLIT(D417,"" 
""),)"),"")</f>
        <v/>
      </c>
    </row>
    <row r="418">
      <c r="A418" s="26" t="str">
        <f t="shared" si="1"/>
        <v/>
      </c>
      <c r="B418" s="26" t="str">
        <f t="shared" si="2"/>
        <v/>
      </c>
      <c r="C418" s="186" t="str">
        <f t="shared" si="3"/>
        <v/>
      </c>
      <c r="D418" s="187"/>
      <c r="E418" s="174" t="str">
        <f>IFERROR(__xludf.DUMMYFUNCTION("IF(D418&lt;&gt;"""",SPLIT(D418,"" 
""),)"),"")</f>
        <v/>
      </c>
    </row>
    <row r="419">
      <c r="A419" s="26" t="str">
        <f t="shared" si="1"/>
        <v/>
      </c>
      <c r="B419" s="26" t="str">
        <f t="shared" si="2"/>
        <v/>
      </c>
      <c r="C419" s="186" t="str">
        <f t="shared" si="3"/>
        <v/>
      </c>
      <c r="D419" s="187"/>
      <c r="E419" s="174" t="str">
        <f>IFERROR(__xludf.DUMMYFUNCTION("IF(D419&lt;&gt;"""",SPLIT(D419,"" 
""),)"),"")</f>
        <v/>
      </c>
    </row>
    <row r="420">
      <c r="A420" s="26" t="str">
        <f t="shared" si="1"/>
        <v/>
      </c>
      <c r="B420" s="26" t="str">
        <f t="shared" si="2"/>
        <v/>
      </c>
      <c r="C420" s="186" t="str">
        <f t="shared" si="3"/>
        <v/>
      </c>
      <c r="D420" s="187"/>
      <c r="E420" s="174" t="str">
        <f>IFERROR(__xludf.DUMMYFUNCTION("IF(D420&lt;&gt;"""",SPLIT(D420,"" 
""),)"),"")</f>
        <v/>
      </c>
    </row>
    <row r="421">
      <c r="A421" s="26" t="str">
        <f t="shared" si="1"/>
        <v/>
      </c>
      <c r="B421" s="26" t="str">
        <f t="shared" si="2"/>
        <v/>
      </c>
      <c r="C421" s="186" t="str">
        <f t="shared" si="3"/>
        <v/>
      </c>
      <c r="D421" s="187"/>
      <c r="E421" s="174" t="str">
        <f>IFERROR(__xludf.DUMMYFUNCTION("IF(D421&lt;&gt;"""",SPLIT(D421,"" 
""),)"),"")</f>
        <v/>
      </c>
    </row>
    <row r="422">
      <c r="A422" s="26" t="str">
        <f t="shared" si="1"/>
        <v/>
      </c>
      <c r="B422" s="26" t="str">
        <f t="shared" si="2"/>
        <v/>
      </c>
      <c r="C422" s="186" t="str">
        <f t="shared" si="3"/>
        <v/>
      </c>
      <c r="D422" s="187"/>
      <c r="E422" s="174" t="str">
        <f>IFERROR(__xludf.DUMMYFUNCTION("IF(D422&lt;&gt;"""",SPLIT(D422,"" 
""),)"),"")</f>
        <v/>
      </c>
    </row>
    <row r="423">
      <c r="A423" s="26" t="str">
        <f t="shared" si="1"/>
        <v/>
      </c>
      <c r="B423" s="26" t="str">
        <f t="shared" si="2"/>
        <v/>
      </c>
      <c r="C423" s="186" t="str">
        <f t="shared" si="3"/>
        <v/>
      </c>
      <c r="D423" s="187"/>
      <c r="E423" s="174" t="str">
        <f>IFERROR(__xludf.DUMMYFUNCTION("IF(D423&lt;&gt;"""",SPLIT(D423,"" 
""),)"),"")</f>
        <v/>
      </c>
    </row>
    <row r="424">
      <c r="A424" s="26" t="str">
        <f t="shared" si="1"/>
        <v/>
      </c>
      <c r="B424" s="26" t="str">
        <f t="shared" si="2"/>
        <v/>
      </c>
      <c r="C424" s="186" t="str">
        <f t="shared" si="3"/>
        <v/>
      </c>
      <c r="D424" s="187"/>
      <c r="E424" s="174" t="str">
        <f>IFERROR(__xludf.DUMMYFUNCTION("IF(D424&lt;&gt;"""",SPLIT(D424,"" 
""),)"),"")</f>
        <v/>
      </c>
    </row>
    <row r="425">
      <c r="A425" s="26" t="str">
        <f t="shared" si="1"/>
        <v/>
      </c>
      <c r="B425" s="26" t="str">
        <f t="shared" si="2"/>
        <v/>
      </c>
      <c r="C425" s="186" t="str">
        <f t="shared" si="3"/>
        <v/>
      </c>
      <c r="D425" s="187"/>
      <c r="E425" s="174" t="str">
        <f>IFERROR(__xludf.DUMMYFUNCTION("IF(D425&lt;&gt;"""",SPLIT(D425,"" 
""),)"),"")</f>
        <v/>
      </c>
    </row>
    <row r="426">
      <c r="A426" s="26" t="str">
        <f t="shared" si="1"/>
        <v/>
      </c>
      <c r="B426" s="26" t="str">
        <f t="shared" si="2"/>
        <v/>
      </c>
      <c r="C426" s="186" t="str">
        <f t="shared" si="3"/>
        <v/>
      </c>
      <c r="D426" s="187"/>
      <c r="E426" s="174" t="str">
        <f>IFERROR(__xludf.DUMMYFUNCTION("IF(D426&lt;&gt;"""",SPLIT(D426,"" 
""),)"),"")</f>
        <v/>
      </c>
    </row>
    <row r="427">
      <c r="A427" s="26" t="str">
        <f t="shared" si="1"/>
        <v/>
      </c>
      <c r="B427" s="26" t="str">
        <f t="shared" si="2"/>
        <v/>
      </c>
      <c r="C427" s="186" t="str">
        <f t="shared" si="3"/>
        <v/>
      </c>
      <c r="D427" s="187"/>
      <c r="E427" s="174" t="str">
        <f>IFERROR(__xludf.DUMMYFUNCTION("IF(D427&lt;&gt;"""",SPLIT(D427,"" 
""),)"),"")</f>
        <v/>
      </c>
    </row>
    <row r="428">
      <c r="A428" s="26" t="str">
        <f t="shared" si="1"/>
        <v/>
      </c>
      <c r="B428" s="26" t="str">
        <f t="shared" si="2"/>
        <v/>
      </c>
      <c r="C428" s="186" t="str">
        <f t="shared" si="3"/>
        <v/>
      </c>
      <c r="D428" s="187"/>
      <c r="E428" s="174" t="str">
        <f>IFERROR(__xludf.DUMMYFUNCTION("IF(D428&lt;&gt;"""",SPLIT(D428,"" 
""),)"),"")</f>
        <v/>
      </c>
    </row>
    <row r="429">
      <c r="A429" s="26" t="str">
        <f t="shared" si="1"/>
        <v/>
      </c>
      <c r="B429" s="26" t="str">
        <f t="shared" si="2"/>
        <v/>
      </c>
      <c r="C429" s="186" t="str">
        <f t="shared" si="3"/>
        <v/>
      </c>
      <c r="D429" s="187"/>
      <c r="E429" s="174" t="str">
        <f>IFERROR(__xludf.DUMMYFUNCTION("IF(D429&lt;&gt;"""",SPLIT(D429,"" 
""),)"),"")</f>
        <v/>
      </c>
    </row>
    <row r="430">
      <c r="A430" s="26" t="str">
        <f t="shared" si="1"/>
        <v/>
      </c>
      <c r="B430" s="26" t="str">
        <f t="shared" si="2"/>
        <v/>
      </c>
      <c r="C430" s="186" t="str">
        <f t="shared" si="3"/>
        <v/>
      </c>
      <c r="D430" s="187"/>
      <c r="E430" s="174" t="str">
        <f>IFERROR(__xludf.DUMMYFUNCTION("IF(D430&lt;&gt;"""",SPLIT(D430,"" 
""),)"),"")</f>
        <v/>
      </c>
    </row>
    <row r="431">
      <c r="A431" s="26" t="str">
        <f t="shared" si="1"/>
        <v/>
      </c>
      <c r="B431" s="26" t="str">
        <f t="shared" si="2"/>
        <v/>
      </c>
      <c r="C431" s="186" t="str">
        <f t="shared" si="3"/>
        <v/>
      </c>
      <c r="D431" s="187"/>
      <c r="E431" s="174" t="str">
        <f>IFERROR(__xludf.DUMMYFUNCTION("IF(D431&lt;&gt;"""",SPLIT(D431,"" 
""),)"),"")</f>
        <v/>
      </c>
    </row>
    <row r="432">
      <c r="A432" s="26" t="str">
        <f t="shared" si="1"/>
        <v/>
      </c>
      <c r="B432" s="26" t="str">
        <f t="shared" si="2"/>
        <v/>
      </c>
      <c r="C432" s="186" t="str">
        <f t="shared" si="3"/>
        <v/>
      </c>
      <c r="D432" s="187"/>
      <c r="E432" s="174" t="str">
        <f>IFERROR(__xludf.DUMMYFUNCTION("IF(D432&lt;&gt;"""",SPLIT(D432,"" 
""),)"),"")</f>
        <v/>
      </c>
    </row>
    <row r="433">
      <c r="A433" s="26" t="str">
        <f t="shared" si="1"/>
        <v/>
      </c>
      <c r="B433" s="26" t="str">
        <f t="shared" si="2"/>
        <v/>
      </c>
      <c r="C433" s="186" t="str">
        <f t="shared" si="3"/>
        <v/>
      </c>
      <c r="D433" s="187"/>
      <c r="E433" s="174" t="str">
        <f>IFERROR(__xludf.DUMMYFUNCTION("IF(D433&lt;&gt;"""",SPLIT(D433,"" 
""),)"),"")</f>
        <v/>
      </c>
    </row>
    <row r="434">
      <c r="A434" s="26" t="str">
        <f t="shared" si="1"/>
        <v/>
      </c>
      <c r="B434" s="26" t="str">
        <f t="shared" si="2"/>
        <v/>
      </c>
      <c r="C434" s="186" t="str">
        <f t="shared" si="3"/>
        <v/>
      </c>
      <c r="D434" s="187"/>
      <c r="E434" s="174" t="str">
        <f>IFERROR(__xludf.DUMMYFUNCTION("IF(D434&lt;&gt;"""",SPLIT(D434,"" 
""),)"),"")</f>
        <v/>
      </c>
    </row>
    <row r="435">
      <c r="A435" s="26" t="str">
        <f t="shared" si="1"/>
        <v/>
      </c>
      <c r="B435" s="26" t="str">
        <f t="shared" si="2"/>
        <v/>
      </c>
      <c r="C435" s="186" t="str">
        <f t="shared" si="3"/>
        <v/>
      </c>
      <c r="D435" s="187"/>
      <c r="E435" s="174" t="str">
        <f>IFERROR(__xludf.DUMMYFUNCTION("IF(D435&lt;&gt;"""",SPLIT(D435,"" 
""),)"),"")</f>
        <v/>
      </c>
    </row>
    <row r="436">
      <c r="A436" s="26" t="str">
        <f t="shared" si="1"/>
        <v/>
      </c>
      <c r="B436" s="26" t="str">
        <f t="shared" si="2"/>
        <v/>
      </c>
      <c r="C436" s="186" t="str">
        <f t="shared" si="3"/>
        <v/>
      </c>
      <c r="D436" s="187"/>
      <c r="E436" s="174" t="str">
        <f>IFERROR(__xludf.DUMMYFUNCTION("IF(D436&lt;&gt;"""",SPLIT(D436,"" 
""),)"),"")</f>
        <v/>
      </c>
    </row>
    <row r="437">
      <c r="A437" s="26" t="str">
        <f t="shared" si="1"/>
        <v/>
      </c>
      <c r="B437" s="26" t="str">
        <f t="shared" si="2"/>
        <v/>
      </c>
      <c r="C437" s="186" t="str">
        <f t="shared" si="3"/>
        <v/>
      </c>
      <c r="D437" s="187"/>
      <c r="E437" s="174" t="str">
        <f>IFERROR(__xludf.DUMMYFUNCTION("IF(D437&lt;&gt;"""",SPLIT(D437,"" 
""),)"),"")</f>
        <v/>
      </c>
    </row>
    <row r="438">
      <c r="A438" s="26" t="str">
        <f t="shared" si="1"/>
        <v/>
      </c>
      <c r="B438" s="26" t="str">
        <f t="shared" si="2"/>
        <v/>
      </c>
      <c r="C438" s="186" t="str">
        <f t="shared" si="3"/>
        <v/>
      </c>
      <c r="D438" s="187"/>
      <c r="E438" s="174" t="str">
        <f>IFERROR(__xludf.DUMMYFUNCTION("IF(D438&lt;&gt;"""",SPLIT(D438,"" 
""),)"),"")</f>
        <v/>
      </c>
    </row>
    <row r="439">
      <c r="A439" s="26" t="str">
        <f t="shared" si="1"/>
        <v/>
      </c>
      <c r="B439" s="26" t="str">
        <f t="shared" si="2"/>
        <v/>
      </c>
      <c r="C439" s="186" t="str">
        <f t="shared" si="3"/>
        <v/>
      </c>
      <c r="D439" s="187"/>
      <c r="E439" s="174" t="str">
        <f>IFERROR(__xludf.DUMMYFUNCTION("IF(D439&lt;&gt;"""",SPLIT(D439,"" 
""),)"),"")</f>
        <v/>
      </c>
    </row>
    <row r="440">
      <c r="A440" s="26" t="str">
        <f t="shared" si="1"/>
        <v/>
      </c>
      <c r="B440" s="26" t="str">
        <f t="shared" si="2"/>
        <v/>
      </c>
      <c r="C440" s="186" t="str">
        <f t="shared" si="3"/>
        <v/>
      </c>
      <c r="D440" s="187"/>
      <c r="E440" s="174" t="str">
        <f>IFERROR(__xludf.DUMMYFUNCTION("IF(D440&lt;&gt;"""",SPLIT(D440,"" 
""),)"),"")</f>
        <v/>
      </c>
    </row>
    <row r="441">
      <c r="A441" s="26" t="str">
        <f t="shared" si="1"/>
        <v/>
      </c>
      <c r="B441" s="26" t="str">
        <f t="shared" si="2"/>
        <v/>
      </c>
      <c r="C441" s="186" t="str">
        <f t="shared" si="3"/>
        <v/>
      </c>
      <c r="D441" s="187"/>
      <c r="E441" s="174" t="str">
        <f>IFERROR(__xludf.DUMMYFUNCTION("IF(D441&lt;&gt;"""",SPLIT(D441,"" 
""),)"),"")</f>
        <v/>
      </c>
    </row>
    <row r="442">
      <c r="A442" s="26" t="str">
        <f t="shared" si="1"/>
        <v/>
      </c>
      <c r="B442" s="26" t="str">
        <f t="shared" si="2"/>
        <v/>
      </c>
      <c r="C442" s="186" t="str">
        <f t="shared" si="3"/>
        <v/>
      </c>
      <c r="D442" s="187"/>
      <c r="E442" s="174" t="str">
        <f>IFERROR(__xludf.DUMMYFUNCTION("IF(D442&lt;&gt;"""",SPLIT(D442,"" 
""),)"),"")</f>
        <v/>
      </c>
    </row>
    <row r="443">
      <c r="A443" s="26" t="str">
        <f t="shared" si="1"/>
        <v/>
      </c>
      <c r="B443" s="26" t="str">
        <f t="shared" si="2"/>
        <v/>
      </c>
      <c r="C443" s="186" t="str">
        <f t="shared" si="3"/>
        <v/>
      </c>
      <c r="D443" s="187"/>
      <c r="E443" s="174" t="str">
        <f>IFERROR(__xludf.DUMMYFUNCTION("IF(D443&lt;&gt;"""",SPLIT(D443,"" 
""),)"),"")</f>
        <v/>
      </c>
    </row>
    <row r="444">
      <c r="A444" s="26" t="str">
        <f t="shared" si="1"/>
        <v/>
      </c>
      <c r="B444" s="26" t="str">
        <f t="shared" si="2"/>
        <v/>
      </c>
      <c r="C444" s="186" t="str">
        <f t="shared" si="3"/>
        <v/>
      </c>
      <c r="D444" s="187"/>
      <c r="E444" s="174" t="str">
        <f>IFERROR(__xludf.DUMMYFUNCTION("IF(D444&lt;&gt;"""",SPLIT(D444,"" 
""),)"),"")</f>
        <v/>
      </c>
    </row>
    <row r="445">
      <c r="A445" s="26" t="str">
        <f t="shared" si="1"/>
        <v/>
      </c>
      <c r="B445" s="26" t="str">
        <f t="shared" si="2"/>
        <v/>
      </c>
      <c r="C445" s="186" t="str">
        <f t="shared" si="3"/>
        <v/>
      </c>
      <c r="D445" s="187"/>
      <c r="E445" s="174" t="str">
        <f>IFERROR(__xludf.DUMMYFUNCTION("IF(D445&lt;&gt;"""",SPLIT(D445,"" 
""),)"),"")</f>
        <v/>
      </c>
    </row>
    <row r="446">
      <c r="A446" s="26" t="str">
        <f t="shared" si="1"/>
        <v/>
      </c>
      <c r="B446" s="26" t="str">
        <f t="shared" si="2"/>
        <v/>
      </c>
      <c r="C446" s="186" t="str">
        <f t="shared" si="3"/>
        <v/>
      </c>
      <c r="D446" s="187"/>
      <c r="E446" s="174" t="str">
        <f>IFERROR(__xludf.DUMMYFUNCTION("IF(D446&lt;&gt;"""",SPLIT(D446,"" 
""),)"),"")</f>
        <v/>
      </c>
    </row>
    <row r="447">
      <c r="A447" s="26" t="str">
        <f t="shared" si="1"/>
        <v/>
      </c>
      <c r="B447" s="26" t="str">
        <f t="shared" si="2"/>
        <v/>
      </c>
      <c r="C447" s="186" t="str">
        <f t="shared" si="3"/>
        <v/>
      </c>
      <c r="D447" s="187"/>
      <c r="E447" s="174" t="str">
        <f>IFERROR(__xludf.DUMMYFUNCTION("IF(D447&lt;&gt;"""",SPLIT(D447,"" 
""),)"),"")</f>
        <v/>
      </c>
    </row>
    <row r="448">
      <c r="A448" s="26" t="str">
        <f t="shared" si="1"/>
        <v/>
      </c>
      <c r="B448" s="26" t="str">
        <f t="shared" si="2"/>
        <v/>
      </c>
      <c r="C448" s="186" t="str">
        <f t="shared" si="3"/>
        <v/>
      </c>
      <c r="D448" s="187"/>
      <c r="E448" s="174" t="str">
        <f>IFERROR(__xludf.DUMMYFUNCTION("IF(D448&lt;&gt;"""",SPLIT(D448,"" 
""),)"),"")</f>
        <v/>
      </c>
    </row>
    <row r="449">
      <c r="A449" s="26" t="str">
        <f t="shared" si="1"/>
        <v/>
      </c>
      <c r="B449" s="26" t="str">
        <f t="shared" si="2"/>
        <v/>
      </c>
      <c r="C449" s="186" t="str">
        <f t="shared" si="3"/>
        <v/>
      </c>
      <c r="D449" s="187"/>
      <c r="E449" s="174" t="str">
        <f>IFERROR(__xludf.DUMMYFUNCTION("IF(D449&lt;&gt;"""",SPLIT(D449,"" 
""),)"),"")</f>
        <v/>
      </c>
    </row>
    <row r="450">
      <c r="A450" s="26" t="str">
        <f t="shared" si="1"/>
        <v/>
      </c>
      <c r="B450" s="26" t="str">
        <f t="shared" si="2"/>
        <v/>
      </c>
      <c r="C450" s="186" t="str">
        <f t="shared" si="3"/>
        <v/>
      </c>
      <c r="D450" s="187"/>
      <c r="E450" s="174" t="str">
        <f>IFERROR(__xludf.DUMMYFUNCTION("IF(D450&lt;&gt;"""",SPLIT(D450,"" 
""),)"),"")</f>
        <v/>
      </c>
    </row>
    <row r="451">
      <c r="A451" s="26" t="str">
        <f t="shared" si="1"/>
        <v/>
      </c>
      <c r="B451" s="26" t="str">
        <f t="shared" si="2"/>
        <v/>
      </c>
      <c r="C451" s="186" t="str">
        <f t="shared" si="3"/>
        <v/>
      </c>
      <c r="D451" s="187"/>
      <c r="E451" s="174" t="str">
        <f>IFERROR(__xludf.DUMMYFUNCTION("IF(D451&lt;&gt;"""",SPLIT(D451,"" 
""),)"),"")</f>
        <v/>
      </c>
    </row>
    <row r="452">
      <c r="A452" s="26" t="str">
        <f t="shared" si="1"/>
        <v/>
      </c>
      <c r="B452" s="26" t="str">
        <f t="shared" si="2"/>
        <v/>
      </c>
      <c r="C452" s="186" t="str">
        <f t="shared" si="3"/>
        <v/>
      </c>
      <c r="D452" s="187"/>
      <c r="E452" s="174" t="str">
        <f>IFERROR(__xludf.DUMMYFUNCTION("IF(D452&lt;&gt;"""",SPLIT(D452,"" 
""),)"),"")</f>
        <v/>
      </c>
    </row>
    <row r="453">
      <c r="A453" s="26" t="str">
        <f t="shared" si="1"/>
        <v/>
      </c>
      <c r="B453" s="26" t="str">
        <f t="shared" si="2"/>
        <v/>
      </c>
      <c r="C453" s="186" t="str">
        <f t="shared" si="3"/>
        <v/>
      </c>
      <c r="D453" s="187"/>
      <c r="E453" s="174" t="str">
        <f>IFERROR(__xludf.DUMMYFUNCTION("IF(D453&lt;&gt;"""",SPLIT(D453,"" 
""),)"),"")</f>
        <v/>
      </c>
    </row>
    <row r="454">
      <c r="A454" s="26" t="str">
        <f t="shared" si="1"/>
        <v/>
      </c>
      <c r="B454" s="26" t="str">
        <f t="shared" si="2"/>
        <v/>
      </c>
      <c r="C454" s="186" t="str">
        <f t="shared" si="3"/>
        <v/>
      </c>
      <c r="D454" s="187"/>
      <c r="E454" s="174" t="str">
        <f>IFERROR(__xludf.DUMMYFUNCTION("IF(D454&lt;&gt;"""",SPLIT(D454,"" 
""),)"),"")</f>
        <v/>
      </c>
    </row>
    <row r="455">
      <c r="A455" s="26" t="str">
        <f t="shared" si="1"/>
        <v/>
      </c>
      <c r="B455" s="26" t="str">
        <f t="shared" si="2"/>
        <v/>
      </c>
      <c r="C455" s="186" t="str">
        <f t="shared" si="3"/>
        <v/>
      </c>
      <c r="D455" s="187"/>
      <c r="E455" s="174" t="str">
        <f>IFERROR(__xludf.DUMMYFUNCTION("IF(D455&lt;&gt;"""",SPLIT(D455,"" 
""),)"),"")</f>
        <v/>
      </c>
    </row>
    <row r="456">
      <c r="A456" s="26" t="str">
        <f t="shared" si="1"/>
        <v/>
      </c>
      <c r="B456" s="26" t="str">
        <f t="shared" si="2"/>
        <v/>
      </c>
      <c r="C456" s="186" t="str">
        <f t="shared" si="3"/>
        <v/>
      </c>
      <c r="D456" s="187"/>
      <c r="E456" s="174" t="str">
        <f>IFERROR(__xludf.DUMMYFUNCTION("IF(D456&lt;&gt;"""",SPLIT(D456,"" 
""),)"),"")</f>
        <v/>
      </c>
    </row>
    <row r="457">
      <c r="A457" s="26" t="str">
        <f t="shared" si="1"/>
        <v/>
      </c>
      <c r="B457" s="26" t="str">
        <f t="shared" si="2"/>
        <v/>
      </c>
      <c r="C457" s="186" t="str">
        <f t="shared" si="3"/>
        <v/>
      </c>
      <c r="D457" s="187"/>
      <c r="E457" s="174" t="str">
        <f>IFERROR(__xludf.DUMMYFUNCTION("IF(D457&lt;&gt;"""",SPLIT(D457,"" 
""),)"),"")</f>
        <v/>
      </c>
    </row>
    <row r="458">
      <c r="A458" s="26" t="str">
        <f t="shared" si="1"/>
        <v/>
      </c>
      <c r="B458" s="26" t="str">
        <f t="shared" si="2"/>
        <v/>
      </c>
      <c r="C458" s="186" t="str">
        <f t="shared" si="3"/>
        <v/>
      </c>
      <c r="D458" s="187"/>
      <c r="E458" s="174" t="str">
        <f>IFERROR(__xludf.DUMMYFUNCTION("IF(D458&lt;&gt;"""",SPLIT(D458,"" 
""),)"),"")</f>
        <v/>
      </c>
    </row>
    <row r="459">
      <c r="A459" s="26" t="str">
        <f t="shared" si="1"/>
        <v/>
      </c>
      <c r="B459" s="26" t="str">
        <f t="shared" si="2"/>
        <v/>
      </c>
      <c r="C459" s="186" t="str">
        <f t="shared" si="3"/>
        <v/>
      </c>
      <c r="D459" s="187"/>
      <c r="E459" s="174" t="str">
        <f>IFERROR(__xludf.DUMMYFUNCTION("IF(D459&lt;&gt;"""",SPLIT(D459,"" 
""),)"),"")</f>
        <v/>
      </c>
    </row>
    <row r="460">
      <c r="A460" s="26" t="str">
        <f t="shared" si="1"/>
        <v/>
      </c>
      <c r="B460" s="26" t="str">
        <f t="shared" si="2"/>
        <v/>
      </c>
      <c r="C460" s="186" t="str">
        <f t="shared" si="3"/>
        <v/>
      </c>
      <c r="D460" s="187"/>
      <c r="E460" s="174" t="str">
        <f>IFERROR(__xludf.DUMMYFUNCTION("IF(D460&lt;&gt;"""",SPLIT(D460,"" 
""),)"),"")</f>
        <v/>
      </c>
    </row>
    <row r="461">
      <c r="A461" s="26" t="str">
        <f t="shared" si="1"/>
        <v/>
      </c>
      <c r="B461" s="26" t="str">
        <f t="shared" si="2"/>
        <v/>
      </c>
      <c r="C461" s="186" t="str">
        <f t="shared" si="3"/>
        <v/>
      </c>
      <c r="D461" s="187"/>
      <c r="E461" s="174" t="str">
        <f>IFERROR(__xludf.DUMMYFUNCTION("IF(D461&lt;&gt;"""",SPLIT(D461,"" 
""),)"),"")</f>
        <v/>
      </c>
    </row>
    <row r="462">
      <c r="A462" s="26" t="str">
        <f t="shared" si="1"/>
        <v/>
      </c>
      <c r="B462" s="26" t="str">
        <f t="shared" si="2"/>
        <v/>
      </c>
      <c r="C462" s="186" t="str">
        <f t="shared" si="3"/>
        <v/>
      </c>
      <c r="D462" s="187"/>
      <c r="E462" s="174" t="str">
        <f>IFERROR(__xludf.DUMMYFUNCTION("IF(D462&lt;&gt;"""",SPLIT(D462,"" 
""),)"),"")</f>
        <v/>
      </c>
    </row>
    <row r="463">
      <c r="A463" s="26" t="str">
        <f t="shared" si="1"/>
        <v/>
      </c>
      <c r="B463" s="26" t="str">
        <f t="shared" si="2"/>
        <v/>
      </c>
      <c r="C463" s="186" t="str">
        <f t="shared" si="3"/>
        <v/>
      </c>
      <c r="D463" s="187"/>
      <c r="E463" s="174" t="str">
        <f>IFERROR(__xludf.DUMMYFUNCTION("IF(D463&lt;&gt;"""",SPLIT(D463,"" 
""),)"),"")</f>
        <v/>
      </c>
    </row>
    <row r="464">
      <c r="A464" s="26" t="str">
        <f t="shared" si="1"/>
        <v/>
      </c>
      <c r="B464" s="26" t="str">
        <f t="shared" si="2"/>
        <v/>
      </c>
      <c r="C464" s="186" t="str">
        <f t="shared" si="3"/>
        <v/>
      </c>
      <c r="D464" s="187"/>
      <c r="E464" s="174" t="str">
        <f>IFERROR(__xludf.DUMMYFUNCTION("IF(D464&lt;&gt;"""",SPLIT(D464,"" 
""),)"),"")</f>
        <v/>
      </c>
    </row>
    <row r="465">
      <c r="A465" s="26" t="str">
        <f t="shared" si="1"/>
        <v/>
      </c>
      <c r="B465" s="26" t="str">
        <f t="shared" si="2"/>
        <v/>
      </c>
      <c r="C465" s="186" t="str">
        <f t="shared" si="3"/>
        <v/>
      </c>
      <c r="D465" s="187"/>
      <c r="E465" s="174" t="str">
        <f>IFERROR(__xludf.DUMMYFUNCTION("IF(D465&lt;&gt;"""",SPLIT(D465,"" 
""),)"),"")</f>
        <v/>
      </c>
    </row>
    <row r="466">
      <c r="A466" s="26" t="str">
        <f t="shared" si="1"/>
        <v/>
      </c>
      <c r="B466" s="26" t="str">
        <f t="shared" si="2"/>
        <v/>
      </c>
      <c r="C466" s="186" t="str">
        <f t="shared" si="3"/>
        <v/>
      </c>
      <c r="D466" s="187"/>
      <c r="E466" s="174" t="str">
        <f>IFERROR(__xludf.DUMMYFUNCTION("IF(D466&lt;&gt;"""",SPLIT(D466,"" 
""),)"),"")</f>
        <v/>
      </c>
    </row>
    <row r="467">
      <c r="A467" s="26" t="str">
        <f t="shared" si="1"/>
        <v/>
      </c>
      <c r="B467" s="26" t="str">
        <f t="shared" si="2"/>
        <v/>
      </c>
      <c r="C467" s="186" t="str">
        <f t="shared" si="3"/>
        <v/>
      </c>
      <c r="D467" s="187"/>
      <c r="E467" s="174" t="str">
        <f>IFERROR(__xludf.DUMMYFUNCTION("IF(D467&lt;&gt;"""",SPLIT(D467,"" 
""),)"),"")</f>
        <v/>
      </c>
    </row>
    <row r="468">
      <c r="A468" s="26" t="str">
        <f t="shared" si="1"/>
        <v/>
      </c>
      <c r="B468" s="26" t="str">
        <f t="shared" si="2"/>
        <v/>
      </c>
      <c r="C468" s="186" t="str">
        <f t="shared" si="3"/>
        <v/>
      </c>
      <c r="D468" s="187"/>
      <c r="E468" s="174" t="str">
        <f>IFERROR(__xludf.DUMMYFUNCTION("IF(D468&lt;&gt;"""",SPLIT(D468,"" 
""),)"),"")</f>
        <v/>
      </c>
    </row>
    <row r="469">
      <c r="A469" s="26" t="str">
        <f t="shared" si="1"/>
        <v/>
      </c>
      <c r="B469" s="26" t="str">
        <f t="shared" si="2"/>
        <v/>
      </c>
      <c r="C469" s="186" t="str">
        <f t="shared" si="3"/>
        <v/>
      </c>
      <c r="D469" s="187"/>
      <c r="E469" s="174" t="str">
        <f>IFERROR(__xludf.DUMMYFUNCTION("IF(D469&lt;&gt;"""",SPLIT(D469,"" 
""),)"),"")</f>
        <v/>
      </c>
    </row>
    <row r="470">
      <c r="A470" s="26" t="str">
        <f t="shared" si="1"/>
        <v/>
      </c>
      <c r="B470" s="26" t="str">
        <f t="shared" si="2"/>
        <v/>
      </c>
      <c r="C470" s="186" t="str">
        <f t="shared" si="3"/>
        <v/>
      </c>
      <c r="D470" s="187"/>
      <c r="E470" s="174" t="str">
        <f>IFERROR(__xludf.DUMMYFUNCTION("IF(D470&lt;&gt;"""",SPLIT(D470,"" 
""),)"),"")</f>
        <v/>
      </c>
    </row>
    <row r="471">
      <c r="A471" s="26" t="str">
        <f t="shared" si="1"/>
        <v/>
      </c>
      <c r="B471" s="26" t="str">
        <f t="shared" si="2"/>
        <v/>
      </c>
      <c r="C471" s="186" t="str">
        <f t="shared" si="3"/>
        <v/>
      </c>
      <c r="D471" s="187"/>
      <c r="E471" s="174" t="str">
        <f>IFERROR(__xludf.DUMMYFUNCTION("IF(D471&lt;&gt;"""",SPLIT(D471,"" 
""),)"),"")</f>
        <v/>
      </c>
    </row>
    <row r="472">
      <c r="A472" s="26" t="str">
        <f t="shared" si="1"/>
        <v/>
      </c>
      <c r="B472" s="26" t="str">
        <f t="shared" si="2"/>
        <v/>
      </c>
      <c r="C472" s="186" t="str">
        <f t="shared" si="3"/>
        <v/>
      </c>
      <c r="D472" s="187"/>
      <c r="E472" s="174" t="str">
        <f>IFERROR(__xludf.DUMMYFUNCTION("IF(D472&lt;&gt;"""",SPLIT(D472,"" 
""),)"),"")</f>
        <v/>
      </c>
    </row>
    <row r="473">
      <c r="A473" s="26" t="str">
        <f t="shared" si="1"/>
        <v/>
      </c>
      <c r="B473" s="26" t="str">
        <f t="shared" si="2"/>
        <v/>
      </c>
      <c r="C473" s="186" t="str">
        <f t="shared" si="3"/>
        <v/>
      </c>
      <c r="D473" s="187"/>
      <c r="E473" s="174" t="str">
        <f>IFERROR(__xludf.DUMMYFUNCTION("IF(D473&lt;&gt;"""",SPLIT(D473,"" 
""),)"),"")</f>
        <v/>
      </c>
    </row>
    <row r="474">
      <c r="A474" s="26" t="str">
        <f t="shared" si="1"/>
        <v/>
      </c>
      <c r="B474" s="26" t="str">
        <f t="shared" si="2"/>
        <v/>
      </c>
      <c r="C474" s="186" t="str">
        <f t="shared" si="3"/>
        <v/>
      </c>
      <c r="D474" s="187"/>
      <c r="E474" s="174" t="str">
        <f>IFERROR(__xludf.DUMMYFUNCTION("IF(D474&lt;&gt;"""",SPLIT(D474,"" 
""),)"),"")</f>
        <v/>
      </c>
    </row>
    <row r="475">
      <c r="A475" s="26" t="str">
        <f t="shared" si="1"/>
        <v/>
      </c>
      <c r="B475" s="26" t="str">
        <f t="shared" si="2"/>
        <v/>
      </c>
      <c r="C475" s="186" t="str">
        <f t="shared" si="3"/>
        <v/>
      </c>
      <c r="D475" s="187"/>
      <c r="E475" s="174" t="str">
        <f>IFERROR(__xludf.DUMMYFUNCTION("IF(D475&lt;&gt;"""",SPLIT(D475,"" 
""),)"),"")</f>
        <v/>
      </c>
    </row>
    <row r="476">
      <c r="A476" s="26" t="str">
        <f t="shared" si="1"/>
        <v/>
      </c>
      <c r="B476" s="26" t="str">
        <f t="shared" si="2"/>
        <v/>
      </c>
      <c r="C476" s="186" t="str">
        <f t="shared" si="3"/>
        <v/>
      </c>
      <c r="D476" s="187"/>
      <c r="E476" s="174" t="str">
        <f>IFERROR(__xludf.DUMMYFUNCTION("IF(D476&lt;&gt;"""",SPLIT(D476,"" 
""),)"),"")</f>
        <v/>
      </c>
    </row>
    <row r="477">
      <c r="A477" s="26" t="str">
        <f t="shared" si="1"/>
        <v/>
      </c>
      <c r="B477" s="26" t="str">
        <f t="shared" si="2"/>
        <v/>
      </c>
      <c r="C477" s="186" t="str">
        <f t="shared" si="3"/>
        <v/>
      </c>
      <c r="D477" s="187"/>
      <c r="E477" s="174" t="str">
        <f>IFERROR(__xludf.DUMMYFUNCTION("IF(D477&lt;&gt;"""",SPLIT(D477,"" 
""),)"),"")</f>
        <v/>
      </c>
    </row>
    <row r="478">
      <c r="A478" s="26" t="str">
        <f t="shared" si="1"/>
        <v/>
      </c>
      <c r="B478" s="26" t="str">
        <f t="shared" si="2"/>
        <v/>
      </c>
      <c r="C478" s="186" t="str">
        <f t="shared" si="3"/>
        <v/>
      </c>
      <c r="D478" s="187"/>
      <c r="E478" s="174" t="str">
        <f>IFERROR(__xludf.DUMMYFUNCTION("IF(D478&lt;&gt;"""",SPLIT(D478,"" 
""),)"),"")</f>
        <v/>
      </c>
    </row>
    <row r="479">
      <c r="A479" s="26" t="str">
        <f t="shared" si="1"/>
        <v/>
      </c>
      <c r="B479" s="26" t="str">
        <f t="shared" si="2"/>
        <v/>
      </c>
      <c r="C479" s="186" t="str">
        <f t="shared" si="3"/>
        <v/>
      </c>
      <c r="D479" s="187"/>
      <c r="E479" s="174" t="str">
        <f>IFERROR(__xludf.DUMMYFUNCTION("IF(D479&lt;&gt;"""",SPLIT(D479,"" 
""),)"),"")</f>
        <v/>
      </c>
    </row>
    <row r="480">
      <c r="A480" s="26" t="str">
        <f t="shared" si="1"/>
        <v/>
      </c>
      <c r="B480" s="26" t="str">
        <f t="shared" si="2"/>
        <v/>
      </c>
      <c r="C480" s="186" t="str">
        <f t="shared" si="3"/>
        <v/>
      </c>
      <c r="D480" s="187"/>
      <c r="E480" s="174" t="str">
        <f>IFERROR(__xludf.DUMMYFUNCTION("IF(D480&lt;&gt;"""",SPLIT(D480,"" 
""),)"),"")</f>
        <v/>
      </c>
    </row>
    <row r="481">
      <c r="A481" s="26" t="str">
        <f t="shared" si="1"/>
        <v/>
      </c>
      <c r="B481" s="26" t="str">
        <f t="shared" si="2"/>
        <v/>
      </c>
      <c r="C481" s="186" t="str">
        <f t="shared" si="3"/>
        <v/>
      </c>
      <c r="D481" s="187"/>
      <c r="E481" s="174" t="str">
        <f>IFERROR(__xludf.DUMMYFUNCTION("IF(D481&lt;&gt;"""",SPLIT(D481,"" 
""),)"),"")</f>
        <v/>
      </c>
    </row>
    <row r="482">
      <c r="A482" s="26" t="str">
        <f t="shared" si="1"/>
        <v/>
      </c>
      <c r="B482" s="26" t="str">
        <f t="shared" si="2"/>
        <v/>
      </c>
      <c r="C482" s="186" t="str">
        <f t="shared" si="3"/>
        <v/>
      </c>
      <c r="D482" s="187"/>
      <c r="E482" s="174" t="str">
        <f>IFERROR(__xludf.DUMMYFUNCTION("IF(D482&lt;&gt;"""",SPLIT(D482,"" 
""),)"),"")</f>
        <v/>
      </c>
    </row>
    <row r="483">
      <c r="A483" s="26" t="str">
        <f t="shared" si="1"/>
        <v/>
      </c>
      <c r="B483" s="26" t="str">
        <f t="shared" si="2"/>
        <v/>
      </c>
      <c r="C483" s="186" t="str">
        <f t="shared" si="3"/>
        <v/>
      </c>
      <c r="D483" s="187"/>
      <c r="E483" s="174" t="str">
        <f>IFERROR(__xludf.DUMMYFUNCTION("IF(D483&lt;&gt;"""",SPLIT(D483,"" 
""),)"),"")</f>
        <v/>
      </c>
    </row>
    <row r="484">
      <c r="A484" s="26" t="str">
        <f t="shared" si="1"/>
        <v/>
      </c>
      <c r="B484" s="26" t="str">
        <f t="shared" si="2"/>
        <v/>
      </c>
      <c r="C484" s="186" t="str">
        <f t="shared" si="3"/>
        <v/>
      </c>
      <c r="D484" s="187"/>
      <c r="E484" s="174" t="str">
        <f>IFERROR(__xludf.DUMMYFUNCTION("IF(D484&lt;&gt;"""",SPLIT(D484,"" 
""),)"),"")</f>
        <v/>
      </c>
    </row>
    <row r="485">
      <c r="A485" s="26" t="str">
        <f t="shared" si="1"/>
        <v/>
      </c>
      <c r="B485" s="26" t="str">
        <f t="shared" si="2"/>
        <v/>
      </c>
      <c r="C485" s="186" t="str">
        <f t="shared" si="3"/>
        <v/>
      </c>
      <c r="D485" s="187"/>
      <c r="E485" s="174" t="str">
        <f>IFERROR(__xludf.DUMMYFUNCTION("IF(D485&lt;&gt;"""",SPLIT(D485,"" 
""),)"),"")</f>
        <v/>
      </c>
    </row>
    <row r="486">
      <c r="A486" s="26" t="str">
        <f t="shared" si="1"/>
        <v/>
      </c>
      <c r="B486" s="26" t="str">
        <f t="shared" si="2"/>
        <v/>
      </c>
      <c r="C486" s="186" t="str">
        <f t="shared" si="3"/>
        <v/>
      </c>
      <c r="D486" s="187"/>
      <c r="E486" s="174" t="str">
        <f>IFERROR(__xludf.DUMMYFUNCTION("IF(D486&lt;&gt;"""",SPLIT(D486,"" 
""),)"),"")</f>
        <v/>
      </c>
    </row>
    <row r="487">
      <c r="A487" s="26" t="str">
        <f t="shared" si="1"/>
        <v/>
      </c>
      <c r="B487" s="26" t="str">
        <f t="shared" si="2"/>
        <v/>
      </c>
      <c r="C487" s="186" t="str">
        <f t="shared" si="3"/>
        <v/>
      </c>
      <c r="D487" s="187"/>
      <c r="E487" s="174" t="str">
        <f>IFERROR(__xludf.DUMMYFUNCTION("IF(D487&lt;&gt;"""",SPLIT(D487,"" 
""),)"),"")</f>
        <v/>
      </c>
    </row>
    <row r="488">
      <c r="A488" s="26" t="str">
        <f t="shared" si="1"/>
        <v/>
      </c>
      <c r="B488" s="26" t="str">
        <f t="shared" si="2"/>
        <v/>
      </c>
      <c r="C488" s="186" t="str">
        <f t="shared" si="3"/>
        <v/>
      </c>
      <c r="D488" s="187"/>
      <c r="E488" s="174" t="str">
        <f>IFERROR(__xludf.DUMMYFUNCTION("IF(D488&lt;&gt;"""",SPLIT(D488,"" 
""),)"),"")</f>
        <v/>
      </c>
    </row>
    <row r="489">
      <c r="A489" s="26" t="str">
        <f t="shared" si="1"/>
        <v/>
      </c>
      <c r="B489" s="26" t="str">
        <f t="shared" si="2"/>
        <v/>
      </c>
      <c r="C489" s="186" t="str">
        <f t="shared" si="3"/>
        <v/>
      </c>
      <c r="D489" s="187"/>
      <c r="E489" s="174" t="str">
        <f>IFERROR(__xludf.DUMMYFUNCTION("IF(D489&lt;&gt;"""",SPLIT(D489,"" 
""),)"),"")</f>
        <v/>
      </c>
    </row>
    <row r="490">
      <c r="A490" s="26" t="str">
        <f t="shared" si="1"/>
        <v/>
      </c>
      <c r="B490" s="26" t="str">
        <f t="shared" si="2"/>
        <v/>
      </c>
      <c r="C490" s="186" t="str">
        <f t="shared" si="3"/>
        <v/>
      </c>
      <c r="D490" s="187"/>
      <c r="E490" s="174" t="str">
        <f>IFERROR(__xludf.DUMMYFUNCTION("IF(D490&lt;&gt;"""",SPLIT(D490,"" 
""),)"),"")</f>
        <v/>
      </c>
    </row>
    <row r="491">
      <c r="A491" s="26" t="str">
        <f t="shared" si="1"/>
        <v/>
      </c>
      <c r="B491" s="26" t="str">
        <f t="shared" si="2"/>
        <v/>
      </c>
      <c r="C491" s="186" t="str">
        <f t="shared" si="3"/>
        <v/>
      </c>
      <c r="D491" s="187"/>
      <c r="E491" s="174" t="str">
        <f>IFERROR(__xludf.DUMMYFUNCTION("IF(D491&lt;&gt;"""",SPLIT(D491,"" 
""),)"),"")</f>
        <v/>
      </c>
    </row>
    <row r="492">
      <c r="A492" s="26" t="str">
        <f t="shared" si="1"/>
        <v/>
      </c>
      <c r="B492" s="26" t="str">
        <f t="shared" si="2"/>
        <v/>
      </c>
      <c r="C492" s="186" t="str">
        <f t="shared" si="3"/>
        <v/>
      </c>
      <c r="D492" s="187"/>
      <c r="E492" s="174" t="str">
        <f>IFERROR(__xludf.DUMMYFUNCTION("IF(D492&lt;&gt;"""",SPLIT(D492,"" 
""),)"),"")</f>
        <v/>
      </c>
    </row>
    <row r="493">
      <c r="A493" s="26" t="str">
        <f t="shared" si="1"/>
        <v/>
      </c>
      <c r="B493" s="26" t="str">
        <f t="shared" si="2"/>
        <v/>
      </c>
      <c r="C493" s="186" t="str">
        <f t="shared" si="3"/>
        <v/>
      </c>
      <c r="D493" s="187"/>
      <c r="E493" s="174" t="str">
        <f>IFERROR(__xludf.DUMMYFUNCTION("IF(D493&lt;&gt;"""",SPLIT(D493,"" 
""),)"),"")</f>
        <v/>
      </c>
    </row>
    <row r="494">
      <c r="A494" s="26" t="str">
        <f t="shared" si="1"/>
        <v/>
      </c>
      <c r="B494" s="26" t="str">
        <f t="shared" si="2"/>
        <v/>
      </c>
      <c r="C494" s="186" t="str">
        <f t="shared" si="3"/>
        <v/>
      </c>
      <c r="D494" s="187"/>
      <c r="E494" s="174" t="str">
        <f>IFERROR(__xludf.DUMMYFUNCTION("IF(D494&lt;&gt;"""",SPLIT(D494,"" 
""),)"),"")</f>
        <v/>
      </c>
    </row>
    <row r="495">
      <c r="A495" s="26" t="str">
        <f t="shared" si="1"/>
        <v/>
      </c>
      <c r="B495" s="26" t="str">
        <f t="shared" si="2"/>
        <v/>
      </c>
      <c r="C495" s="186" t="str">
        <f t="shared" si="3"/>
        <v/>
      </c>
      <c r="D495" s="187"/>
      <c r="E495" s="174" t="str">
        <f>IFERROR(__xludf.DUMMYFUNCTION("IF(D495&lt;&gt;"""",SPLIT(D495,"" 
""),)"),"")</f>
        <v/>
      </c>
    </row>
    <row r="496">
      <c r="A496" s="26" t="str">
        <f t="shared" si="1"/>
        <v/>
      </c>
      <c r="B496" s="26" t="str">
        <f t="shared" si="2"/>
        <v/>
      </c>
      <c r="C496" s="186" t="str">
        <f t="shared" si="3"/>
        <v/>
      </c>
      <c r="D496" s="187"/>
      <c r="E496" s="174" t="str">
        <f>IFERROR(__xludf.DUMMYFUNCTION("IF(D496&lt;&gt;"""",SPLIT(D496,"" 
""),)"),"")</f>
        <v/>
      </c>
    </row>
    <row r="497">
      <c r="A497" s="26" t="str">
        <f t="shared" si="1"/>
        <v/>
      </c>
      <c r="B497" s="26" t="str">
        <f t="shared" si="2"/>
        <v/>
      </c>
      <c r="C497" s="186" t="str">
        <f t="shared" si="3"/>
        <v/>
      </c>
      <c r="D497" s="187"/>
      <c r="E497" s="174" t="str">
        <f>IFERROR(__xludf.DUMMYFUNCTION("IF(D497&lt;&gt;"""",SPLIT(D497,"" 
""),)"),"")</f>
        <v/>
      </c>
    </row>
    <row r="498">
      <c r="A498" s="26" t="str">
        <f t="shared" si="1"/>
        <v/>
      </c>
      <c r="B498" s="26" t="str">
        <f t="shared" si="2"/>
        <v/>
      </c>
      <c r="C498" s="186" t="str">
        <f t="shared" si="3"/>
        <v/>
      </c>
      <c r="D498" s="187"/>
      <c r="E498" s="174" t="str">
        <f>IFERROR(__xludf.DUMMYFUNCTION("IF(D498&lt;&gt;"""",SPLIT(D498,"" 
""),)"),"")</f>
        <v/>
      </c>
    </row>
    <row r="499">
      <c r="A499" s="26" t="str">
        <f t="shared" si="1"/>
        <v/>
      </c>
      <c r="B499" s="26" t="str">
        <f t="shared" si="2"/>
        <v/>
      </c>
      <c r="C499" s="186" t="str">
        <f t="shared" si="3"/>
        <v/>
      </c>
      <c r="D499" s="187"/>
      <c r="E499" s="174" t="str">
        <f>IFERROR(__xludf.DUMMYFUNCTION("IF(D499&lt;&gt;"""",SPLIT(D499,"" 
""),)"),"")</f>
        <v/>
      </c>
    </row>
    <row r="500">
      <c r="A500" s="26" t="str">
        <f t="shared" si="1"/>
        <v/>
      </c>
      <c r="B500" s="26" t="str">
        <f t="shared" si="2"/>
        <v/>
      </c>
      <c r="C500" s="186" t="str">
        <f t="shared" si="3"/>
        <v/>
      </c>
      <c r="D500" s="187"/>
      <c r="E500" s="174" t="str">
        <f>IFERROR(__xludf.DUMMYFUNCTION("IF(D500&lt;&gt;"""",SPLIT(D500,"" 
""),)"),"")</f>
        <v/>
      </c>
    </row>
    <row r="501">
      <c r="A501" s="26" t="str">
        <f t="shared" si="1"/>
        <v/>
      </c>
      <c r="B501" s="26" t="str">
        <f t="shared" si="2"/>
        <v/>
      </c>
      <c r="C501" s="186" t="str">
        <f t="shared" si="3"/>
        <v/>
      </c>
      <c r="D501" s="187"/>
      <c r="E501" s="174" t="str">
        <f>IFERROR(__xludf.DUMMYFUNCTION("IF(D501&lt;&gt;"""",SPLIT(D501,"" 
""),)"),"")</f>
        <v/>
      </c>
    </row>
    <row r="502">
      <c r="A502" s="26" t="str">
        <f t="shared" si="1"/>
        <v/>
      </c>
      <c r="B502" s="26" t="str">
        <f t="shared" si="2"/>
        <v/>
      </c>
      <c r="C502" s="186" t="str">
        <f t="shared" si="3"/>
        <v/>
      </c>
      <c r="D502" s="187"/>
      <c r="E502" s="174" t="str">
        <f>IFERROR(__xludf.DUMMYFUNCTION("IF(D502&lt;&gt;"""",SPLIT(D502,"" 
""),)"),"")</f>
        <v/>
      </c>
    </row>
    <row r="503">
      <c r="A503" s="26" t="str">
        <f t="shared" si="1"/>
        <v/>
      </c>
      <c r="B503" s="26" t="str">
        <f t="shared" si="2"/>
        <v/>
      </c>
      <c r="C503" s="186" t="str">
        <f t="shared" si="3"/>
        <v/>
      </c>
      <c r="D503" s="187"/>
      <c r="E503" s="174" t="str">
        <f>IFERROR(__xludf.DUMMYFUNCTION("IF(D503&lt;&gt;"""",SPLIT(D503,"" 
""),)"),"")</f>
        <v/>
      </c>
    </row>
    <row r="504">
      <c r="A504" s="26" t="str">
        <f t="shared" si="1"/>
        <v/>
      </c>
      <c r="B504" s="26" t="str">
        <f t="shared" si="2"/>
        <v/>
      </c>
      <c r="C504" s="186" t="str">
        <f t="shared" si="3"/>
        <v/>
      </c>
      <c r="D504" s="187"/>
      <c r="E504" s="174" t="str">
        <f>IFERROR(__xludf.DUMMYFUNCTION("IF(D504&lt;&gt;"""",SPLIT(D504,"" 
""),)"),"")</f>
        <v/>
      </c>
    </row>
    <row r="505">
      <c r="A505" s="26" t="str">
        <f t="shared" si="1"/>
        <v/>
      </c>
      <c r="B505" s="26" t="str">
        <f t="shared" si="2"/>
        <v/>
      </c>
      <c r="C505" s="186" t="str">
        <f t="shared" si="3"/>
        <v/>
      </c>
      <c r="D505" s="187"/>
      <c r="E505" s="174" t="str">
        <f>IFERROR(__xludf.DUMMYFUNCTION("IF(D505&lt;&gt;"""",SPLIT(D505,"" 
""),)"),"")</f>
        <v/>
      </c>
    </row>
    <row r="506">
      <c r="A506" s="26" t="str">
        <f t="shared" si="1"/>
        <v/>
      </c>
      <c r="B506" s="26" t="str">
        <f t="shared" si="2"/>
        <v/>
      </c>
      <c r="C506" s="186" t="str">
        <f t="shared" si="3"/>
        <v/>
      </c>
      <c r="D506" s="187"/>
      <c r="E506" s="174" t="str">
        <f>IFERROR(__xludf.DUMMYFUNCTION("IF(D506&lt;&gt;"""",SPLIT(D506,"" 
""),)"),"")</f>
        <v/>
      </c>
    </row>
    <row r="507">
      <c r="A507" s="26" t="str">
        <f t="shared" si="1"/>
        <v/>
      </c>
      <c r="B507" s="26" t="str">
        <f t="shared" si="2"/>
        <v/>
      </c>
      <c r="C507" s="186" t="str">
        <f t="shared" si="3"/>
        <v/>
      </c>
      <c r="D507" s="187"/>
      <c r="E507" s="174" t="str">
        <f>IFERROR(__xludf.DUMMYFUNCTION("IF(D507&lt;&gt;"""",SPLIT(D507,"" 
""),)"),"")</f>
        <v/>
      </c>
    </row>
    <row r="508">
      <c r="A508" s="26" t="str">
        <f t="shared" si="1"/>
        <v/>
      </c>
      <c r="B508" s="26" t="str">
        <f t="shared" si="2"/>
        <v/>
      </c>
      <c r="C508" s="186" t="str">
        <f t="shared" si="3"/>
        <v/>
      </c>
      <c r="D508" s="187"/>
      <c r="E508" s="174" t="str">
        <f>IFERROR(__xludf.DUMMYFUNCTION("IF(D508&lt;&gt;"""",SPLIT(D508,"" 
""),)"),"")</f>
        <v/>
      </c>
    </row>
    <row r="509">
      <c r="A509" s="26" t="str">
        <f t="shared" si="1"/>
        <v/>
      </c>
      <c r="B509" s="26" t="str">
        <f t="shared" si="2"/>
        <v/>
      </c>
      <c r="C509" s="186" t="str">
        <f t="shared" si="3"/>
        <v/>
      </c>
      <c r="D509" s="187"/>
      <c r="E509" s="174" t="str">
        <f>IFERROR(__xludf.DUMMYFUNCTION("IF(D509&lt;&gt;"""",SPLIT(D509,"" 
""),)"),"")</f>
        <v/>
      </c>
    </row>
    <row r="510">
      <c r="A510" s="26" t="str">
        <f t="shared" si="1"/>
        <v/>
      </c>
      <c r="B510" s="26" t="str">
        <f t="shared" si="2"/>
        <v/>
      </c>
      <c r="C510" s="186" t="str">
        <f t="shared" si="3"/>
        <v/>
      </c>
      <c r="D510" s="187"/>
      <c r="E510" s="174" t="str">
        <f>IFERROR(__xludf.DUMMYFUNCTION("IF(D510&lt;&gt;"""",SPLIT(D510,"" 
""),)"),"")</f>
        <v/>
      </c>
    </row>
    <row r="511">
      <c r="A511" s="26" t="str">
        <f t="shared" si="1"/>
        <v/>
      </c>
      <c r="B511" s="26" t="str">
        <f t="shared" si="2"/>
        <v/>
      </c>
      <c r="C511" s="186" t="str">
        <f t="shared" si="3"/>
        <v/>
      </c>
      <c r="D511" s="187"/>
      <c r="E511" s="174" t="str">
        <f>IFERROR(__xludf.DUMMYFUNCTION("IF(D511&lt;&gt;"""",SPLIT(D511,"" 
""),)"),"")</f>
        <v/>
      </c>
    </row>
    <row r="512">
      <c r="A512" s="26" t="str">
        <f t="shared" si="1"/>
        <v/>
      </c>
      <c r="B512" s="26" t="str">
        <f t="shared" si="2"/>
        <v/>
      </c>
      <c r="C512" s="186" t="str">
        <f t="shared" si="3"/>
        <v/>
      </c>
      <c r="D512" s="187"/>
      <c r="E512" s="174" t="str">
        <f>IFERROR(__xludf.DUMMYFUNCTION("IF(D512&lt;&gt;"""",SPLIT(D512,"" 
""),)"),"")</f>
        <v/>
      </c>
    </row>
    <row r="513">
      <c r="A513" s="26" t="str">
        <f t="shared" si="1"/>
        <v/>
      </c>
      <c r="B513" s="26" t="str">
        <f t="shared" si="2"/>
        <v/>
      </c>
      <c r="C513" s="186" t="str">
        <f t="shared" si="3"/>
        <v/>
      </c>
      <c r="D513" s="187"/>
      <c r="E513" s="174" t="str">
        <f>IFERROR(__xludf.DUMMYFUNCTION("IF(D513&lt;&gt;"""",SPLIT(D513,"" 
""),)"),"")</f>
        <v/>
      </c>
    </row>
    <row r="514">
      <c r="A514" s="26" t="str">
        <f t="shared" si="1"/>
        <v/>
      </c>
      <c r="B514" s="26" t="str">
        <f t="shared" si="2"/>
        <v/>
      </c>
      <c r="C514" s="186" t="str">
        <f t="shared" si="3"/>
        <v/>
      </c>
      <c r="D514" s="187"/>
      <c r="E514" s="174" t="str">
        <f>IFERROR(__xludf.DUMMYFUNCTION("IF(D514&lt;&gt;"""",SPLIT(D514,"" 
""),)"),"")</f>
        <v/>
      </c>
    </row>
    <row r="515">
      <c r="A515" s="26" t="str">
        <f t="shared" si="1"/>
        <v/>
      </c>
      <c r="B515" s="26" t="str">
        <f t="shared" si="2"/>
        <v/>
      </c>
      <c r="C515" s="186" t="str">
        <f t="shared" si="3"/>
        <v/>
      </c>
      <c r="D515" s="187"/>
      <c r="E515" s="174" t="str">
        <f>IFERROR(__xludf.DUMMYFUNCTION("IF(D515&lt;&gt;"""",SPLIT(D515,"" 
""),)"),"")</f>
        <v/>
      </c>
    </row>
    <row r="516">
      <c r="A516" s="26" t="str">
        <f t="shared" si="1"/>
        <v/>
      </c>
      <c r="B516" s="26" t="str">
        <f t="shared" si="2"/>
        <v/>
      </c>
      <c r="C516" s="186" t="str">
        <f t="shared" si="3"/>
        <v/>
      </c>
      <c r="D516" s="187"/>
      <c r="E516" s="174" t="str">
        <f>IFERROR(__xludf.DUMMYFUNCTION("IF(D516&lt;&gt;"""",SPLIT(D516,"" 
""),)"),"")</f>
        <v/>
      </c>
    </row>
    <row r="517">
      <c r="A517" s="26" t="str">
        <f t="shared" si="1"/>
        <v/>
      </c>
      <c r="B517" s="26" t="str">
        <f t="shared" si="2"/>
        <v/>
      </c>
      <c r="C517" s="186" t="str">
        <f t="shared" si="3"/>
        <v/>
      </c>
      <c r="D517" s="187"/>
      <c r="E517" s="174" t="str">
        <f>IFERROR(__xludf.DUMMYFUNCTION("IF(D517&lt;&gt;"""",SPLIT(D517,"" 
""),)"),"")</f>
        <v/>
      </c>
    </row>
    <row r="518">
      <c r="A518" s="26" t="str">
        <f t="shared" si="1"/>
        <v/>
      </c>
      <c r="B518" s="26" t="str">
        <f t="shared" si="2"/>
        <v/>
      </c>
      <c r="C518" s="186" t="str">
        <f t="shared" si="3"/>
        <v/>
      </c>
      <c r="D518" s="187"/>
      <c r="E518" s="174" t="str">
        <f>IFERROR(__xludf.DUMMYFUNCTION("IF(D518&lt;&gt;"""",SPLIT(D518,"" 
""),)"),"")</f>
        <v/>
      </c>
    </row>
    <row r="519">
      <c r="A519" s="26" t="str">
        <f t="shared" si="1"/>
        <v/>
      </c>
      <c r="B519" s="26" t="str">
        <f t="shared" si="2"/>
        <v/>
      </c>
      <c r="C519" s="186" t="str">
        <f t="shared" si="3"/>
        <v/>
      </c>
      <c r="D519" s="187"/>
      <c r="E519" s="174" t="str">
        <f>IFERROR(__xludf.DUMMYFUNCTION("IF(D519&lt;&gt;"""",SPLIT(D519,"" 
""),)"),"")</f>
        <v/>
      </c>
    </row>
    <row r="520">
      <c r="A520" s="26" t="str">
        <f t="shared" si="1"/>
        <v/>
      </c>
      <c r="B520" s="26" t="str">
        <f t="shared" si="2"/>
        <v/>
      </c>
      <c r="C520" s="186" t="str">
        <f t="shared" si="3"/>
        <v/>
      </c>
      <c r="D520" s="187"/>
      <c r="E520" s="174" t="str">
        <f>IFERROR(__xludf.DUMMYFUNCTION("IF(D520&lt;&gt;"""",SPLIT(D520,"" 
""),)"),"")</f>
        <v/>
      </c>
    </row>
    <row r="521">
      <c r="A521" s="26" t="str">
        <f t="shared" si="1"/>
        <v/>
      </c>
      <c r="B521" s="26" t="str">
        <f t="shared" si="2"/>
        <v/>
      </c>
      <c r="C521" s="186" t="str">
        <f t="shared" si="3"/>
        <v/>
      </c>
      <c r="D521" s="187"/>
      <c r="E521" s="174" t="str">
        <f>IFERROR(__xludf.DUMMYFUNCTION("IF(D521&lt;&gt;"""",SPLIT(D521,"" 
""),)"),"")</f>
        <v/>
      </c>
    </row>
    <row r="522">
      <c r="A522" s="26" t="str">
        <f t="shared" si="1"/>
        <v/>
      </c>
      <c r="B522" s="26" t="str">
        <f t="shared" si="2"/>
        <v/>
      </c>
      <c r="C522" s="186" t="str">
        <f t="shared" si="3"/>
        <v/>
      </c>
      <c r="D522" s="187"/>
      <c r="E522" s="174" t="str">
        <f>IFERROR(__xludf.DUMMYFUNCTION("IF(D522&lt;&gt;"""",SPLIT(D522,"" 
""),)"),"")</f>
        <v/>
      </c>
    </row>
    <row r="523">
      <c r="A523" s="26" t="str">
        <f t="shared" si="1"/>
        <v/>
      </c>
      <c r="B523" s="26" t="str">
        <f t="shared" si="2"/>
        <v/>
      </c>
      <c r="C523" s="186" t="str">
        <f t="shared" si="3"/>
        <v/>
      </c>
      <c r="D523" s="187"/>
      <c r="E523" s="174" t="str">
        <f>IFERROR(__xludf.DUMMYFUNCTION("IF(D523&lt;&gt;"""",SPLIT(D523,"" 
""),)"),"")</f>
        <v/>
      </c>
    </row>
    <row r="524">
      <c r="A524" s="26" t="str">
        <f t="shared" si="1"/>
        <v/>
      </c>
      <c r="B524" s="26" t="str">
        <f t="shared" si="2"/>
        <v/>
      </c>
      <c r="C524" s="186" t="str">
        <f t="shared" si="3"/>
        <v/>
      </c>
      <c r="D524" s="187"/>
      <c r="E524" s="174" t="str">
        <f>IFERROR(__xludf.DUMMYFUNCTION("IF(D524&lt;&gt;"""",SPLIT(D524,"" 
""),)"),"")</f>
        <v/>
      </c>
    </row>
    <row r="525">
      <c r="A525" s="26" t="str">
        <f t="shared" si="1"/>
        <v/>
      </c>
      <c r="B525" s="26" t="str">
        <f t="shared" si="2"/>
        <v/>
      </c>
      <c r="C525" s="186" t="str">
        <f t="shared" si="3"/>
        <v/>
      </c>
      <c r="D525" s="187"/>
      <c r="E525" s="174" t="str">
        <f>IFERROR(__xludf.DUMMYFUNCTION("IF(D525&lt;&gt;"""",SPLIT(D525,"" 
""),)"),"")</f>
        <v/>
      </c>
    </row>
    <row r="526">
      <c r="A526" s="26" t="str">
        <f t="shared" si="1"/>
        <v/>
      </c>
      <c r="B526" s="26" t="str">
        <f t="shared" si="2"/>
        <v/>
      </c>
      <c r="C526" s="186" t="str">
        <f t="shared" si="3"/>
        <v/>
      </c>
      <c r="D526" s="187"/>
      <c r="E526" s="174" t="str">
        <f>IFERROR(__xludf.DUMMYFUNCTION("IF(D526&lt;&gt;"""",SPLIT(D526,"" 
""),)"),"")</f>
        <v/>
      </c>
    </row>
    <row r="527">
      <c r="A527" s="26" t="str">
        <f t="shared" si="1"/>
        <v/>
      </c>
      <c r="B527" s="26" t="str">
        <f t="shared" si="2"/>
        <v/>
      </c>
      <c r="C527" s="186" t="str">
        <f t="shared" si="3"/>
        <v/>
      </c>
      <c r="D527" s="187"/>
      <c r="E527" s="174" t="str">
        <f>IFERROR(__xludf.DUMMYFUNCTION("IF(D527&lt;&gt;"""",SPLIT(D527,"" 
""),)"),"")</f>
        <v/>
      </c>
    </row>
    <row r="528">
      <c r="A528" s="26" t="str">
        <f t="shared" si="1"/>
        <v/>
      </c>
      <c r="B528" s="26" t="str">
        <f t="shared" si="2"/>
        <v/>
      </c>
      <c r="C528" s="186" t="str">
        <f t="shared" si="3"/>
        <v/>
      </c>
      <c r="D528" s="187"/>
      <c r="E528" s="174" t="str">
        <f>IFERROR(__xludf.DUMMYFUNCTION("IF(D528&lt;&gt;"""",SPLIT(D528,"" 
""),)"),"")</f>
        <v/>
      </c>
    </row>
    <row r="529">
      <c r="A529" s="26" t="str">
        <f t="shared" si="1"/>
        <v/>
      </c>
      <c r="B529" s="26" t="str">
        <f t="shared" si="2"/>
        <v/>
      </c>
      <c r="C529" s="186" t="str">
        <f t="shared" si="3"/>
        <v/>
      </c>
      <c r="D529" s="187"/>
      <c r="E529" s="174" t="str">
        <f>IFERROR(__xludf.DUMMYFUNCTION("IF(D529&lt;&gt;"""",SPLIT(D529,"" 
""),)"),"")</f>
        <v/>
      </c>
    </row>
    <row r="530">
      <c r="A530" s="26" t="str">
        <f t="shared" si="1"/>
        <v/>
      </c>
      <c r="B530" s="26" t="str">
        <f t="shared" si="2"/>
        <v/>
      </c>
      <c r="C530" s="186" t="str">
        <f t="shared" si="3"/>
        <v/>
      </c>
      <c r="D530" s="187"/>
      <c r="E530" s="174" t="str">
        <f>IFERROR(__xludf.DUMMYFUNCTION("IF(D530&lt;&gt;"""",SPLIT(D530,"" 
""),)"),"")</f>
        <v/>
      </c>
    </row>
    <row r="531">
      <c r="A531" s="26" t="str">
        <f t="shared" si="1"/>
        <v/>
      </c>
      <c r="B531" s="26" t="str">
        <f t="shared" si="2"/>
        <v/>
      </c>
      <c r="C531" s="186" t="str">
        <f t="shared" si="3"/>
        <v/>
      </c>
      <c r="D531" s="187"/>
      <c r="E531" s="174" t="str">
        <f>IFERROR(__xludf.DUMMYFUNCTION("IF(D531&lt;&gt;"""",SPLIT(D531,"" 
""),)"),"")</f>
        <v/>
      </c>
    </row>
    <row r="532">
      <c r="A532" s="26" t="str">
        <f t="shared" si="1"/>
        <v/>
      </c>
      <c r="B532" s="26" t="str">
        <f t="shared" si="2"/>
        <v/>
      </c>
      <c r="C532" s="186" t="str">
        <f t="shared" si="3"/>
        <v/>
      </c>
      <c r="D532" s="187"/>
      <c r="E532" s="174" t="str">
        <f>IFERROR(__xludf.DUMMYFUNCTION("IF(D532&lt;&gt;"""",SPLIT(D532,"" 
""),)"),"")</f>
        <v/>
      </c>
    </row>
    <row r="533">
      <c r="A533" s="26" t="str">
        <f t="shared" si="1"/>
        <v/>
      </c>
      <c r="B533" s="26" t="str">
        <f t="shared" si="2"/>
        <v/>
      </c>
      <c r="C533" s="186" t="str">
        <f t="shared" si="3"/>
        <v/>
      </c>
      <c r="D533" s="187"/>
      <c r="E533" s="174" t="str">
        <f>IFERROR(__xludf.DUMMYFUNCTION("IF(D533&lt;&gt;"""",SPLIT(D533,"" 
""),)"),"")</f>
        <v/>
      </c>
    </row>
    <row r="534">
      <c r="A534" s="26" t="str">
        <f t="shared" si="1"/>
        <v/>
      </c>
      <c r="B534" s="26" t="str">
        <f t="shared" si="2"/>
        <v/>
      </c>
      <c r="C534" s="186" t="str">
        <f t="shared" si="3"/>
        <v/>
      </c>
      <c r="D534" s="187"/>
      <c r="E534" s="174" t="str">
        <f>IFERROR(__xludf.DUMMYFUNCTION("IF(D534&lt;&gt;"""",SPLIT(D534,"" 
""),)"),"")</f>
        <v/>
      </c>
    </row>
    <row r="535">
      <c r="A535" s="26" t="str">
        <f t="shared" si="1"/>
        <v/>
      </c>
      <c r="B535" s="26" t="str">
        <f t="shared" si="2"/>
        <v/>
      </c>
      <c r="C535" s="186" t="str">
        <f t="shared" si="3"/>
        <v/>
      </c>
      <c r="D535" s="187"/>
      <c r="E535" s="174" t="str">
        <f>IFERROR(__xludf.DUMMYFUNCTION("IF(D535&lt;&gt;"""",SPLIT(D535,"" 
""),)"),"")</f>
        <v/>
      </c>
    </row>
    <row r="536">
      <c r="A536" s="26" t="str">
        <f t="shared" si="1"/>
        <v/>
      </c>
      <c r="B536" s="26" t="str">
        <f t="shared" si="2"/>
        <v/>
      </c>
      <c r="C536" s="186" t="str">
        <f t="shared" si="3"/>
        <v/>
      </c>
      <c r="D536" s="187"/>
      <c r="E536" s="174" t="str">
        <f>IFERROR(__xludf.DUMMYFUNCTION("IF(D536&lt;&gt;"""",SPLIT(D536,"" 
""),)"),"")</f>
        <v/>
      </c>
    </row>
    <row r="537">
      <c r="A537" s="26" t="str">
        <f t="shared" si="1"/>
        <v/>
      </c>
      <c r="B537" s="26" t="str">
        <f t="shared" si="2"/>
        <v/>
      </c>
      <c r="C537" s="186" t="str">
        <f t="shared" si="3"/>
        <v/>
      </c>
      <c r="D537" s="187"/>
      <c r="E537" s="174" t="str">
        <f>IFERROR(__xludf.DUMMYFUNCTION("IF(D537&lt;&gt;"""",SPLIT(D537,"" 
""),)"),"")</f>
        <v/>
      </c>
    </row>
    <row r="538">
      <c r="A538" s="26" t="str">
        <f t="shared" si="1"/>
        <v/>
      </c>
      <c r="B538" s="26" t="str">
        <f t="shared" si="2"/>
        <v/>
      </c>
      <c r="C538" s="186" t="str">
        <f t="shared" si="3"/>
        <v/>
      </c>
      <c r="D538" s="187"/>
      <c r="E538" s="174" t="str">
        <f>IFERROR(__xludf.DUMMYFUNCTION("IF(D538&lt;&gt;"""",SPLIT(D538,"" 
""),)"),"")</f>
        <v/>
      </c>
    </row>
    <row r="539">
      <c r="A539" s="26" t="str">
        <f t="shared" si="1"/>
        <v/>
      </c>
      <c r="B539" s="26" t="str">
        <f t="shared" si="2"/>
        <v/>
      </c>
      <c r="C539" s="186" t="str">
        <f t="shared" si="3"/>
        <v/>
      </c>
      <c r="D539" s="187"/>
      <c r="E539" s="174" t="str">
        <f>IFERROR(__xludf.DUMMYFUNCTION("IF(D539&lt;&gt;"""",SPLIT(D539,"" 
""),)"),"")</f>
        <v/>
      </c>
    </row>
    <row r="540">
      <c r="A540" s="26" t="str">
        <f t="shared" si="1"/>
        <v/>
      </c>
      <c r="B540" s="26" t="str">
        <f t="shared" si="2"/>
        <v/>
      </c>
      <c r="C540" s="186" t="str">
        <f t="shared" si="3"/>
        <v/>
      </c>
      <c r="D540" s="187"/>
      <c r="E540" s="174" t="str">
        <f>IFERROR(__xludf.DUMMYFUNCTION("IF(D540&lt;&gt;"""",SPLIT(D540,"" 
""),)"),"")</f>
        <v/>
      </c>
    </row>
    <row r="541">
      <c r="A541" s="26" t="str">
        <f t="shared" si="1"/>
        <v/>
      </c>
      <c r="B541" s="26" t="str">
        <f t="shared" si="2"/>
        <v/>
      </c>
      <c r="C541" s="186" t="str">
        <f t="shared" si="3"/>
        <v/>
      </c>
      <c r="D541" s="187"/>
      <c r="E541" s="174" t="str">
        <f>IFERROR(__xludf.DUMMYFUNCTION("IF(D541&lt;&gt;"""",SPLIT(D541,"" 
""),)"),"")</f>
        <v/>
      </c>
    </row>
    <row r="542">
      <c r="A542" s="26" t="str">
        <f t="shared" si="1"/>
        <v/>
      </c>
      <c r="B542" s="26" t="str">
        <f t="shared" si="2"/>
        <v/>
      </c>
      <c r="C542" s="186" t="str">
        <f t="shared" si="3"/>
        <v/>
      </c>
      <c r="D542" s="187"/>
      <c r="E542" s="174" t="str">
        <f>IFERROR(__xludf.DUMMYFUNCTION("IF(D542&lt;&gt;"""",SPLIT(D542,"" 
""),)"),"")</f>
        <v/>
      </c>
    </row>
    <row r="543">
      <c r="A543" s="26" t="str">
        <f t="shared" si="1"/>
        <v/>
      </c>
      <c r="B543" s="26" t="str">
        <f t="shared" si="2"/>
        <v/>
      </c>
      <c r="C543" s="186" t="str">
        <f t="shared" si="3"/>
        <v/>
      </c>
      <c r="D543" s="187"/>
      <c r="E543" s="174" t="str">
        <f>IFERROR(__xludf.DUMMYFUNCTION("IF(D543&lt;&gt;"""",SPLIT(D543,"" 
""),)"),"")</f>
        <v/>
      </c>
    </row>
    <row r="544">
      <c r="A544" s="26" t="str">
        <f t="shared" si="1"/>
        <v/>
      </c>
      <c r="B544" s="26" t="str">
        <f t="shared" si="2"/>
        <v/>
      </c>
      <c r="C544" s="186" t="str">
        <f t="shared" si="3"/>
        <v/>
      </c>
      <c r="D544" s="187"/>
      <c r="E544" s="174" t="str">
        <f>IFERROR(__xludf.DUMMYFUNCTION("IF(D544&lt;&gt;"""",SPLIT(D544,"" 
""),)"),"")</f>
        <v/>
      </c>
    </row>
    <row r="545">
      <c r="A545" s="26" t="str">
        <f t="shared" si="1"/>
        <v/>
      </c>
      <c r="B545" s="26" t="str">
        <f t="shared" si="2"/>
        <v/>
      </c>
      <c r="C545" s="186" t="str">
        <f t="shared" si="3"/>
        <v/>
      </c>
      <c r="D545" s="187"/>
      <c r="E545" s="174" t="str">
        <f>IFERROR(__xludf.DUMMYFUNCTION("IF(D545&lt;&gt;"""",SPLIT(D545,"" 
""),)"),"")</f>
        <v/>
      </c>
    </row>
    <row r="546">
      <c r="A546" s="26" t="str">
        <f t="shared" si="1"/>
        <v/>
      </c>
      <c r="B546" s="26" t="str">
        <f t="shared" si="2"/>
        <v/>
      </c>
      <c r="C546" s="186" t="str">
        <f t="shared" si="3"/>
        <v/>
      </c>
      <c r="D546" s="187"/>
      <c r="E546" s="174" t="str">
        <f>IFERROR(__xludf.DUMMYFUNCTION("IF(D546&lt;&gt;"""",SPLIT(D546,"" 
""),)"),"")</f>
        <v/>
      </c>
    </row>
    <row r="547">
      <c r="A547" s="26" t="str">
        <f t="shared" si="1"/>
        <v/>
      </c>
      <c r="B547" s="26" t="str">
        <f t="shared" si="2"/>
        <v/>
      </c>
      <c r="C547" s="186" t="str">
        <f t="shared" si="3"/>
        <v/>
      </c>
      <c r="D547" s="187"/>
      <c r="E547" s="174" t="str">
        <f>IFERROR(__xludf.DUMMYFUNCTION("IF(D547&lt;&gt;"""",SPLIT(D547,"" 
""),)"),"")</f>
        <v/>
      </c>
    </row>
    <row r="548">
      <c r="A548" s="26" t="str">
        <f t="shared" si="1"/>
        <v/>
      </c>
      <c r="B548" s="26" t="str">
        <f t="shared" si="2"/>
        <v/>
      </c>
      <c r="C548" s="186" t="str">
        <f t="shared" si="3"/>
        <v/>
      </c>
      <c r="D548" s="187"/>
      <c r="E548" s="174" t="str">
        <f>IFERROR(__xludf.DUMMYFUNCTION("IF(D548&lt;&gt;"""",SPLIT(D548,"" 
""),)"),"")</f>
        <v/>
      </c>
    </row>
    <row r="549">
      <c r="A549" s="26" t="str">
        <f t="shared" si="1"/>
        <v/>
      </c>
      <c r="B549" s="26" t="str">
        <f t="shared" si="2"/>
        <v/>
      </c>
      <c r="C549" s="186" t="str">
        <f t="shared" si="3"/>
        <v/>
      </c>
      <c r="D549" s="187"/>
      <c r="E549" s="174" t="str">
        <f>IFERROR(__xludf.DUMMYFUNCTION("IF(D549&lt;&gt;"""",SPLIT(D549,"" 
""),)"),"")</f>
        <v/>
      </c>
    </row>
    <row r="550">
      <c r="A550" s="26" t="str">
        <f t="shared" si="1"/>
        <v/>
      </c>
      <c r="B550" s="26" t="str">
        <f t="shared" si="2"/>
        <v/>
      </c>
      <c r="C550" s="186" t="str">
        <f t="shared" si="3"/>
        <v/>
      </c>
      <c r="D550" s="187"/>
      <c r="E550" s="174" t="str">
        <f>IFERROR(__xludf.DUMMYFUNCTION("IF(D550&lt;&gt;"""",SPLIT(D550,"" 
""),)"),"")</f>
        <v/>
      </c>
    </row>
    <row r="551">
      <c r="A551" s="26" t="str">
        <f t="shared" si="1"/>
        <v/>
      </c>
      <c r="B551" s="26" t="str">
        <f t="shared" si="2"/>
        <v/>
      </c>
      <c r="C551" s="186" t="str">
        <f t="shared" si="3"/>
        <v/>
      </c>
      <c r="D551" s="187"/>
      <c r="E551" s="174" t="str">
        <f>IFERROR(__xludf.DUMMYFUNCTION("IF(D551&lt;&gt;"""",SPLIT(D551,"" 
""),)"),"")</f>
        <v/>
      </c>
    </row>
    <row r="552">
      <c r="A552" s="26" t="str">
        <f t="shared" si="1"/>
        <v/>
      </c>
      <c r="B552" s="26" t="str">
        <f t="shared" si="2"/>
        <v/>
      </c>
      <c r="C552" s="186" t="str">
        <f t="shared" si="3"/>
        <v/>
      </c>
      <c r="D552" s="187"/>
      <c r="E552" s="174" t="str">
        <f>IFERROR(__xludf.DUMMYFUNCTION("IF(D552&lt;&gt;"""",SPLIT(D552,"" 
""),)"),"")</f>
        <v/>
      </c>
    </row>
    <row r="553">
      <c r="A553" s="26" t="str">
        <f t="shared" si="1"/>
        <v/>
      </c>
      <c r="B553" s="26" t="str">
        <f t="shared" si="2"/>
        <v/>
      </c>
      <c r="C553" s="186" t="str">
        <f t="shared" si="3"/>
        <v/>
      </c>
      <c r="D553" s="187"/>
      <c r="E553" s="174" t="str">
        <f>IFERROR(__xludf.DUMMYFUNCTION("IF(D553&lt;&gt;"""",SPLIT(D553,"" 
""),)"),"")</f>
        <v/>
      </c>
    </row>
    <row r="554">
      <c r="A554" s="26" t="str">
        <f t="shared" si="1"/>
        <v/>
      </c>
      <c r="B554" s="26" t="str">
        <f t="shared" si="2"/>
        <v/>
      </c>
      <c r="C554" s="186" t="str">
        <f t="shared" si="3"/>
        <v/>
      </c>
      <c r="D554" s="187"/>
      <c r="E554" s="174" t="str">
        <f>IFERROR(__xludf.DUMMYFUNCTION("IF(D554&lt;&gt;"""",SPLIT(D554,"" 
""),)"),"")</f>
        <v/>
      </c>
    </row>
    <row r="555">
      <c r="A555" s="26" t="str">
        <f t="shared" si="1"/>
        <v/>
      </c>
      <c r="B555" s="26" t="str">
        <f t="shared" si="2"/>
        <v/>
      </c>
      <c r="C555" s="186" t="str">
        <f t="shared" si="3"/>
        <v/>
      </c>
      <c r="D555" s="187"/>
      <c r="E555" s="174" t="str">
        <f>IFERROR(__xludf.DUMMYFUNCTION("IF(D555&lt;&gt;"""",SPLIT(D555,"" 
""),)"),"")</f>
        <v/>
      </c>
    </row>
    <row r="556">
      <c r="A556" s="26" t="str">
        <f t="shared" si="1"/>
        <v/>
      </c>
      <c r="B556" s="26" t="str">
        <f t="shared" si="2"/>
        <v/>
      </c>
      <c r="C556" s="186" t="str">
        <f t="shared" si="3"/>
        <v/>
      </c>
      <c r="D556" s="187"/>
      <c r="E556" s="174" t="str">
        <f>IFERROR(__xludf.DUMMYFUNCTION("IF(D556&lt;&gt;"""",SPLIT(D556,"" 
""),)"),"")</f>
        <v/>
      </c>
    </row>
    <row r="557">
      <c r="A557" s="26" t="str">
        <f t="shared" si="1"/>
        <v/>
      </c>
      <c r="B557" s="26" t="str">
        <f t="shared" si="2"/>
        <v/>
      </c>
      <c r="C557" s="186" t="str">
        <f t="shared" si="3"/>
        <v/>
      </c>
      <c r="D557" s="187"/>
      <c r="E557" s="174" t="str">
        <f>IFERROR(__xludf.DUMMYFUNCTION("IF(D557&lt;&gt;"""",SPLIT(D557,"" 
""),)"),"")</f>
        <v/>
      </c>
    </row>
    <row r="558">
      <c r="A558" s="26" t="str">
        <f t="shared" si="1"/>
        <v/>
      </c>
      <c r="B558" s="26" t="str">
        <f t="shared" si="2"/>
        <v/>
      </c>
      <c r="C558" s="186" t="str">
        <f t="shared" si="3"/>
        <v/>
      </c>
      <c r="D558" s="187"/>
      <c r="E558" s="174" t="str">
        <f>IFERROR(__xludf.DUMMYFUNCTION("IF(D558&lt;&gt;"""",SPLIT(D558,"" 
""),)"),"")</f>
        <v/>
      </c>
    </row>
    <row r="559">
      <c r="A559" s="26" t="str">
        <f t="shared" si="1"/>
        <v/>
      </c>
      <c r="B559" s="26" t="str">
        <f t="shared" si="2"/>
        <v/>
      </c>
      <c r="C559" s="186" t="str">
        <f t="shared" si="3"/>
        <v/>
      </c>
      <c r="D559" s="187"/>
      <c r="E559" s="174" t="str">
        <f>IFERROR(__xludf.DUMMYFUNCTION("IF(D559&lt;&gt;"""",SPLIT(D559,"" 
""),)"),"")</f>
        <v/>
      </c>
    </row>
    <row r="560">
      <c r="A560" s="26" t="str">
        <f t="shared" si="1"/>
        <v/>
      </c>
      <c r="B560" s="26" t="str">
        <f t="shared" si="2"/>
        <v/>
      </c>
      <c r="C560" s="186" t="str">
        <f t="shared" si="3"/>
        <v/>
      </c>
      <c r="D560" s="187"/>
      <c r="E560" s="174" t="str">
        <f>IFERROR(__xludf.DUMMYFUNCTION("IF(D560&lt;&gt;"""",SPLIT(D560,"" 
""),)"),"")</f>
        <v/>
      </c>
    </row>
    <row r="561">
      <c r="A561" s="26" t="str">
        <f t="shared" si="1"/>
        <v/>
      </c>
      <c r="B561" s="26" t="str">
        <f t="shared" si="2"/>
        <v/>
      </c>
      <c r="C561" s="186" t="str">
        <f t="shared" si="3"/>
        <v/>
      </c>
      <c r="D561" s="187"/>
      <c r="E561" s="174" t="str">
        <f>IFERROR(__xludf.DUMMYFUNCTION("IF(D561&lt;&gt;"""",SPLIT(D561,"" 
""),)"),"")</f>
        <v/>
      </c>
    </row>
    <row r="562">
      <c r="A562" s="26" t="str">
        <f t="shared" si="1"/>
        <v/>
      </c>
      <c r="B562" s="26" t="str">
        <f t="shared" si="2"/>
        <v/>
      </c>
      <c r="C562" s="186" t="str">
        <f t="shared" si="3"/>
        <v/>
      </c>
      <c r="D562" s="187"/>
      <c r="E562" s="174" t="str">
        <f>IFERROR(__xludf.DUMMYFUNCTION("IF(D562&lt;&gt;"""",SPLIT(D562,"" 
""),)"),"")</f>
        <v/>
      </c>
    </row>
    <row r="563">
      <c r="A563" s="26" t="str">
        <f t="shared" si="1"/>
        <v/>
      </c>
      <c r="B563" s="26" t="str">
        <f t="shared" si="2"/>
        <v/>
      </c>
      <c r="C563" s="186" t="str">
        <f t="shared" si="3"/>
        <v/>
      </c>
      <c r="D563" s="187"/>
      <c r="E563" s="174" t="str">
        <f>IFERROR(__xludf.DUMMYFUNCTION("IF(D563&lt;&gt;"""",SPLIT(D563,"" 
""),)"),"")</f>
        <v/>
      </c>
    </row>
    <row r="564">
      <c r="A564" s="26" t="str">
        <f t="shared" si="1"/>
        <v/>
      </c>
      <c r="B564" s="26" t="str">
        <f t="shared" si="2"/>
        <v/>
      </c>
      <c r="C564" s="186" t="str">
        <f t="shared" si="3"/>
        <v/>
      </c>
      <c r="D564" s="187"/>
      <c r="E564" s="174" t="str">
        <f>IFERROR(__xludf.DUMMYFUNCTION("IF(D564&lt;&gt;"""",SPLIT(D564,"" 
""),)"),"")</f>
        <v/>
      </c>
    </row>
    <row r="565">
      <c r="A565" s="26" t="str">
        <f t="shared" si="1"/>
        <v/>
      </c>
      <c r="B565" s="26" t="str">
        <f t="shared" si="2"/>
        <v/>
      </c>
      <c r="C565" s="186" t="str">
        <f t="shared" si="3"/>
        <v/>
      </c>
      <c r="D565" s="187"/>
      <c r="E565" s="174" t="str">
        <f>IFERROR(__xludf.DUMMYFUNCTION("IF(D565&lt;&gt;"""",SPLIT(D565,"" 
""),)"),"")</f>
        <v/>
      </c>
    </row>
    <row r="566">
      <c r="A566" s="26" t="str">
        <f t="shared" si="1"/>
        <v/>
      </c>
      <c r="B566" s="26" t="str">
        <f t="shared" si="2"/>
        <v/>
      </c>
      <c r="C566" s="186" t="str">
        <f t="shared" si="3"/>
        <v/>
      </c>
      <c r="D566" s="187"/>
      <c r="E566" s="174" t="str">
        <f>IFERROR(__xludf.DUMMYFUNCTION("IF(D566&lt;&gt;"""",SPLIT(D566,"" 
""),)"),"")</f>
        <v/>
      </c>
    </row>
    <row r="567">
      <c r="A567" s="26" t="str">
        <f t="shared" si="1"/>
        <v/>
      </c>
      <c r="B567" s="26" t="str">
        <f t="shared" si="2"/>
        <v/>
      </c>
      <c r="C567" s="186" t="str">
        <f t="shared" si="3"/>
        <v/>
      </c>
      <c r="D567" s="187"/>
      <c r="E567" s="174" t="str">
        <f>IFERROR(__xludf.DUMMYFUNCTION("IF(D567&lt;&gt;"""",SPLIT(D567,"" 
""),)"),"")</f>
        <v/>
      </c>
    </row>
    <row r="568">
      <c r="A568" s="26" t="str">
        <f t="shared" si="1"/>
        <v/>
      </c>
      <c r="B568" s="26" t="str">
        <f t="shared" si="2"/>
        <v/>
      </c>
      <c r="C568" s="186" t="str">
        <f t="shared" si="3"/>
        <v/>
      </c>
      <c r="D568" s="187"/>
      <c r="E568" s="174" t="str">
        <f>IFERROR(__xludf.DUMMYFUNCTION("IF(D568&lt;&gt;"""",SPLIT(D568,"" 
""),)"),"")</f>
        <v/>
      </c>
    </row>
    <row r="569">
      <c r="A569" s="26" t="str">
        <f t="shared" si="1"/>
        <v/>
      </c>
      <c r="B569" s="26" t="str">
        <f t="shared" si="2"/>
        <v/>
      </c>
      <c r="C569" s="186" t="str">
        <f t="shared" si="3"/>
        <v/>
      </c>
      <c r="D569" s="187"/>
      <c r="E569" s="174" t="str">
        <f>IFERROR(__xludf.DUMMYFUNCTION("IF(D569&lt;&gt;"""",SPLIT(D569,"" 
""),)"),"")</f>
        <v/>
      </c>
    </row>
    <row r="570">
      <c r="A570" s="26" t="str">
        <f t="shared" si="1"/>
        <v/>
      </c>
      <c r="B570" s="26" t="str">
        <f t="shared" si="2"/>
        <v/>
      </c>
      <c r="C570" s="186" t="str">
        <f t="shared" si="3"/>
        <v/>
      </c>
      <c r="D570" s="187"/>
      <c r="E570" s="174" t="str">
        <f>IFERROR(__xludf.DUMMYFUNCTION("IF(D570&lt;&gt;"""",SPLIT(D570,"" 
""),)"),"")</f>
        <v/>
      </c>
    </row>
    <row r="571">
      <c r="A571" s="26" t="str">
        <f t="shared" si="1"/>
        <v/>
      </c>
      <c r="B571" s="26" t="str">
        <f t="shared" si="2"/>
        <v/>
      </c>
      <c r="C571" s="186" t="str">
        <f t="shared" si="3"/>
        <v/>
      </c>
      <c r="D571" s="187"/>
      <c r="E571" s="174" t="str">
        <f>IFERROR(__xludf.DUMMYFUNCTION("IF(D571&lt;&gt;"""",SPLIT(D571,"" 
""),)"),"")</f>
        <v/>
      </c>
    </row>
    <row r="572">
      <c r="A572" s="26" t="str">
        <f t="shared" si="1"/>
        <v/>
      </c>
      <c r="B572" s="26" t="str">
        <f t="shared" si="2"/>
        <v/>
      </c>
      <c r="C572" s="186" t="str">
        <f t="shared" si="3"/>
        <v/>
      </c>
      <c r="D572" s="187"/>
      <c r="E572" s="174" t="str">
        <f>IFERROR(__xludf.DUMMYFUNCTION("IF(D572&lt;&gt;"""",SPLIT(D572,"" 
""),)"),"")</f>
        <v/>
      </c>
    </row>
    <row r="573">
      <c r="A573" s="26" t="str">
        <f t="shared" si="1"/>
        <v/>
      </c>
      <c r="B573" s="26" t="str">
        <f t="shared" si="2"/>
        <v/>
      </c>
      <c r="C573" s="186" t="str">
        <f t="shared" si="3"/>
        <v/>
      </c>
      <c r="D573" s="187"/>
      <c r="E573" s="174" t="str">
        <f>IFERROR(__xludf.DUMMYFUNCTION("IF(D573&lt;&gt;"""",SPLIT(D573,"" 
""),)"),"")</f>
        <v/>
      </c>
    </row>
    <row r="574">
      <c r="A574" s="26" t="str">
        <f t="shared" si="1"/>
        <v/>
      </c>
      <c r="B574" s="26" t="str">
        <f t="shared" si="2"/>
        <v/>
      </c>
      <c r="C574" s="186" t="str">
        <f t="shared" si="3"/>
        <v/>
      </c>
      <c r="D574" s="187"/>
      <c r="E574" s="174" t="str">
        <f>IFERROR(__xludf.DUMMYFUNCTION("IF(D574&lt;&gt;"""",SPLIT(D574,"" 
""),)"),"")</f>
        <v/>
      </c>
    </row>
    <row r="575">
      <c r="A575" s="26" t="str">
        <f t="shared" si="1"/>
        <v/>
      </c>
      <c r="B575" s="26" t="str">
        <f t="shared" si="2"/>
        <v/>
      </c>
      <c r="C575" s="186" t="str">
        <f t="shared" si="3"/>
        <v/>
      </c>
      <c r="D575" s="187"/>
      <c r="E575" s="174" t="str">
        <f>IFERROR(__xludf.DUMMYFUNCTION("IF(D575&lt;&gt;"""",SPLIT(D575,"" 
""),)"),"")</f>
        <v/>
      </c>
    </row>
    <row r="576">
      <c r="A576" s="26" t="str">
        <f t="shared" si="1"/>
        <v/>
      </c>
      <c r="B576" s="26" t="str">
        <f t="shared" si="2"/>
        <v/>
      </c>
      <c r="C576" s="186" t="str">
        <f t="shared" si="3"/>
        <v/>
      </c>
      <c r="D576" s="187"/>
      <c r="E576" s="174" t="str">
        <f>IFERROR(__xludf.DUMMYFUNCTION("IF(D576&lt;&gt;"""",SPLIT(D576,"" 
""),)"),"")</f>
        <v/>
      </c>
    </row>
    <row r="577">
      <c r="A577" s="26" t="str">
        <f t="shared" si="1"/>
        <v/>
      </c>
      <c r="B577" s="26" t="str">
        <f t="shared" si="2"/>
        <v/>
      </c>
      <c r="C577" s="186" t="str">
        <f t="shared" si="3"/>
        <v/>
      </c>
      <c r="D577" s="187"/>
      <c r="E577" s="174" t="str">
        <f>IFERROR(__xludf.DUMMYFUNCTION("IF(D577&lt;&gt;"""",SPLIT(D577,"" 
""),)"),"")</f>
        <v/>
      </c>
    </row>
    <row r="578">
      <c r="A578" s="26" t="str">
        <f t="shared" si="1"/>
        <v/>
      </c>
      <c r="B578" s="26" t="str">
        <f t="shared" si="2"/>
        <v/>
      </c>
      <c r="C578" s="186" t="str">
        <f t="shared" si="3"/>
        <v/>
      </c>
      <c r="D578" s="187"/>
      <c r="E578" s="174" t="str">
        <f>IFERROR(__xludf.DUMMYFUNCTION("IF(D578&lt;&gt;"""",SPLIT(D578,"" 
""),)"),"")</f>
        <v/>
      </c>
    </row>
    <row r="579">
      <c r="A579" s="26" t="str">
        <f t="shared" si="1"/>
        <v/>
      </c>
      <c r="B579" s="26" t="str">
        <f t="shared" si="2"/>
        <v/>
      </c>
      <c r="C579" s="186" t="str">
        <f t="shared" si="3"/>
        <v/>
      </c>
      <c r="D579" s="187"/>
      <c r="E579" s="174" t="str">
        <f>IFERROR(__xludf.DUMMYFUNCTION("IF(D579&lt;&gt;"""",SPLIT(D579,"" 
""),)"),"")</f>
        <v/>
      </c>
    </row>
    <row r="580">
      <c r="A580" s="26" t="str">
        <f t="shared" si="1"/>
        <v/>
      </c>
      <c r="B580" s="26" t="str">
        <f t="shared" si="2"/>
        <v/>
      </c>
      <c r="C580" s="186" t="str">
        <f t="shared" si="3"/>
        <v/>
      </c>
      <c r="D580" s="187"/>
      <c r="E580" s="174" t="str">
        <f>IFERROR(__xludf.DUMMYFUNCTION("IF(D580&lt;&gt;"""",SPLIT(D580,"" 
""),)"),"")</f>
        <v/>
      </c>
    </row>
    <row r="581">
      <c r="A581" s="26" t="str">
        <f t="shared" si="1"/>
        <v/>
      </c>
      <c r="B581" s="26" t="str">
        <f t="shared" si="2"/>
        <v/>
      </c>
      <c r="C581" s="186" t="str">
        <f t="shared" si="3"/>
        <v/>
      </c>
      <c r="D581" s="187"/>
      <c r="E581" s="174" t="str">
        <f>IFERROR(__xludf.DUMMYFUNCTION("IF(D581&lt;&gt;"""",SPLIT(D581,"" 
""),)"),"")</f>
        <v/>
      </c>
    </row>
    <row r="582">
      <c r="A582" s="26" t="str">
        <f t="shared" si="1"/>
        <v/>
      </c>
      <c r="B582" s="26" t="str">
        <f t="shared" si="2"/>
        <v/>
      </c>
      <c r="C582" s="186" t="str">
        <f t="shared" si="3"/>
        <v/>
      </c>
      <c r="D582" s="187"/>
      <c r="E582" s="174" t="str">
        <f>IFERROR(__xludf.DUMMYFUNCTION("IF(D582&lt;&gt;"""",SPLIT(D582,"" 
""),)"),"")</f>
        <v/>
      </c>
    </row>
    <row r="583">
      <c r="A583" s="26" t="str">
        <f t="shared" si="1"/>
        <v/>
      </c>
      <c r="B583" s="26" t="str">
        <f t="shared" si="2"/>
        <v/>
      </c>
      <c r="C583" s="186" t="str">
        <f t="shared" si="3"/>
        <v/>
      </c>
      <c r="D583" s="187"/>
      <c r="E583" s="174" t="str">
        <f>IFERROR(__xludf.DUMMYFUNCTION("IF(D583&lt;&gt;"""",SPLIT(D583,"" 
""),)"),"")</f>
        <v/>
      </c>
    </row>
    <row r="584">
      <c r="A584" s="26" t="str">
        <f t="shared" si="1"/>
        <v/>
      </c>
      <c r="B584" s="26" t="str">
        <f t="shared" si="2"/>
        <v/>
      </c>
      <c r="C584" s="186" t="str">
        <f t="shared" si="3"/>
        <v/>
      </c>
      <c r="D584" s="187"/>
      <c r="E584" s="174" t="str">
        <f>IFERROR(__xludf.DUMMYFUNCTION("IF(D584&lt;&gt;"""",SPLIT(D584,"" 
""),)"),"")</f>
        <v/>
      </c>
    </row>
    <row r="585">
      <c r="A585" s="26" t="str">
        <f t="shared" si="1"/>
        <v/>
      </c>
      <c r="B585" s="26" t="str">
        <f t="shared" si="2"/>
        <v/>
      </c>
      <c r="C585" s="186" t="str">
        <f t="shared" si="3"/>
        <v/>
      </c>
      <c r="D585" s="187"/>
      <c r="E585" s="174" t="str">
        <f>IFERROR(__xludf.DUMMYFUNCTION("IF(D585&lt;&gt;"""",SPLIT(D585,"" 
""),)"),"")</f>
        <v/>
      </c>
    </row>
    <row r="586">
      <c r="A586" s="26" t="str">
        <f t="shared" si="1"/>
        <v/>
      </c>
      <c r="B586" s="26" t="str">
        <f t="shared" si="2"/>
        <v/>
      </c>
      <c r="C586" s="186" t="str">
        <f t="shared" si="3"/>
        <v/>
      </c>
      <c r="D586" s="187"/>
      <c r="E586" s="174" t="str">
        <f>IFERROR(__xludf.DUMMYFUNCTION("IF(D586&lt;&gt;"""",SPLIT(D586,"" 
""),)"),"")</f>
        <v/>
      </c>
    </row>
    <row r="587">
      <c r="A587" s="26" t="str">
        <f t="shared" si="1"/>
        <v/>
      </c>
      <c r="B587" s="26" t="str">
        <f t="shared" si="2"/>
        <v/>
      </c>
      <c r="C587" s="186" t="str">
        <f t="shared" si="3"/>
        <v/>
      </c>
      <c r="D587" s="187"/>
      <c r="E587" s="174" t="str">
        <f>IFERROR(__xludf.DUMMYFUNCTION("IF(D587&lt;&gt;"""",SPLIT(D587,"" 
""),)"),"")</f>
        <v/>
      </c>
    </row>
    <row r="588">
      <c r="A588" s="26" t="str">
        <f t="shared" si="1"/>
        <v/>
      </c>
      <c r="B588" s="26" t="str">
        <f t="shared" si="2"/>
        <v/>
      </c>
      <c r="C588" s="186" t="str">
        <f t="shared" si="3"/>
        <v/>
      </c>
      <c r="D588" s="187"/>
      <c r="E588" s="174" t="str">
        <f>IFERROR(__xludf.DUMMYFUNCTION("IF(D588&lt;&gt;"""",SPLIT(D588,"" 
""),)"),"")</f>
        <v/>
      </c>
    </row>
    <row r="589">
      <c r="A589" s="26" t="str">
        <f t="shared" si="1"/>
        <v/>
      </c>
      <c r="B589" s="26" t="str">
        <f t="shared" si="2"/>
        <v/>
      </c>
      <c r="C589" s="186" t="str">
        <f t="shared" si="3"/>
        <v/>
      </c>
      <c r="D589" s="187"/>
      <c r="E589" s="174" t="str">
        <f>IFERROR(__xludf.DUMMYFUNCTION("IF(D589&lt;&gt;"""",SPLIT(D589,"" 
""),)"),"")</f>
        <v/>
      </c>
    </row>
    <row r="590">
      <c r="A590" s="26" t="str">
        <f t="shared" si="1"/>
        <v/>
      </c>
      <c r="B590" s="26" t="str">
        <f t="shared" si="2"/>
        <v/>
      </c>
      <c r="C590" s="186" t="str">
        <f t="shared" si="3"/>
        <v/>
      </c>
      <c r="D590" s="187"/>
      <c r="E590" s="174" t="str">
        <f>IFERROR(__xludf.DUMMYFUNCTION("IF(D590&lt;&gt;"""",SPLIT(D590,"" 
""),)"),"")</f>
        <v/>
      </c>
    </row>
    <row r="591">
      <c r="A591" s="26" t="str">
        <f t="shared" si="1"/>
        <v/>
      </c>
      <c r="B591" s="26" t="str">
        <f t="shared" si="2"/>
        <v/>
      </c>
      <c r="C591" s="186" t="str">
        <f t="shared" si="3"/>
        <v/>
      </c>
      <c r="D591" s="187"/>
      <c r="E591" s="174" t="str">
        <f>IFERROR(__xludf.DUMMYFUNCTION("IF(D591&lt;&gt;"""",SPLIT(D591,"" 
""),)"),"")</f>
        <v/>
      </c>
    </row>
    <row r="592">
      <c r="A592" s="26" t="str">
        <f t="shared" si="1"/>
        <v/>
      </c>
      <c r="B592" s="26" t="str">
        <f t="shared" si="2"/>
        <v/>
      </c>
      <c r="C592" s="186" t="str">
        <f t="shared" si="3"/>
        <v/>
      </c>
      <c r="D592" s="187"/>
      <c r="E592" s="174" t="str">
        <f>IFERROR(__xludf.DUMMYFUNCTION("IF(D592&lt;&gt;"""",SPLIT(D592,"" 
""),)"),"")</f>
        <v/>
      </c>
    </row>
    <row r="593">
      <c r="A593" s="26" t="str">
        <f t="shared" si="1"/>
        <v/>
      </c>
      <c r="B593" s="26" t="str">
        <f t="shared" si="2"/>
        <v/>
      </c>
      <c r="C593" s="186" t="str">
        <f t="shared" si="3"/>
        <v/>
      </c>
      <c r="D593" s="187"/>
      <c r="E593" s="174" t="str">
        <f>IFERROR(__xludf.DUMMYFUNCTION("IF(D593&lt;&gt;"""",SPLIT(D593,"" 
""),)"),"")</f>
        <v/>
      </c>
    </row>
    <row r="594">
      <c r="A594" s="26" t="str">
        <f t="shared" si="1"/>
        <v/>
      </c>
      <c r="B594" s="26" t="str">
        <f t="shared" si="2"/>
        <v/>
      </c>
      <c r="C594" s="186" t="str">
        <f t="shared" si="3"/>
        <v/>
      </c>
      <c r="D594" s="187"/>
      <c r="E594" s="174" t="str">
        <f>IFERROR(__xludf.DUMMYFUNCTION("IF(D594&lt;&gt;"""",SPLIT(D594,"" 
""),)"),"")</f>
        <v/>
      </c>
    </row>
    <row r="595">
      <c r="A595" s="26" t="str">
        <f t="shared" si="1"/>
        <v/>
      </c>
      <c r="B595" s="26" t="str">
        <f t="shared" si="2"/>
        <v/>
      </c>
      <c r="C595" s="186" t="str">
        <f t="shared" si="3"/>
        <v/>
      </c>
      <c r="D595" s="187"/>
      <c r="E595" s="174" t="str">
        <f>IFERROR(__xludf.DUMMYFUNCTION("IF(D595&lt;&gt;"""",SPLIT(D595,"" 
""),)"),"")</f>
        <v/>
      </c>
    </row>
    <row r="596">
      <c r="A596" s="26" t="str">
        <f t="shared" si="1"/>
        <v/>
      </c>
      <c r="B596" s="26" t="str">
        <f t="shared" si="2"/>
        <v/>
      </c>
      <c r="C596" s="186" t="str">
        <f t="shared" si="3"/>
        <v/>
      </c>
      <c r="D596" s="187"/>
      <c r="E596" s="174" t="str">
        <f>IFERROR(__xludf.DUMMYFUNCTION("IF(D596&lt;&gt;"""",SPLIT(D596,"" 
""),)"),"")</f>
        <v/>
      </c>
    </row>
    <row r="597">
      <c r="A597" s="26" t="str">
        <f t="shared" si="1"/>
        <v/>
      </c>
      <c r="B597" s="26" t="str">
        <f t="shared" si="2"/>
        <v/>
      </c>
      <c r="C597" s="186" t="str">
        <f t="shared" si="3"/>
        <v/>
      </c>
      <c r="D597" s="187"/>
      <c r="E597" s="174" t="str">
        <f>IFERROR(__xludf.DUMMYFUNCTION("IF(D597&lt;&gt;"""",SPLIT(D597,"" 
""),)"),"")</f>
        <v/>
      </c>
    </row>
    <row r="598">
      <c r="A598" s="26" t="str">
        <f t="shared" si="1"/>
        <v/>
      </c>
      <c r="B598" s="26" t="str">
        <f t="shared" si="2"/>
        <v/>
      </c>
      <c r="C598" s="186" t="str">
        <f t="shared" si="3"/>
        <v/>
      </c>
      <c r="D598" s="187"/>
      <c r="E598" s="174" t="str">
        <f>IFERROR(__xludf.DUMMYFUNCTION("IF(D598&lt;&gt;"""",SPLIT(D598,"" 
""),)"),"")</f>
        <v/>
      </c>
    </row>
    <row r="599">
      <c r="A599" s="26" t="str">
        <f t="shared" si="1"/>
        <v/>
      </c>
      <c r="B599" s="26" t="str">
        <f t="shared" si="2"/>
        <v/>
      </c>
      <c r="C599" s="186" t="str">
        <f t="shared" si="3"/>
        <v/>
      </c>
      <c r="D599" s="187"/>
      <c r="E599" s="174" t="str">
        <f>IFERROR(__xludf.DUMMYFUNCTION("IF(D599&lt;&gt;"""",SPLIT(D599,"" 
""),)"),"")</f>
        <v/>
      </c>
    </row>
    <row r="600">
      <c r="A600" s="26" t="str">
        <f t="shared" si="1"/>
        <v/>
      </c>
      <c r="B600" s="26" t="str">
        <f t="shared" si="2"/>
        <v/>
      </c>
      <c r="C600" s="186" t="str">
        <f t="shared" si="3"/>
        <v/>
      </c>
      <c r="D600" s="187"/>
      <c r="E600" s="174" t="str">
        <f>IFERROR(__xludf.DUMMYFUNCTION("IF(D600&lt;&gt;"""",SPLIT(D600,"" 
""),)"),"")</f>
        <v/>
      </c>
    </row>
    <row r="601">
      <c r="A601" s="26" t="str">
        <f t="shared" si="1"/>
        <v/>
      </c>
      <c r="B601" s="26" t="str">
        <f t="shared" si="2"/>
        <v/>
      </c>
      <c r="C601" s="186" t="str">
        <f t="shared" si="3"/>
        <v/>
      </c>
      <c r="D601" s="187"/>
      <c r="E601" s="174" t="str">
        <f>IFERROR(__xludf.DUMMYFUNCTION("IF(D601&lt;&gt;"""",SPLIT(D601,"" 
""),)"),"")</f>
        <v/>
      </c>
    </row>
    <row r="602">
      <c r="A602" s="26" t="str">
        <f t="shared" si="1"/>
        <v/>
      </c>
      <c r="B602" s="26" t="str">
        <f t="shared" si="2"/>
        <v/>
      </c>
      <c r="C602" s="186" t="str">
        <f t="shared" si="3"/>
        <v/>
      </c>
      <c r="D602" s="187"/>
      <c r="E602" s="174" t="str">
        <f>IFERROR(__xludf.DUMMYFUNCTION("IF(D602&lt;&gt;"""",SPLIT(D602,"" 
""),)"),"")</f>
        <v/>
      </c>
    </row>
    <row r="603">
      <c r="A603" s="26" t="str">
        <f t="shared" si="1"/>
        <v/>
      </c>
      <c r="B603" s="26" t="str">
        <f t="shared" si="2"/>
        <v/>
      </c>
      <c r="C603" s="186" t="str">
        <f t="shared" si="3"/>
        <v/>
      </c>
      <c r="D603" s="187"/>
      <c r="E603" s="174" t="str">
        <f>IFERROR(__xludf.DUMMYFUNCTION("IF(D603&lt;&gt;"""",SPLIT(D603,"" 
""),)"),"")</f>
        <v/>
      </c>
    </row>
    <row r="604">
      <c r="A604" s="26" t="str">
        <f t="shared" si="1"/>
        <v/>
      </c>
      <c r="B604" s="26" t="str">
        <f t="shared" si="2"/>
        <v/>
      </c>
      <c r="C604" s="186" t="str">
        <f t="shared" si="3"/>
        <v/>
      </c>
      <c r="D604" s="187"/>
      <c r="E604" s="174" t="str">
        <f>IFERROR(__xludf.DUMMYFUNCTION("IF(D604&lt;&gt;"""",SPLIT(D604,"" 
""),)"),"")</f>
        <v/>
      </c>
    </row>
    <row r="605">
      <c r="A605" s="26" t="str">
        <f t="shared" si="1"/>
        <v/>
      </c>
      <c r="B605" s="26" t="str">
        <f t="shared" si="2"/>
        <v/>
      </c>
      <c r="C605" s="186" t="str">
        <f t="shared" si="3"/>
        <v/>
      </c>
      <c r="D605" s="187"/>
      <c r="E605" s="174" t="str">
        <f>IFERROR(__xludf.DUMMYFUNCTION("IF(D605&lt;&gt;"""",SPLIT(D605,"" 
""),)"),"")</f>
        <v/>
      </c>
    </row>
    <row r="606">
      <c r="A606" s="26" t="str">
        <f t="shared" si="1"/>
        <v/>
      </c>
      <c r="B606" s="26" t="str">
        <f t="shared" si="2"/>
        <v/>
      </c>
      <c r="C606" s="186" t="str">
        <f t="shared" si="3"/>
        <v/>
      </c>
      <c r="D606" s="187"/>
      <c r="E606" s="174" t="str">
        <f>IFERROR(__xludf.DUMMYFUNCTION("IF(D606&lt;&gt;"""",SPLIT(D606,"" 
""),)"),"")</f>
        <v/>
      </c>
    </row>
    <row r="607">
      <c r="A607" s="26" t="str">
        <f t="shared" si="1"/>
        <v/>
      </c>
      <c r="B607" s="26" t="str">
        <f t="shared" si="2"/>
        <v/>
      </c>
      <c r="C607" s="186" t="str">
        <f t="shared" si="3"/>
        <v/>
      </c>
      <c r="D607" s="187"/>
      <c r="E607" s="174" t="str">
        <f>IFERROR(__xludf.DUMMYFUNCTION("IF(D607&lt;&gt;"""",SPLIT(D607,"" 
""),)"),"")</f>
        <v/>
      </c>
    </row>
    <row r="608">
      <c r="A608" s="26" t="str">
        <f t="shared" si="1"/>
        <v/>
      </c>
      <c r="B608" s="26" t="str">
        <f t="shared" si="2"/>
        <v/>
      </c>
      <c r="C608" s="186" t="str">
        <f t="shared" si="3"/>
        <v/>
      </c>
      <c r="D608" s="187"/>
      <c r="E608" s="174" t="str">
        <f>IFERROR(__xludf.DUMMYFUNCTION("IF(D608&lt;&gt;"""",SPLIT(D608,"" 
""),)"),"")</f>
        <v/>
      </c>
    </row>
    <row r="609">
      <c r="A609" s="26" t="str">
        <f t="shared" si="1"/>
        <v/>
      </c>
      <c r="B609" s="26" t="str">
        <f t="shared" si="2"/>
        <v/>
      </c>
      <c r="C609" s="186" t="str">
        <f t="shared" si="3"/>
        <v/>
      </c>
      <c r="D609" s="187"/>
      <c r="E609" s="174" t="str">
        <f>IFERROR(__xludf.DUMMYFUNCTION("IF(D609&lt;&gt;"""",SPLIT(D609,"" 
""),)"),"")</f>
        <v/>
      </c>
    </row>
    <row r="610">
      <c r="A610" s="26" t="str">
        <f t="shared" si="1"/>
        <v/>
      </c>
      <c r="B610" s="26" t="str">
        <f t="shared" si="2"/>
        <v/>
      </c>
      <c r="C610" s="186" t="str">
        <f t="shared" si="3"/>
        <v/>
      </c>
      <c r="D610" s="187"/>
      <c r="E610" s="174" t="str">
        <f>IFERROR(__xludf.DUMMYFUNCTION("IF(D610&lt;&gt;"""",SPLIT(D610,"" 
""),)"),"")</f>
        <v/>
      </c>
    </row>
    <row r="611">
      <c r="A611" s="26" t="str">
        <f t="shared" si="1"/>
        <v/>
      </c>
      <c r="B611" s="26" t="str">
        <f t="shared" si="2"/>
        <v/>
      </c>
      <c r="C611" s="186" t="str">
        <f t="shared" si="3"/>
        <v/>
      </c>
      <c r="D611" s="187"/>
      <c r="E611" s="174" t="str">
        <f>IFERROR(__xludf.DUMMYFUNCTION("IF(D611&lt;&gt;"""",SPLIT(D611,"" 
""),)"),"")</f>
        <v/>
      </c>
    </row>
    <row r="612">
      <c r="A612" s="26" t="str">
        <f t="shared" si="1"/>
        <v/>
      </c>
      <c r="B612" s="26" t="str">
        <f t="shared" si="2"/>
        <v/>
      </c>
      <c r="C612" s="186" t="str">
        <f t="shared" si="3"/>
        <v/>
      </c>
      <c r="D612" s="187"/>
      <c r="E612" s="174" t="str">
        <f>IFERROR(__xludf.DUMMYFUNCTION("IF(D612&lt;&gt;"""",SPLIT(D612,"" 
""),)"),"")</f>
        <v/>
      </c>
    </row>
    <row r="613">
      <c r="A613" s="26" t="str">
        <f t="shared" si="1"/>
        <v/>
      </c>
      <c r="B613" s="26" t="str">
        <f t="shared" si="2"/>
        <v/>
      </c>
      <c r="C613" s="186" t="str">
        <f t="shared" si="3"/>
        <v/>
      </c>
      <c r="D613" s="187"/>
      <c r="E613" s="174" t="str">
        <f>IFERROR(__xludf.DUMMYFUNCTION("IF(D613&lt;&gt;"""",SPLIT(D613,"" 
""),)"),"")</f>
        <v/>
      </c>
    </row>
    <row r="614">
      <c r="A614" s="26" t="str">
        <f t="shared" si="1"/>
        <v/>
      </c>
      <c r="B614" s="26" t="str">
        <f t="shared" si="2"/>
        <v/>
      </c>
      <c r="C614" s="186" t="str">
        <f t="shared" si="3"/>
        <v/>
      </c>
      <c r="D614" s="187"/>
      <c r="E614" s="174" t="str">
        <f>IFERROR(__xludf.DUMMYFUNCTION("IF(D614&lt;&gt;"""",SPLIT(D614,"" 
""),)"),"")</f>
        <v/>
      </c>
    </row>
    <row r="615">
      <c r="A615" s="26" t="str">
        <f t="shared" si="1"/>
        <v/>
      </c>
      <c r="B615" s="26" t="str">
        <f t="shared" si="2"/>
        <v/>
      </c>
      <c r="C615" s="186" t="str">
        <f t="shared" si="3"/>
        <v/>
      </c>
      <c r="D615" s="187"/>
      <c r="E615" s="174" t="str">
        <f>IFERROR(__xludf.DUMMYFUNCTION("IF(D615&lt;&gt;"""",SPLIT(D615,"" 
""),)"),"")</f>
        <v/>
      </c>
    </row>
    <row r="616">
      <c r="A616" s="26" t="str">
        <f t="shared" si="1"/>
        <v/>
      </c>
      <c r="B616" s="26" t="str">
        <f t="shared" si="2"/>
        <v/>
      </c>
      <c r="C616" s="186" t="str">
        <f t="shared" si="3"/>
        <v/>
      </c>
      <c r="D616" s="187"/>
      <c r="E616" s="174" t="str">
        <f>IFERROR(__xludf.DUMMYFUNCTION("IF(D616&lt;&gt;"""",SPLIT(D616,"" 
""),)"),"")</f>
        <v/>
      </c>
    </row>
    <row r="617">
      <c r="A617" s="26" t="str">
        <f t="shared" si="1"/>
        <v/>
      </c>
      <c r="B617" s="26" t="str">
        <f t="shared" si="2"/>
        <v/>
      </c>
      <c r="C617" s="186" t="str">
        <f t="shared" si="3"/>
        <v/>
      </c>
      <c r="D617" s="187"/>
      <c r="E617" s="174" t="str">
        <f>IFERROR(__xludf.DUMMYFUNCTION("IF(D617&lt;&gt;"""",SPLIT(D617,"" 
""),)"),"")</f>
        <v/>
      </c>
    </row>
    <row r="618">
      <c r="A618" s="26" t="str">
        <f t="shared" si="1"/>
        <v/>
      </c>
      <c r="B618" s="26" t="str">
        <f t="shared" si="2"/>
        <v/>
      </c>
      <c r="C618" s="186" t="str">
        <f t="shared" si="3"/>
        <v/>
      </c>
      <c r="D618" s="187"/>
      <c r="E618" s="174" t="str">
        <f>IFERROR(__xludf.DUMMYFUNCTION("IF(D618&lt;&gt;"""",SPLIT(D618,"" 
""),)"),"")</f>
        <v/>
      </c>
    </row>
    <row r="619">
      <c r="A619" s="26" t="str">
        <f t="shared" si="1"/>
        <v/>
      </c>
      <c r="B619" s="26" t="str">
        <f t="shared" si="2"/>
        <v/>
      </c>
      <c r="C619" s="186" t="str">
        <f t="shared" si="3"/>
        <v/>
      </c>
      <c r="D619" s="187"/>
      <c r="E619" s="174" t="str">
        <f>IFERROR(__xludf.DUMMYFUNCTION("IF(D619&lt;&gt;"""",SPLIT(D619,"" 
""),)"),"")</f>
        <v/>
      </c>
    </row>
    <row r="620">
      <c r="A620" s="26" t="str">
        <f t="shared" si="1"/>
        <v/>
      </c>
      <c r="B620" s="26" t="str">
        <f t="shared" si="2"/>
        <v/>
      </c>
      <c r="C620" s="186" t="str">
        <f t="shared" si="3"/>
        <v/>
      </c>
      <c r="D620" s="187"/>
      <c r="E620" s="174" t="str">
        <f>IFERROR(__xludf.DUMMYFUNCTION("IF(D620&lt;&gt;"""",SPLIT(D620,"" 
""),)"),"")</f>
        <v/>
      </c>
    </row>
    <row r="621">
      <c r="A621" s="26" t="str">
        <f t="shared" si="1"/>
        <v/>
      </c>
      <c r="B621" s="26" t="str">
        <f t="shared" si="2"/>
        <v/>
      </c>
      <c r="C621" s="186" t="str">
        <f t="shared" si="3"/>
        <v/>
      </c>
      <c r="D621" s="187"/>
      <c r="E621" s="174" t="str">
        <f>IFERROR(__xludf.DUMMYFUNCTION("IF(D621&lt;&gt;"""",SPLIT(D621,"" 
""),)"),"")</f>
        <v/>
      </c>
    </row>
    <row r="622">
      <c r="A622" s="26" t="str">
        <f t="shared" si="1"/>
        <v/>
      </c>
      <c r="B622" s="26" t="str">
        <f t="shared" si="2"/>
        <v/>
      </c>
      <c r="C622" s="186" t="str">
        <f t="shared" si="3"/>
        <v/>
      </c>
      <c r="D622" s="187"/>
      <c r="E622" s="174" t="str">
        <f>IFERROR(__xludf.DUMMYFUNCTION("IF(D622&lt;&gt;"""",SPLIT(D622,"" 
""),)"),"")</f>
        <v/>
      </c>
    </row>
    <row r="623">
      <c r="A623" s="26" t="str">
        <f t="shared" si="1"/>
        <v/>
      </c>
      <c r="B623" s="26" t="str">
        <f t="shared" si="2"/>
        <v/>
      </c>
      <c r="C623" s="186" t="str">
        <f t="shared" si="3"/>
        <v/>
      </c>
      <c r="D623" s="187"/>
      <c r="E623" s="174" t="str">
        <f>IFERROR(__xludf.DUMMYFUNCTION("IF(D623&lt;&gt;"""",SPLIT(D623,"" 
""),)"),"")</f>
        <v/>
      </c>
    </row>
    <row r="624">
      <c r="A624" s="26" t="str">
        <f t="shared" si="1"/>
        <v/>
      </c>
      <c r="B624" s="26" t="str">
        <f t="shared" si="2"/>
        <v/>
      </c>
      <c r="C624" s="186" t="str">
        <f t="shared" si="3"/>
        <v/>
      </c>
      <c r="D624" s="187"/>
      <c r="E624" s="174" t="str">
        <f>IFERROR(__xludf.DUMMYFUNCTION("IF(D624&lt;&gt;"""",SPLIT(D624,"" 
""),)"),"")</f>
        <v/>
      </c>
    </row>
    <row r="625">
      <c r="A625" s="26" t="str">
        <f t="shared" si="1"/>
        <v/>
      </c>
      <c r="B625" s="26" t="str">
        <f t="shared" si="2"/>
        <v/>
      </c>
      <c r="C625" s="186" t="str">
        <f t="shared" si="3"/>
        <v/>
      </c>
      <c r="D625" s="187"/>
      <c r="E625" s="174" t="str">
        <f>IFERROR(__xludf.DUMMYFUNCTION("IF(D625&lt;&gt;"""",SPLIT(D625,"" 
""),)"),"")</f>
        <v/>
      </c>
    </row>
    <row r="626">
      <c r="A626" s="26" t="str">
        <f t="shared" si="1"/>
        <v/>
      </c>
      <c r="B626" s="26" t="str">
        <f t="shared" si="2"/>
        <v/>
      </c>
      <c r="C626" s="186" t="str">
        <f t="shared" si="3"/>
        <v/>
      </c>
      <c r="D626" s="187"/>
      <c r="E626" s="174" t="str">
        <f>IFERROR(__xludf.DUMMYFUNCTION("IF(D626&lt;&gt;"""",SPLIT(D626,"" 
""),)"),"")</f>
        <v/>
      </c>
    </row>
    <row r="627">
      <c r="A627" s="26" t="str">
        <f t="shared" si="1"/>
        <v/>
      </c>
      <c r="B627" s="26" t="str">
        <f t="shared" si="2"/>
        <v/>
      </c>
      <c r="C627" s="186" t="str">
        <f t="shared" si="3"/>
        <v/>
      </c>
      <c r="D627" s="187"/>
      <c r="E627" s="174" t="str">
        <f>IFERROR(__xludf.DUMMYFUNCTION("IF(D627&lt;&gt;"""",SPLIT(D627,"" 
""),)"),"")</f>
        <v/>
      </c>
    </row>
    <row r="628">
      <c r="A628" s="26" t="str">
        <f t="shared" si="1"/>
        <v/>
      </c>
      <c r="B628" s="26" t="str">
        <f t="shared" si="2"/>
        <v/>
      </c>
      <c r="C628" s="186" t="str">
        <f t="shared" si="3"/>
        <v/>
      </c>
      <c r="D628" s="187"/>
      <c r="E628" s="174" t="str">
        <f>IFERROR(__xludf.DUMMYFUNCTION("IF(D628&lt;&gt;"""",SPLIT(D628,"" 
""),)"),"")</f>
        <v/>
      </c>
    </row>
    <row r="629">
      <c r="A629" s="26" t="str">
        <f t="shared" si="1"/>
        <v/>
      </c>
      <c r="B629" s="26" t="str">
        <f t="shared" si="2"/>
        <v/>
      </c>
      <c r="C629" s="186" t="str">
        <f t="shared" si="3"/>
        <v/>
      </c>
      <c r="D629" s="187"/>
      <c r="E629" s="174" t="str">
        <f>IFERROR(__xludf.DUMMYFUNCTION("IF(D629&lt;&gt;"""",SPLIT(D629,"" 
""),)"),"")</f>
        <v/>
      </c>
    </row>
    <row r="630">
      <c r="A630" s="26" t="str">
        <f t="shared" si="1"/>
        <v/>
      </c>
      <c r="B630" s="26" t="str">
        <f t="shared" si="2"/>
        <v/>
      </c>
      <c r="C630" s="186" t="str">
        <f t="shared" si="3"/>
        <v/>
      </c>
      <c r="D630" s="187"/>
      <c r="E630" s="174" t="str">
        <f>IFERROR(__xludf.DUMMYFUNCTION("IF(D630&lt;&gt;"""",SPLIT(D630,"" 
""),)"),"")</f>
        <v/>
      </c>
    </row>
    <row r="631">
      <c r="A631" s="26" t="str">
        <f t="shared" si="1"/>
        <v/>
      </c>
      <c r="B631" s="26" t="str">
        <f t="shared" si="2"/>
        <v/>
      </c>
      <c r="C631" s="186" t="str">
        <f t="shared" si="3"/>
        <v/>
      </c>
      <c r="D631" s="187"/>
      <c r="E631" s="174" t="str">
        <f>IFERROR(__xludf.DUMMYFUNCTION("IF(D631&lt;&gt;"""",SPLIT(D631,"" 
""),)"),"")</f>
        <v/>
      </c>
    </row>
    <row r="632">
      <c r="A632" s="26" t="str">
        <f t="shared" si="1"/>
        <v/>
      </c>
      <c r="B632" s="26" t="str">
        <f t="shared" si="2"/>
        <v/>
      </c>
      <c r="C632" s="186" t="str">
        <f t="shared" si="3"/>
        <v/>
      </c>
      <c r="D632" s="187"/>
      <c r="E632" s="174" t="str">
        <f>IFERROR(__xludf.DUMMYFUNCTION("IF(D632&lt;&gt;"""",SPLIT(D632,"" 
""),)"),"")</f>
        <v/>
      </c>
    </row>
    <row r="633">
      <c r="A633" s="26" t="str">
        <f t="shared" si="1"/>
        <v/>
      </c>
      <c r="B633" s="26" t="str">
        <f t="shared" si="2"/>
        <v/>
      </c>
      <c r="C633" s="186" t="str">
        <f t="shared" si="3"/>
        <v/>
      </c>
      <c r="D633" s="187"/>
      <c r="E633" s="174" t="str">
        <f>IFERROR(__xludf.DUMMYFUNCTION("IF(D633&lt;&gt;"""",SPLIT(D633,"" 
""),)"),"")</f>
        <v/>
      </c>
    </row>
    <row r="634">
      <c r="A634" s="26" t="str">
        <f t="shared" si="1"/>
        <v/>
      </c>
      <c r="B634" s="26" t="str">
        <f t="shared" si="2"/>
        <v/>
      </c>
      <c r="C634" s="186" t="str">
        <f t="shared" si="3"/>
        <v/>
      </c>
      <c r="D634" s="187"/>
      <c r="E634" s="174" t="str">
        <f>IFERROR(__xludf.DUMMYFUNCTION("IF(D634&lt;&gt;"""",SPLIT(D634,"" 
""),)"),"")</f>
        <v/>
      </c>
    </row>
    <row r="635">
      <c r="A635" s="26" t="str">
        <f t="shared" si="1"/>
        <v/>
      </c>
      <c r="B635" s="26" t="str">
        <f t="shared" si="2"/>
        <v/>
      </c>
      <c r="C635" s="186" t="str">
        <f t="shared" si="3"/>
        <v/>
      </c>
      <c r="D635" s="187"/>
      <c r="E635" s="174" t="str">
        <f>IFERROR(__xludf.DUMMYFUNCTION("IF(D635&lt;&gt;"""",SPLIT(D635,"" 
""),)"),"")</f>
        <v/>
      </c>
    </row>
    <row r="636">
      <c r="A636" s="26" t="str">
        <f t="shared" si="1"/>
        <v/>
      </c>
      <c r="B636" s="26" t="str">
        <f t="shared" si="2"/>
        <v/>
      </c>
      <c r="C636" s="186" t="str">
        <f t="shared" si="3"/>
        <v/>
      </c>
      <c r="D636" s="187"/>
      <c r="E636" s="174" t="str">
        <f>IFERROR(__xludf.DUMMYFUNCTION("IF(D636&lt;&gt;"""",SPLIT(D636,"" 
""),)"),"")</f>
        <v/>
      </c>
    </row>
    <row r="637">
      <c r="A637" s="26" t="str">
        <f t="shared" si="1"/>
        <v/>
      </c>
      <c r="B637" s="26" t="str">
        <f t="shared" si="2"/>
        <v/>
      </c>
      <c r="C637" s="186" t="str">
        <f t="shared" si="3"/>
        <v/>
      </c>
      <c r="D637" s="187"/>
      <c r="E637" s="174" t="str">
        <f>IFERROR(__xludf.DUMMYFUNCTION("IF(D637&lt;&gt;"""",SPLIT(D637,"" 
""),)"),"")</f>
        <v/>
      </c>
    </row>
    <row r="638">
      <c r="A638" s="26" t="str">
        <f t="shared" si="1"/>
        <v/>
      </c>
      <c r="B638" s="26" t="str">
        <f t="shared" si="2"/>
        <v/>
      </c>
      <c r="C638" s="186" t="str">
        <f t="shared" si="3"/>
        <v/>
      </c>
      <c r="D638" s="187"/>
      <c r="E638" s="174" t="str">
        <f>IFERROR(__xludf.DUMMYFUNCTION("IF(D638&lt;&gt;"""",SPLIT(D638,"" 
""),)"),"")</f>
        <v/>
      </c>
    </row>
    <row r="639">
      <c r="A639" s="26" t="str">
        <f t="shared" si="1"/>
        <v/>
      </c>
      <c r="B639" s="26" t="str">
        <f t="shared" si="2"/>
        <v/>
      </c>
      <c r="C639" s="186" t="str">
        <f t="shared" si="3"/>
        <v/>
      </c>
      <c r="D639" s="187"/>
      <c r="E639" s="174" t="str">
        <f>IFERROR(__xludf.DUMMYFUNCTION("IF(D639&lt;&gt;"""",SPLIT(D639,"" 
""),)"),"")</f>
        <v/>
      </c>
    </row>
    <row r="640">
      <c r="A640" s="26" t="str">
        <f t="shared" si="1"/>
        <v/>
      </c>
      <c r="B640" s="26" t="str">
        <f t="shared" si="2"/>
        <v/>
      </c>
      <c r="C640" s="186" t="str">
        <f t="shared" si="3"/>
        <v/>
      </c>
      <c r="D640" s="187"/>
      <c r="E640" s="174" t="str">
        <f>IFERROR(__xludf.DUMMYFUNCTION("IF(D640&lt;&gt;"""",SPLIT(D640,"" 
""),)"),"")</f>
        <v/>
      </c>
    </row>
    <row r="641">
      <c r="A641" s="26" t="str">
        <f t="shared" si="1"/>
        <v/>
      </c>
      <c r="B641" s="26" t="str">
        <f t="shared" si="2"/>
        <v/>
      </c>
      <c r="C641" s="186" t="str">
        <f t="shared" si="3"/>
        <v/>
      </c>
      <c r="D641" s="187"/>
      <c r="E641" s="174" t="str">
        <f>IFERROR(__xludf.DUMMYFUNCTION("IF(D641&lt;&gt;"""",SPLIT(D641,"" 
""),)"),"")</f>
        <v/>
      </c>
    </row>
    <row r="642">
      <c r="A642" s="26" t="str">
        <f t="shared" si="1"/>
        <v/>
      </c>
      <c r="B642" s="26" t="str">
        <f t="shared" si="2"/>
        <v/>
      </c>
      <c r="C642" s="186" t="str">
        <f t="shared" si="3"/>
        <v/>
      </c>
      <c r="D642" s="187"/>
      <c r="E642" s="174" t="str">
        <f>IFERROR(__xludf.DUMMYFUNCTION("IF(D642&lt;&gt;"""",SPLIT(D642,"" 
""),)"),"")</f>
        <v/>
      </c>
    </row>
    <row r="643">
      <c r="A643" s="26" t="str">
        <f t="shared" si="1"/>
        <v/>
      </c>
      <c r="B643" s="26" t="str">
        <f t="shared" si="2"/>
        <v/>
      </c>
      <c r="C643" s="186" t="str">
        <f t="shared" si="3"/>
        <v/>
      </c>
      <c r="D643" s="187"/>
      <c r="E643" s="174" t="str">
        <f>IFERROR(__xludf.DUMMYFUNCTION("IF(D643&lt;&gt;"""",SPLIT(D643,"" 
""),)"),"")</f>
        <v/>
      </c>
    </row>
    <row r="644">
      <c r="A644" s="26" t="str">
        <f t="shared" si="1"/>
        <v/>
      </c>
      <c r="B644" s="26" t="str">
        <f t="shared" si="2"/>
        <v/>
      </c>
      <c r="C644" s="186" t="str">
        <f t="shared" si="3"/>
        <v/>
      </c>
      <c r="D644" s="187"/>
      <c r="E644" s="174" t="str">
        <f>IFERROR(__xludf.DUMMYFUNCTION("IF(D644&lt;&gt;"""",SPLIT(D644,"" 
""),)"),"")</f>
        <v/>
      </c>
    </row>
    <row r="645">
      <c r="A645" s="26" t="str">
        <f t="shared" si="1"/>
        <v/>
      </c>
      <c r="B645" s="26" t="str">
        <f t="shared" si="2"/>
        <v/>
      </c>
      <c r="C645" s="186" t="str">
        <f t="shared" si="3"/>
        <v/>
      </c>
      <c r="D645" s="187"/>
      <c r="E645" s="174" t="str">
        <f>IFERROR(__xludf.DUMMYFUNCTION("IF(D645&lt;&gt;"""",SPLIT(D645,"" 
""),)"),"")</f>
        <v/>
      </c>
    </row>
    <row r="646">
      <c r="A646" s="26" t="str">
        <f t="shared" si="1"/>
        <v/>
      </c>
      <c r="B646" s="26" t="str">
        <f t="shared" si="2"/>
        <v/>
      </c>
      <c r="C646" s="186" t="str">
        <f t="shared" si="3"/>
        <v/>
      </c>
      <c r="D646" s="187"/>
      <c r="E646" s="174" t="str">
        <f>IFERROR(__xludf.DUMMYFUNCTION("IF(D646&lt;&gt;"""",SPLIT(D646,"" 
""),)"),"")</f>
        <v/>
      </c>
    </row>
    <row r="647">
      <c r="A647" s="26" t="str">
        <f t="shared" si="1"/>
        <v/>
      </c>
      <c r="B647" s="26" t="str">
        <f t="shared" si="2"/>
        <v/>
      </c>
      <c r="C647" s="186" t="str">
        <f t="shared" si="3"/>
        <v/>
      </c>
      <c r="D647" s="187"/>
      <c r="E647" s="174" t="str">
        <f>IFERROR(__xludf.DUMMYFUNCTION("IF(D647&lt;&gt;"""",SPLIT(D647,"" 
""),)"),"")</f>
        <v/>
      </c>
    </row>
    <row r="648">
      <c r="A648" s="26" t="str">
        <f t="shared" si="1"/>
        <v/>
      </c>
      <c r="B648" s="26" t="str">
        <f t="shared" si="2"/>
        <v/>
      </c>
      <c r="C648" s="186" t="str">
        <f t="shared" si="3"/>
        <v/>
      </c>
      <c r="D648" s="187"/>
      <c r="E648" s="174" t="str">
        <f>IFERROR(__xludf.DUMMYFUNCTION("IF(D648&lt;&gt;"""",SPLIT(D648,"" 
""),)"),"")</f>
        <v/>
      </c>
    </row>
    <row r="649">
      <c r="A649" s="26" t="str">
        <f t="shared" si="1"/>
        <v/>
      </c>
      <c r="B649" s="26" t="str">
        <f t="shared" si="2"/>
        <v/>
      </c>
      <c r="C649" s="186" t="str">
        <f t="shared" si="3"/>
        <v/>
      </c>
      <c r="D649" s="187"/>
      <c r="E649" s="174" t="str">
        <f>IFERROR(__xludf.DUMMYFUNCTION("IF(D649&lt;&gt;"""",SPLIT(D649,"" 
""),)"),"")</f>
        <v/>
      </c>
    </row>
    <row r="650">
      <c r="A650" s="26" t="str">
        <f t="shared" si="1"/>
        <v/>
      </c>
      <c r="B650" s="26" t="str">
        <f t="shared" si="2"/>
        <v/>
      </c>
      <c r="C650" s="186" t="str">
        <f t="shared" si="3"/>
        <v/>
      </c>
      <c r="D650" s="187"/>
      <c r="E650" s="174" t="str">
        <f>IFERROR(__xludf.DUMMYFUNCTION("IF(D650&lt;&gt;"""",SPLIT(D650,"" 
""),)"),"")</f>
        <v/>
      </c>
    </row>
    <row r="651">
      <c r="A651" s="26" t="str">
        <f t="shared" si="1"/>
        <v/>
      </c>
      <c r="B651" s="26" t="str">
        <f t="shared" si="2"/>
        <v/>
      </c>
      <c r="C651" s="186" t="str">
        <f t="shared" si="3"/>
        <v/>
      </c>
      <c r="D651" s="187"/>
      <c r="E651" s="174" t="str">
        <f>IFERROR(__xludf.DUMMYFUNCTION("IF(D651&lt;&gt;"""",SPLIT(D651,"" 
""),)"),"")</f>
        <v/>
      </c>
    </row>
    <row r="652">
      <c r="A652" s="26" t="str">
        <f t="shared" si="1"/>
        <v/>
      </c>
      <c r="B652" s="26" t="str">
        <f t="shared" si="2"/>
        <v/>
      </c>
      <c r="C652" s="186" t="str">
        <f t="shared" si="3"/>
        <v/>
      </c>
      <c r="D652" s="187"/>
      <c r="E652" s="174" t="str">
        <f>IFERROR(__xludf.DUMMYFUNCTION("IF(D652&lt;&gt;"""",SPLIT(D652,"" 
""),)"),"")</f>
        <v/>
      </c>
    </row>
    <row r="653">
      <c r="A653" s="26" t="str">
        <f t="shared" si="1"/>
        <v/>
      </c>
      <c r="B653" s="26" t="str">
        <f t="shared" si="2"/>
        <v/>
      </c>
      <c r="C653" s="186" t="str">
        <f t="shared" si="3"/>
        <v/>
      </c>
      <c r="D653" s="187"/>
      <c r="E653" s="174" t="str">
        <f>IFERROR(__xludf.DUMMYFUNCTION("IF(D653&lt;&gt;"""",SPLIT(D653,"" 
""),)"),"")</f>
        <v/>
      </c>
    </row>
    <row r="654">
      <c r="A654" s="26" t="str">
        <f t="shared" si="1"/>
        <v/>
      </c>
      <c r="B654" s="26" t="str">
        <f t="shared" si="2"/>
        <v/>
      </c>
      <c r="C654" s="186" t="str">
        <f t="shared" si="3"/>
        <v/>
      </c>
      <c r="D654" s="187"/>
      <c r="E654" s="174" t="str">
        <f>IFERROR(__xludf.DUMMYFUNCTION("IF(D654&lt;&gt;"""",SPLIT(D654,"" 
""),)"),"")</f>
        <v/>
      </c>
    </row>
    <row r="655">
      <c r="A655" s="26" t="str">
        <f t="shared" si="1"/>
        <v/>
      </c>
      <c r="B655" s="26" t="str">
        <f t="shared" si="2"/>
        <v/>
      </c>
      <c r="C655" s="186" t="str">
        <f t="shared" si="3"/>
        <v/>
      </c>
      <c r="D655" s="187"/>
      <c r="E655" s="174" t="str">
        <f>IFERROR(__xludf.DUMMYFUNCTION("IF(D655&lt;&gt;"""",SPLIT(D655,"" 
""),)"),"")</f>
        <v/>
      </c>
    </row>
    <row r="656">
      <c r="A656" s="26" t="str">
        <f t="shared" si="1"/>
        <v/>
      </c>
      <c r="B656" s="26" t="str">
        <f t="shared" si="2"/>
        <v/>
      </c>
      <c r="C656" s="186" t="str">
        <f t="shared" si="3"/>
        <v/>
      </c>
      <c r="D656" s="187"/>
      <c r="E656" s="174" t="str">
        <f>IFERROR(__xludf.DUMMYFUNCTION("IF(D656&lt;&gt;"""",SPLIT(D656,"" 
""),)"),"")</f>
        <v/>
      </c>
    </row>
    <row r="657">
      <c r="A657" s="26" t="str">
        <f t="shared" si="1"/>
        <v/>
      </c>
      <c r="B657" s="26" t="str">
        <f t="shared" si="2"/>
        <v/>
      </c>
      <c r="C657" s="186" t="str">
        <f t="shared" si="3"/>
        <v/>
      </c>
      <c r="D657" s="187"/>
      <c r="E657" s="174" t="str">
        <f>IFERROR(__xludf.DUMMYFUNCTION("IF(D657&lt;&gt;"""",SPLIT(D657,"" 
""),)"),"")</f>
        <v/>
      </c>
    </row>
    <row r="658">
      <c r="A658" s="26" t="str">
        <f t="shared" si="1"/>
        <v/>
      </c>
      <c r="B658" s="26" t="str">
        <f t="shared" si="2"/>
        <v/>
      </c>
      <c r="C658" s="186" t="str">
        <f t="shared" si="3"/>
        <v/>
      </c>
      <c r="D658" s="187"/>
      <c r="E658" s="174" t="str">
        <f>IFERROR(__xludf.DUMMYFUNCTION("IF(D658&lt;&gt;"""",SPLIT(D658,"" 
""),)"),"")</f>
        <v/>
      </c>
    </row>
    <row r="659">
      <c r="A659" s="26" t="str">
        <f t="shared" si="1"/>
        <v/>
      </c>
      <c r="B659" s="26" t="str">
        <f t="shared" si="2"/>
        <v/>
      </c>
      <c r="C659" s="186" t="str">
        <f t="shared" si="3"/>
        <v/>
      </c>
      <c r="D659" s="187"/>
      <c r="E659" s="174" t="str">
        <f>IFERROR(__xludf.DUMMYFUNCTION("IF(D659&lt;&gt;"""",SPLIT(D659,"" 
""),)"),"")</f>
        <v/>
      </c>
    </row>
    <row r="660">
      <c r="A660" s="26" t="str">
        <f t="shared" si="1"/>
        <v/>
      </c>
      <c r="B660" s="26" t="str">
        <f t="shared" si="2"/>
        <v/>
      </c>
      <c r="C660" s="186" t="str">
        <f t="shared" si="3"/>
        <v/>
      </c>
      <c r="D660" s="187"/>
      <c r="E660" s="174" t="str">
        <f>IFERROR(__xludf.DUMMYFUNCTION("IF(D660&lt;&gt;"""",SPLIT(D660,"" 
""),)"),"")</f>
        <v/>
      </c>
    </row>
    <row r="661">
      <c r="A661" s="26" t="str">
        <f t="shared" si="1"/>
        <v/>
      </c>
      <c r="B661" s="26" t="str">
        <f t="shared" si="2"/>
        <v/>
      </c>
      <c r="C661" s="186" t="str">
        <f t="shared" si="3"/>
        <v/>
      </c>
      <c r="D661" s="187"/>
      <c r="E661" s="174" t="str">
        <f>IFERROR(__xludf.DUMMYFUNCTION("IF(D661&lt;&gt;"""",SPLIT(D661,"" 
""),)"),"")</f>
        <v/>
      </c>
    </row>
    <row r="662">
      <c r="A662" s="26" t="str">
        <f t="shared" si="1"/>
        <v/>
      </c>
      <c r="B662" s="26" t="str">
        <f t="shared" si="2"/>
        <v/>
      </c>
      <c r="C662" s="186" t="str">
        <f t="shared" si="3"/>
        <v/>
      </c>
      <c r="D662" s="187"/>
      <c r="E662" s="174" t="str">
        <f>IFERROR(__xludf.DUMMYFUNCTION("IF(D662&lt;&gt;"""",SPLIT(D662,"" 
""),)"),"")</f>
        <v/>
      </c>
    </row>
    <row r="663">
      <c r="A663" s="26" t="str">
        <f t="shared" si="1"/>
        <v/>
      </c>
      <c r="B663" s="26" t="str">
        <f t="shared" si="2"/>
        <v/>
      </c>
      <c r="C663" s="186" t="str">
        <f t="shared" si="3"/>
        <v/>
      </c>
      <c r="D663" s="187"/>
      <c r="E663" s="174" t="str">
        <f>IFERROR(__xludf.DUMMYFUNCTION("IF(D663&lt;&gt;"""",SPLIT(D663,"" 
""),)"),"")</f>
        <v/>
      </c>
    </row>
    <row r="664">
      <c r="A664" s="26" t="str">
        <f t="shared" si="1"/>
        <v/>
      </c>
      <c r="B664" s="26" t="str">
        <f t="shared" si="2"/>
        <v/>
      </c>
      <c r="C664" s="186" t="str">
        <f t="shared" si="3"/>
        <v/>
      </c>
      <c r="D664" s="187"/>
      <c r="E664" s="174" t="str">
        <f>IFERROR(__xludf.DUMMYFUNCTION("IF(D664&lt;&gt;"""",SPLIT(D664,"" 
""),)"),"")</f>
        <v/>
      </c>
    </row>
    <row r="665">
      <c r="A665" s="26" t="str">
        <f t="shared" si="1"/>
        <v/>
      </c>
      <c r="B665" s="26" t="str">
        <f t="shared" si="2"/>
        <v/>
      </c>
      <c r="C665" s="186" t="str">
        <f t="shared" si="3"/>
        <v/>
      </c>
      <c r="D665" s="187"/>
      <c r="E665" s="174" t="str">
        <f>IFERROR(__xludf.DUMMYFUNCTION("IF(D665&lt;&gt;"""",SPLIT(D665,"" 
""),)"),"")</f>
        <v/>
      </c>
    </row>
    <row r="666">
      <c r="A666" s="26" t="str">
        <f t="shared" si="1"/>
        <v/>
      </c>
      <c r="B666" s="26" t="str">
        <f t="shared" si="2"/>
        <v/>
      </c>
      <c r="C666" s="186" t="str">
        <f t="shared" si="3"/>
        <v/>
      </c>
      <c r="D666" s="187"/>
      <c r="E666" s="174" t="str">
        <f>IFERROR(__xludf.DUMMYFUNCTION("IF(D666&lt;&gt;"""",SPLIT(D666,"" 
""),)"),"")</f>
        <v/>
      </c>
    </row>
    <row r="667">
      <c r="A667" s="26" t="str">
        <f t="shared" si="1"/>
        <v/>
      </c>
      <c r="B667" s="26" t="str">
        <f t="shared" si="2"/>
        <v/>
      </c>
      <c r="C667" s="186" t="str">
        <f t="shared" si="3"/>
        <v/>
      </c>
      <c r="D667" s="187"/>
      <c r="E667" s="174" t="str">
        <f>IFERROR(__xludf.DUMMYFUNCTION("IF(D667&lt;&gt;"""",SPLIT(D667,"" 
""),)"),"")</f>
        <v/>
      </c>
    </row>
    <row r="668">
      <c r="A668" s="26" t="str">
        <f t="shared" si="1"/>
        <v/>
      </c>
      <c r="B668" s="26" t="str">
        <f t="shared" si="2"/>
        <v/>
      </c>
      <c r="C668" s="186" t="str">
        <f t="shared" si="3"/>
        <v/>
      </c>
      <c r="D668" s="187"/>
      <c r="E668" s="174" t="str">
        <f>IFERROR(__xludf.DUMMYFUNCTION("IF(D668&lt;&gt;"""",SPLIT(D668,"" 
""),)"),"")</f>
        <v/>
      </c>
    </row>
    <row r="669">
      <c r="A669" s="26" t="str">
        <f t="shared" si="1"/>
        <v/>
      </c>
      <c r="B669" s="26" t="str">
        <f t="shared" si="2"/>
        <v/>
      </c>
      <c r="C669" s="186" t="str">
        <f t="shared" si="3"/>
        <v/>
      </c>
      <c r="D669" s="187"/>
      <c r="E669" s="174" t="str">
        <f>IFERROR(__xludf.DUMMYFUNCTION("IF(D669&lt;&gt;"""",SPLIT(D669,"" 
""),)"),"")</f>
        <v/>
      </c>
    </row>
    <row r="670">
      <c r="A670" s="26" t="str">
        <f t="shared" si="1"/>
        <v/>
      </c>
      <c r="B670" s="26" t="str">
        <f t="shared" si="2"/>
        <v/>
      </c>
      <c r="C670" s="186" t="str">
        <f t="shared" si="3"/>
        <v/>
      </c>
      <c r="D670" s="187"/>
      <c r="E670" s="174" t="str">
        <f>IFERROR(__xludf.DUMMYFUNCTION("IF(D670&lt;&gt;"""",SPLIT(D670,"" 
""),)"),"")</f>
        <v/>
      </c>
    </row>
    <row r="671">
      <c r="A671" s="26" t="str">
        <f t="shared" si="1"/>
        <v/>
      </c>
      <c r="B671" s="26" t="str">
        <f t="shared" si="2"/>
        <v/>
      </c>
      <c r="C671" s="186" t="str">
        <f t="shared" si="3"/>
        <v/>
      </c>
      <c r="D671" s="187"/>
      <c r="E671" s="174" t="str">
        <f>IFERROR(__xludf.DUMMYFUNCTION("IF(D671&lt;&gt;"""",SPLIT(D671,"" 
""),)"),"")</f>
        <v/>
      </c>
    </row>
    <row r="672">
      <c r="A672" s="26" t="str">
        <f t="shared" si="1"/>
        <v/>
      </c>
      <c r="B672" s="26" t="str">
        <f t="shared" si="2"/>
        <v/>
      </c>
      <c r="C672" s="186" t="str">
        <f t="shared" si="3"/>
        <v/>
      </c>
      <c r="D672" s="187"/>
      <c r="E672" s="174" t="str">
        <f>IFERROR(__xludf.DUMMYFUNCTION("IF(D672&lt;&gt;"""",SPLIT(D672,"" 
""),)"),"")</f>
        <v/>
      </c>
    </row>
    <row r="673">
      <c r="A673" s="26" t="str">
        <f t="shared" si="1"/>
        <v/>
      </c>
      <c r="B673" s="26" t="str">
        <f t="shared" si="2"/>
        <v/>
      </c>
      <c r="C673" s="186" t="str">
        <f t="shared" si="3"/>
        <v/>
      </c>
      <c r="D673" s="187"/>
      <c r="E673" s="174" t="str">
        <f>IFERROR(__xludf.DUMMYFUNCTION("IF(D673&lt;&gt;"""",SPLIT(D673,"" 
""),)"),"")</f>
        <v/>
      </c>
    </row>
    <row r="674">
      <c r="A674" s="26" t="str">
        <f t="shared" si="1"/>
        <v/>
      </c>
      <c r="B674" s="26" t="str">
        <f t="shared" si="2"/>
        <v/>
      </c>
      <c r="C674" s="186" t="str">
        <f t="shared" si="3"/>
        <v/>
      </c>
      <c r="D674" s="187"/>
      <c r="E674" s="174" t="str">
        <f>IFERROR(__xludf.DUMMYFUNCTION("IF(D674&lt;&gt;"""",SPLIT(D674,"" 
""),)"),"")</f>
        <v/>
      </c>
    </row>
    <row r="675">
      <c r="A675" s="26" t="str">
        <f t="shared" si="1"/>
        <v/>
      </c>
      <c r="B675" s="26" t="str">
        <f t="shared" si="2"/>
        <v/>
      </c>
      <c r="C675" s="186" t="str">
        <f t="shared" si="3"/>
        <v/>
      </c>
      <c r="D675" s="187"/>
      <c r="E675" s="174" t="str">
        <f>IFERROR(__xludf.DUMMYFUNCTION("IF(D675&lt;&gt;"""",SPLIT(D675,"" 
""),)"),"")</f>
        <v/>
      </c>
    </row>
    <row r="676">
      <c r="A676" s="26" t="str">
        <f t="shared" si="1"/>
        <v/>
      </c>
      <c r="B676" s="26" t="str">
        <f t="shared" si="2"/>
        <v/>
      </c>
      <c r="C676" s="186" t="str">
        <f t="shared" si="3"/>
        <v/>
      </c>
      <c r="D676" s="187"/>
      <c r="E676" s="174" t="str">
        <f>IFERROR(__xludf.DUMMYFUNCTION("IF(D676&lt;&gt;"""",SPLIT(D676,"" 
""),)"),"")</f>
        <v/>
      </c>
    </row>
    <row r="677">
      <c r="A677" s="26" t="str">
        <f t="shared" si="1"/>
        <v/>
      </c>
      <c r="B677" s="26" t="str">
        <f t="shared" si="2"/>
        <v/>
      </c>
      <c r="C677" s="186" t="str">
        <f t="shared" si="3"/>
        <v/>
      </c>
      <c r="D677" s="187"/>
      <c r="E677" s="174" t="str">
        <f>IFERROR(__xludf.DUMMYFUNCTION("IF(D677&lt;&gt;"""",SPLIT(D677,"" 
""),)"),"")</f>
        <v/>
      </c>
    </row>
    <row r="678">
      <c r="A678" s="26" t="str">
        <f t="shared" si="1"/>
        <v/>
      </c>
      <c r="B678" s="26" t="str">
        <f t="shared" si="2"/>
        <v/>
      </c>
      <c r="C678" s="186" t="str">
        <f t="shared" si="3"/>
        <v/>
      </c>
      <c r="D678" s="187"/>
      <c r="E678" s="174" t="str">
        <f>IFERROR(__xludf.DUMMYFUNCTION("IF(D678&lt;&gt;"""",SPLIT(D678,"" 
""),)"),"")</f>
        <v/>
      </c>
    </row>
    <row r="679">
      <c r="A679" s="26" t="str">
        <f t="shared" si="1"/>
        <v/>
      </c>
      <c r="B679" s="26" t="str">
        <f t="shared" si="2"/>
        <v/>
      </c>
      <c r="C679" s="186" t="str">
        <f t="shared" si="3"/>
        <v/>
      </c>
      <c r="D679" s="187"/>
      <c r="E679" s="174" t="str">
        <f>IFERROR(__xludf.DUMMYFUNCTION("IF(D679&lt;&gt;"""",SPLIT(D679,"" 
""),)"),"")</f>
        <v/>
      </c>
    </row>
    <row r="680">
      <c r="A680" s="26" t="str">
        <f t="shared" si="1"/>
        <v/>
      </c>
      <c r="B680" s="26" t="str">
        <f t="shared" si="2"/>
        <v/>
      </c>
      <c r="C680" s="186" t="str">
        <f t="shared" si="3"/>
        <v/>
      </c>
      <c r="D680" s="187"/>
      <c r="E680" s="174" t="str">
        <f>IFERROR(__xludf.DUMMYFUNCTION("IF(D680&lt;&gt;"""",SPLIT(D680,"" 
""),)"),"")</f>
        <v/>
      </c>
    </row>
    <row r="681">
      <c r="A681" s="26" t="str">
        <f t="shared" si="1"/>
        <v/>
      </c>
      <c r="B681" s="26" t="str">
        <f t="shared" si="2"/>
        <v/>
      </c>
      <c r="C681" s="186" t="str">
        <f t="shared" si="3"/>
        <v/>
      </c>
      <c r="D681" s="187"/>
      <c r="E681" s="174" t="str">
        <f>IFERROR(__xludf.DUMMYFUNCTION("IF(D681&lt;&gt;"""",SPLIT(D681,"" 
""),)"),"")</f>
        <v/>
      </c>
    </row>
    <row r="682">
      <c r="A682" s="26" t="str">
        <f t="shared" si="1"/>
        <v/>
      </c>
      <c r="B682" s="26" t="str">
        <f t="shared" si="2"/>
        <v/>
      </c>
      <c r="C682" s="186" t="str">
        <f t="shared" si="3"/>
        <v/>
      </c>
      <c r="D682" s="187"/>
      <c r="E682" s="174" t="str">
        <f>IFERROR(__xludf.DUMMYFUNCTION("IF(D682&lt;&gt;"""",SPLIT(D682,"" 
""),)"),"")</f>
        <v/>
      </c>
    </row>
    <row r="683">
      <c r="A683" s="26" t="str">
        <f t="shared" si="1"/>
        <v/>
      </c>
      <c r="B683" s="26" t="str">
        <f t="shared" si="2"/>
        <v/>
      </c>
      <c r="C683" s="186" t="str">
        <f t="shared" si="3"/>
        <v/>
      </c>
      <c r="D683" s="187"/>
      <c r="E683" s="174" t="str">
        <f>IFERROR(__xludf.DUMMYFUNCTION("IF(D683&lt;&gt;"""",SPLIT(D683,"" 
""),)"),"")</f>
        <v/>
      </c>
    </row>
    <row r="684">
      <c r="A684" s="26" t="str">
        <f t="shared" si="1"/>
        <v/>
      </c>
      <c r="B684" s="26" t="str">
        <f t="shared" si="2"/>
        <v/>
      </c>
      <c r="C684" s="186" t="str">
        <f t="shared" si="3"/>
        <v/>
      </c>
      <c r="D684" s="187"/>
      <c r="E684" s="174" t="str">
        <f>IFERROR(__xludf.DUMMYFUNCTION("IF(D684&lt;&gt;"""",SPLIT(D684,"" 
""),)"),"")</f>
        <v/>
      </c>
    </row>
    <row r="685">
      <c r="A685" s="26" t="str">
        <f t="shared" si="1"/>
        <v/>
      </c>
      <c r="B685" s="26" t="str">
        <f t="shared" si="2"/>
        <v/>
      </c>
      <c r="C685" s="186" t="str">
        <f t="shared" si="3"/>
        <v/>
      </c>
      <c r="D685" s="187"/>
      <c r="E685" s="174" t="str">
        <f>IFERROR(__xludf.DUMMYFUNCTION("IF(D685&lt;&gt;"""",SPLIT(D685,"" 
""),)"),"")</f>
        <v/>
      </c>
    </row>
    <row r="686">
      <c r="A686" s="26" t="str">
        <f t="shared" si="1"/>
        <v/>
      </c>
      <c r="B686" s="26" t="str">
        <f t="shared" si="2"/>
        <v/>
      </c>
      <c r="C686" s="186" t="str">
        <f t="shared" si="3"/>
        <v/>
      </c>
      <c r="D686" s="187"/>
      <c r="E686" s="174" t="str">
        <f>IFERROR(__xludf.DUMMYFUNCTION("IF(D686&lt;&gt;"""",SPLIT(D686,"" 
""),)"),"")</f>
        <v/>
      </c>
    </row>
    <row r="687">
      <c r="A687" s="26" t="str">
        <f t="shared" si="1"/>
        <v/>
      </c>
      <c r="B687" s="26" t="str">
        <f t="shared" si="2"/>
        <v/>
      </c>
      <c r="C687" s="186" t="str">
        <f t="shared" si="3"/>
        <v/>
      </c>
      <c r="D687" s="187"/>
      <c r="E687" s="174" t="str">
        <f>IFERROR(__xludf.DUMMYFUNCTION("IF(D687&lt;&gt;"""",SPLIT(D687,"" 
""),)"),"")</f>
        <v/>
      </c>
    </row>
    <row r="688">
      <c r="A688" s="26" t="str">
        <f t="shared" si="1"/>
        <v/>
      </c>
      <c r="B688" s="26" t="str">
        <f t="shared" si="2"/>
        <v/>
      </c>
      <c r="C688" s="186" t="str">
        <f t="shared" si="3"/>
        <v/>
      </c>
      <c r="D688" s="187"/>
      <c r="E688" s="174" t="str">
        <f>IFERROR(__xludf.DUMMYFUNCTION("IF(D688&lt;&gt;"""",SPLIT(D688,"" 
""),)"),"")</f>
        <v/>
      </c>
    </row>
    <row r="689">
      <c r="A689" s="26" t="str">
        <f t="shared" si="1"/>
        <v/>
      </c>
      <c r="B689" s="26" t="str">
        <f t="shared" si="2"/>
        <v/>
      </c>
      <c r="C689" s="186" t="str">
        <f t="shared" si="3"/>
        <v/>
      </c>
      <c r="D689" s="187"/>
      <c r="E689" s="174" t="str">
        <f>IFERROR(__xludf.DUMMYFUNCTION("IF(D689&lt;&gt;"""",SPLIT(D689,"" 
""),)"),"")</f>
        <v/>
      </c>
    </row>
    <row r="690">
      <c r="A690" s="26" t="str">
        <f t="shared" si="1"/>
        <v/>
      </c>
      <c r="B690" s="26" t="str">
        <f t="shared" si="2"/>
        <v/>
      </c>
      <c r="C690" s="186" t="str">
        <f t="shared" si="3"/>
        <v/>
      </c>
      <c r="D690" s="187"/>
      <c r="E690" s="174" t="str">
        <f>IFERROR(__xludf.DUMMYFUNCTION("IF(D690&lt;&gt;"""",SPLIT(D690,"" 
""),)"),"")</f>
        <v/>
      </c>
    </row>
    <row r="691">
      <c r="A691" s="26" t="str">
        <f t="shared" si="1"/>
        <v/>
      </c>
      <c r="B691" s="26" t="str">
        <f t="shared" si="2"/>
        <v/>
      </c>
      <c r="C691" s="186" t="str">
        <f t="shared" si="3"/>
        <v/>
      </c>
      <c r="D691" s="187"/>
      <c r="E691" s="174" t="str">
        <f>IFERROR(__xludf.DUMMYFUNCTION("IF(D691&lt;&gt;"""",SPLIT(D691,"" 
""),)"),"")</f>
        <v/>
      </c>
    </row>
    <row r="692">
      <c r="A692" s="26" t="str">
        <f t="shared" si="1"/>
        <v/>
      </c>
      <c r="B692" s="26" t="str">
        <f t="shared" si="2"/>
        <v/>
      </c>
      <c r="C692" s="186" t="str">
        <f t="shared" si="3"/>
        <v/>
      </c>
      <c r="D692" s="187"/>
      <c r="E692" s="174" t="str">
        <f>IFERROR(__xludf.DUMMYFUNCTION("IF(D692&lt;&gt;"""",SPLIT(D692,"" 
""),)"),"")</f>
        <v/>
      </c>
    </row>
    <row r="693">
      <c r="A693" s="26" t="str">
        <f t="shared" si="1"/>
        <v/>
      </c>
      <c r="B693" s="26" t="str">
        <f t="shared" si="2"/>
        <v/>
      </c>
      <c r="C693" s="186" t="str">
        <f t="shared" si="3"/>
        <v/>
      </c>
      <c r="D693" s="187"/>
      <c r="E693" s="174" t="str">
        <f>IFERROR(__xludf.DUMMYFUNCTION("IF(D693&lt;&gt;"""",SPLIT(D693,"" 
""),)"),"")</f>
        <v/>
      </c>
    </row>
    <row r="694">
      <c r="A694" s="26" t="str">
        <f t="shared" si="1"/>
        <v/>
      </c>
      <c r="B694" s="26" t="str">
        <f t="shared" si="2"/>
        <v/>
      </c>
      <c r="C694" s="186" t="str">
        <f t="shared" si="3"/>
        <v/>
      </c>
      <c r="D694" s="187"/>
      <c r="E694" s="174" t="str">
        <f>IFERROR(__xludf.DUMMYFUNCTION("IF(D694&lt;&gt;"""",SPLIT(D694,"" 
""),)"),"")</f>
        <v/>
      </c>
    </row>
    <row r="695">
      <c r="A695" s="26" t="str">
        <f t="shared" si="1"/>
        <v/>
      </c>
      <c r="B695" s="26" t="str">
        <f t="shared" si="2"/>
        <v/>
      </c>
      <c r="C695" s="186" t="str">
        <f t="shared" si="3"/>
        <v/>
      </c>
      <c r="D695" s="187"/>
      <c r="E695" s="174" t="str">
        <f>IFERROR(__xludf.DUMMYFUNCTION("IF(D695&lt;&gt;"""",SPLIT(D695,"" 
""),)"),"")</f>
        <v/>
      </c>
    </row>
    <row r="696">
      <c r="A696" s="26" t="str">
        <f t="shared" si="1"/>
        <v/>
      </c>
      <c r="B696" s="26" t="str">
        <f t="shared" si="2"/>
        <v/>
      </c>
      <c r="C696" s="186" t="str">
        <f t="shared" si="3"/>
        <v/>
      </c>
      <c r="D696" s="187"/>
      <c r="E696" s="174" t="str">
        <f>IFERROR(__xludf.DUMMYFUNCTION("IF(D696&lt;&gt;"""",SPLIT(D696,"" 
""),)"),"")</f>
        <v/>
      </c>
    </row>
    <row r="697">
      <c r="A697" s="26" t="str">
        <f t="shared" si="1"/>
        <v/>
      </c>
      <c r="B697" s="26" t="str">
        <f t="shared" si="2"/>
        <v/>
      </c>
      <c r="C697" s="186" t="str">
        <f t="shared" si="3"/>
        <v/>
      </c>
      <c r="D697" s="187"/>
      <c r="E697" s="174" t="str">
        <f>IFERROR(__xludf.DUMMYFUNCTION("IF(D697&lt;&gt;"""",SPLIT(D697,"" 
""),)"),"")</f>
        <v/>
      </c>
    </row>
    <row r="698">
      <c r="A698" s="26" t="str">
        <f t="shared" si="1"/>
        <v/>
      </c>
      <c r="B698" s="26" t="str">
        <f t="shared" si="2"/>
        <v/>
      </c>
      <c r="C698" s="186" t="str">
        <f t="shared" si="3"/>
        <v/>
      </c>
      <c r="D698" s="187"/>
      <c r="E698" s="174" t="str">
        <f>IFERROR(__xludf.DUMMYFUNCTION("IF(D698&lt;&gt;"""",SPLIT(D698,"" 
""),)"),"")</f>
        <v/>
      </c>
    </row>
    <row r="699">
      <c r="A699" s="26" t="str">
        <f t="shared" si="1"/>
        <v/>
      </c>
      <c r="B699" s="26" t="str">
        <f t="shared" si="2"/>
        <v/>
      </c>
      <c r="C699" s="186" t="str">
        <f t="shared" si="3"/>
        <v/>
      </c>
      <c r="D699" s="187"/>
      <c r="E699" s="174" t="str">
        <f>IFERROR(__xludf.DUMMYFUNCTION("IF(D699&lt;&gt;"""",SPLIT(D699,"" 
""),)"),"")</f>
        <v/>
      </c>
    </row>
    <row r="700">
      <c r="A700" s="26" t="str">
        <f t="shared" si="1"/>
        <v/>
      </c>
      <c r="B700" s="26" t="str">
        <f t="shared" si="2"/>
        <v/>
      </c>
      <c r="C700" s="186" t="str">
        <f t="shared" si="3"/>
        <v/>
      </c>
      <c r="D700" s="187"/>
      <c r="E700" s="174" t="str">
        <f>IFERROR(__xludf.DUMMYFUNCTION("IF(D700&lt;&gt;"""",SPLIT(D700,"" 
""),)"),"")</f>
        <v/>
      </c>
    </row>
    <row r="701">
      <c r="A701" s="26" t="str">
        <f t="shared" si="1"/>
        <v/>
      </c>
      <c r="B701" s="26" t="str">
        <f t="shared" si="2"/>
        <v/>
      </c>
      <c r="C701" s="186" t="str">
        <f t="shared" si="3"/>
        <v/>
      </c>
      <c r="D701" s="187"/>
      <c r="E701" s="174" t="str">
        <f>IFERROR(__xludf.DUMMYFUNCTION("IF(D701&lt;&gt;"""",SPLIT(D701,"" 
""),)"),"")</f>
        <v/>
      </c>
    </row>
    <row r="702">
      <c r="A702" s="26" t="str">
        <f t="shared" si="1"/>
        <v/>
      </c>
      <c r="B702" s="26" t="str">
        <f t="shared" si="2"/>
        <v/>
      </c>
      <c r="C702" s="186" t="str">
        <f t="shared" si="3"/>
        <v/>
      </c>
      <c r="D702" s="187"/>
      <c r="E702" s="174" t="str">
        <f>IFERROR(__xludf.DUMMYFUNCTION("IF(D702&lt;&gt;"""",SPLIT(D702,"" 
""),)"),"")</f>
        <v/>
      </c>
    </row>
    <row r="703">
      <c r="A703" s="26" t="str">
        <f t="shared" si="1"/>
        <v/>
      </c>
      <c r="B703" s="26" t="str">
        <f t="shared" si="2"/>
        <v/>
      </c>
      <c r="C703" s="186" t="str">
        <f t="shared" si="3"/>
        <v/>
      </c>
      <c r="D703" s="187"/>
      <c r="E703" s="174" t="str">
        <f>IFERROR(__xludf.DUMMYFUNCTION("IF(D703&lt;&gt;"""",SPLIT(D703,"" 
""),)"),"")</f>
        <v/>
      </c>
    </row>
    <row r="704">
      <c r="A704" s="26" t="str">
        <f t="shared" si="1"/>
        <v/>
      </c>
      <c r="B704" s="26" t="str">
        <f t="shared" si="2"/>
        <v/>
      </c>
      <c r="C704" s="186" t="str">
        <f t="shared" si="3"/>
        <v/>
      </c>
      <c r="D704" s="187"/>
      <c r="E704" s="174" t="str">
        <f>IFERROR(__xludf.DUMMYFUNCTION("IF(D704&lt;&gt;"""",SPLIT(D704,"" 
""),)"),"")</f>
        <v/>
      </c>
    </row>
    <row r="705">
      <c r="A705" s="26" t="str">
        <f t="shared" si="1"/>
        <v/>
      </c>
      <c r="B705" s="26" t="str">
        <f t="shared" si="2"/>
        <v/>
      </c>
      <c r="C705" s="186" t="str">
        <f t="shared" si="3"/>
        <v/>
      </c>
      <c r="D705" s="187"/>
      <c r="E705" s="174" t="str">
        <f>IFERROR(__xludf.DUMMYFUNCTION("IF(D705&lt;&gt;"""",SPLIT(D705,"" 
""),)"),"")</f>
        <v/>
      </c>
    </row>
    <row r="706">
      <c r="A706" s="26" t="str">
        <f t="shared" si="1"/>
        <v/>
      </c>
      <c r="B706" s="26" t="str">
        <f t="shared" si="2"/>
        <v/>
      </c>
      <c r="C706" s="186" t="str">
        <f t="shared" si="3"/>
        <v/>
      </c>
      <c r="D706" s="187"/>
      <c r="E706" s="174" t="str">
        <f>IFERROR(__xludf.DUMMYFUNCTION("IF(D706&lt;&gt;"""",SPLIT(D706,"" 
""),)"),"")</f>
        <v/>
      </c>
    </row>
    <row r="707">
      <c r="A707" s="26" t="str">
        <f t="shared" si="1"/>
        <v/>
      </c>
      <c r="B707" s="26" t="str">
        <f t="shared" si="2"/>
        <v/>
      </c>
      <c r="C707" s="186" t="str">
        <f t="shared" si="3"/>
        <v/>
      </c>
      <c r="D707" s="187"/>
      <c r="E707" s="174" t="str">
        <f>IFERROR(__xludf.DUMMYFUNCTION("IF(D707&lt;&gt;"""",SPLIT(D707,"" 
""),)"),"")</f>
        <v/>
      </c>
    </row>
    <row r="708">
      <c r="A708" s="26" t="str">
        <f t="shared" si="1"/>
        <v/>
      </c>
      <c r="B708" s="26" t="str">
        <f t="shared" si="2"/>
        <v/>
      </c>
      <c r="C708" s="186" t="str">
        <f t="shared" si="3"/>
        <v/>
      </c>
      <c r="D708" s="187"/>
      <c r="E708" s="174" t="str">
        <f>IFERROR(__xludf.DUMMYFUNCTION("IF(D708&lt;&gt;"""",SPLIT(D708,"" 
""),)"),"")</f>
        <v/>
      </c>
    </row>
    <row r="709">
      <c r="A709" s="26" t="str">
        <f t="shared" si="1"/>
        <v/>
      </c>
      <c r="B709" s="26" t="str">
        <f t="shared" si="2"/>
        <v/>
      </c>
      <c r="C709" s="186" t="str">
        <f t="shared" si="3"/>
        <v/>
      </c>
      <c r="D709" s="187"/>
      <c r="E709" s="174" t="str">
        <f>IFERROR(__xludf.DUMMYFUNCTION("IF(D709&lt;&gt;"""",SPLIT(D709,"" 
""),)"),"")</f>
        <v/>
      </c>
    </row>
    <row r="710">
      <c r="A710" s="26" t="str">
        <f t="shared" si="1"/>
        <v/>
      </c>
      <c r="B710" s="26" t="str">
        <f t="shared" si="2"/>
        <v/>
      </c>
      <c r="C710" s="186" t="str">
        <f t="shared" si="3"/>
        <v/>
      </c>
      <c r="D710" s="187"/>
      <c r="E710" s="174" t="str">
        <f>IFERROR(__xludf.DUMMYFUNCTION("IF(D710&lt;&gt;"""",SPLIT(D710,"" 
""),)"),"")</f>
        <v/>
      </c>
    </row>
    <row r="711">
      <c r="A711" s="26" t="str">
        <f t="shared" si="1"/>
        <v/>
      </c>
      <c r="B711" s="26" t="str">
        <f t="shared" si="2"/>
        <v/>
      </c>
      <c r="C711" s="186" t="str">
        <f t="shared" si="3"/>
        <v/>
      </c>
      <c r="D711" s="187"/>
      <c r="E711" s="174" t="str">
        <f>IFERROR(__xludf.DUMMYFUNCTION("IF(D711&lt;&gt;"""",SPLIT(D711,"" 
""),)"),"")</f>
        <v/>
      </c>
    </row>
    <row r="712">
      <c r="A712" s="26" t="str">
        <f t="shared" si="1"/>
        <v/>
      </c>
      <c r="B712" s="26" t="str">
        <f t="shared" si="2"/>
        <v/>
      </c>
      <c r="C712" s="186" t="str">
        <f t="shared" si="3"/>
        <v/>
      </c>
      <c r="D712" s="187"/>
      <c r="E712" s="174" t="str">
        <f>IFERROR(__xludf.DUMMYFUNCTION("IF(D712&lt;&gt;"""",SPLIT(D712,"" 
""),)"),"")</f>
        <v/>
      </c>
    </row>
    <row r="713">
      <c r="A713" s="26" t="str">
        <f t="shared" si="1"/>
        <v/>
      </c>
      <c r="B713" s="26" t="str">
        <f t="shared" si="2"/>
        <v/>
      </c>
      <c r="C713" s="186" t="str">
        <f t="shared" si="3"/>
        <v/>
      </c>
      <c r="D713" s="187"/>
      <c r="E713" s="174" t="str">
        <f>IFERROR(__xludf.DUMMYFUNCTION("IF(D713&lt;&gt;"""",SPLIT(D713,"" 
""),)"),"")</f>
        <v/>
      </c>
    </row>
    <row r="714">
      <c r="A714" s="26" t="str">
        <f t="shared" si="1"/>
        <v/>
      </c>
      <c r="B714" s="26" t="str">
        <f t="shared" si="2"/>
        <v/>
      </c>
      <c r="C714" s="186" t="str">
        <f t="shared" si="3"/>
        <v/>
      </c>
      <c r="D714" s="187"/>
      <c r="E714" s="174" t="str">
        <f>IFERROR(__xludf.DUMMYFUNCTION("IF(D714&lt;&gt;"""",SPLIT(D714,"" 
""),)"),"")</f>
        <v/>
      </c>
    </row>
    <row r="715">
      <c r="A715" s="26" t="str">
        <f t="shared" si="1"/>
        <v/>
      </c>
      <c r="B715" s="26" t="str">
        <f t="shared" si="2"/>
        <v/>
      </c>
      <c r="C715" s="186" t="str">
        <f t="shared" si="3"/>
        <v/>
      </c>
      <c r="D715" s="187"/>
      <c r="E715" s="174" t="str">
        <f>IFERROR(__xludf.DUMMYFUNCTION("IF(D715&lt;&gt;"""",SPLIT(D715,"" 
""),)"),"")</f>
        <v/>
      </c>
    </row>
    <row r="716">
      <c r="A716" s="26" t="str">
        <f t="shared" si="1"/>
        <v/>
      </c>
      <c r="B716" s="26" t="str">
        <f t="shared" si="2"/>
        <v/>
      </c>
      <c r="C716" s="186" t="str">
        <f t="shared" si="3"/>
        <v/>
      </c>
      <c r="D716" s="187"/>
      <c r="E716" s="174" t="str">
        <f>IFERROR(__xludf.DUMMYFUNCTION("IF(D716&lt;&gt;"""",SPLIT(D716,"" 
""),)"),"")</f>
        <v/>
      </c>
    </row>
    <row r="717">
      <c r="A717" s="26" t="str">
        <f t="shared" si="1"/>
        <v/>
      </c>
      <c r="B717" s="26" t="str">
        <f t="shared" si="2"/>
        <v/>
      </c>
      <c r="C717" s="186" t="str">
        <f t="shared" si="3"/>
        <v/>
      </c>
      <c r="D717" s="187"/>
      <c r="E717" s="174" t="str">
        <f>IFERROR(__xludf.DUMMYFUNCTION("IF(D717&lt;&gt;"""",SPLIT(D717,"" 
""),)"),"")</f>
        <v/>
      </c>
    </row>
    <row r="718">
      <c r="A718" s="26" t="str">
        <f t="shared" si="1"/>
        <v/>
      </c>
      <c r="B718" s="26" t="str">
        <f t="shared" si="2"/>
        <v/>
      </c>
      <c r="C718" s="186" t="str">
        <f t="shared" si="3"/>
        <v/>
      </c>
      <c r="D718" s="187"/>
      <c r="E718" s="174" t="str">
        <f>IFERROR(__xludf.DUMMYFUNCTION("IF(D718&lt;&gt;"""",SPLIT(D718,"" 
""),)"),"")</f>
        <v/>
      </c>
    </row>
    <row r="719">
      <c r="A719" s="26" t="str">
        <f t="shared" si="1"/>
        <v/>
      </c>
      <c r="B719" s="26" t="str">
        <f t="shared" si="2"/>
        <v/>
      </c>
      <c r="C719" s="186" t="str">
        <f t="shared" si="3"/>
        <v/>
      </c>
      <c r="D719" s="187"/>
      <c r="E719" s="174" t="str">
        <f>IFERROR(__xludf.DUMMYFUNCTION("IF(D719&lt;&gt;"""",SPLIT(D719,"" 
""),)"),"")</f>
        <v/>
      </c>
    </row>
    <row r="720">
      <c r="A720" s="26" t="str">
        <f t="shared" si="1"/>
        <v/>
      </c>
      <c r="B720" s="26" t="str">
        <f t="shared" si="2"/>
        <v/>
      </c>
      <c r="C720" s="186" t="str">
        <f t="shared" si="3"/>
        <v/>
      </c>
      <c r="D720" s="187"/>
      <c r="E720" s="174" t="str">
        <f>IFERROR(__xludf.DUMMYFUNCTION("IF(D720&lt;&gt;"""",SPLIT(D720,"" 
""),)"),"")</f>
        <v/>
      </c>
    </row>
    <row r="721">
      <c r="A721" s="26" t="str">
        <f t="shared" si="1"/>
        <v/>
      </c>
      <c r="B721" s="26" t="str">
        <f t="shared" si="2"/>
        <v/>
      </c>
      <c r="C721" s="186" t="str">
        <f t="shared" si="3"/>
        <v/>
      </c>
      <c r="D721" s="187"/>
      <c r="E721" s="174" t="str">
        <f>IFERROR(__xludf.DUMMYFUNCTION("IF(D721&lt;&gt;"""",SPLIT(D721,"" 
""),)"),"")</f>
        <v/>
      </c>
    </row>
    <row r="722">
      <c r="A722" s="26" t="str">
        <f t="shared" si="1"/>
        <v/>
      </c>
      <c r="B722" s="26" t="str">
        <f t="shared" si="2"/>
        <v/>
      </c>
      <c r="C722" s="186" t="str">
        <f t="shared" si="3"/>
        <v/>
      </c>
      <c r="D722" s="187"/>
      <c r="E722" s="174" t="str">
        <f>IFERROR(__xludf.DUMMYFUNCTION("IF(D722&lt;&gt;"""",SPLIT(D722,"" 
""),)"),"")</f>
        <v/>
      </c>
    </row>
    <row r="723">
      <c r="A723" s="26" t="str">
        <f t="shared" si="1"/>
        <v/>
      </c>
      <c r="B723" s="26" t="str">
        <f t="shared" si="2"/>
        <v/>
      </c>
      <c r="C723" s="186" t="str">
        <f t="shared" si="3"/>
        <v/>
      </c>
      <c r="D723" s="187"/>
      <c r="E723" s="174" t="str">
        <f>IFERROR(__xludf.DUMMYFUNCTION("IF(D723&lt;&gt;"""",SPLIT(D723,"" 
""),)"),"")</f>
        <v/>
      </c>
    </row>
    <row r="724">
      <c r="A724" s="26" t="str">
        <f t="shared" si="1"/>
        <v/>
      </c>
      <c r="B724" s="26" t="str">
        <f t="shared" si="2"/>
        <v/>
      </c>
      <c r="C724" s="186" t="str">
        <f t="shared" si="3"/>
        <v/>
      </c>
      <c r="D724" s="187"/>
      <c r="E724" s="174" t="str">
        <f>IFERROR(__xludf.DUMMYFUNCTION("IF(D724&lt;&gt;"""",SPLIT(D724,"" 
""),)"),"")</f>
        <v/>
      </c>
    </row>
    <row r="725">
      <c r="A725" s="26" t="str">
        <f t="shared" si="1"/>
        <v/>
      </c>
      <c r="B725" s="26" t="str">
        <f t="shared" si="2"/>
        <v/>
      </c>
      <c r="C725" s="186" t="str">
        <f t="shared" si="3"/>
        <v/>
      </c>
      <c r="D725" s="187"/>
      <c r="E725" s="174" t="str">
        <f>IFERROR(__xludf.DUMMYFUNCTION("IF(D725&lt;&gt;"""",SPLIT(D725,"" 
""),)"),"")</f>
        <v/>
      </c>
    </row>
    <row r="726">
      <c r="A726" s="26" t="str">
        <f t="shared" si="1"/>
        <v/>
      </c>
      <c r="B726" s="26" t="str">
        <f t="shared" si="2"/>
        <v/>
      </c>
      <c r="C726" s="186" t="str">
        <f t="shared" si="3"/>
        <v/>
      </c>
      <c r="D726" s="187"/>
      <c r="E726" s="174" t="str">
        <f>IFERROR(__xludf.DUMMYFUNCTION("IF(D726&lt;&gt;"""",SPLIT(D726,"" 
""),)"),"")</f>
        <v/>
      </c>
    </row>
    <row r="727">
      <c r="A727" s="26" t="str">
        <f t="shared" si="1"/>
        <v/>
      </c>
      <c r="B727" s="26" t="str">
        <f t="shared" si="2"/>
        <v/>
      </c>
      <c r="C727" s="186" t="str">
        <f t="shared" si="3"/>
        <v/>
      </c>
      <c r="D727" s="187"/>
      <c r="E727" s="174" t="str">
        <f>IFERROR(__xludf.DUMMYFUNCTION("IF(D727&lt;&gt;"""",SPLIT(D727,"" 
""),)"),"")</f>
        <v/>
      </c>
    </row>
    <row r="728">
      <c r="A728" s="26" t="str">
        <f t="shared" si="1"/>
        <v/>
      </c>
      <c r="B728" s="26" t="str">
        <f t="shared" si="2"/>
        <v/>
      </c>
      <c r="C728" s="186" t="str">
        <f t="shared" si="3"/>
        <v/>
      </c>
      <c r="D728" s="187"/>
      <c r="E728" s="174" t="str">
        <f>IFERROR(__xludf.DUMMYFUNCTION("IF(D728&lt;&gt;"""",SPLIT(D728,"" 
""),)"),"")</f>
        <v/>
      </c>
    </row>
    <row r="729">
      <c r="A729" s="26" t="str">
        <f t="shared" si="1"/>
        <v/>
      </c>
      <c r="B729" s="26" t="str">
        <f t="shared" si="2"/>
        <v/>
      </c>
      <c r="C729" s="186" t="str">
        <f t="shared" si="3"/>
        <v/>
      </c>
      <c r="D729" s="187"/>
      <c r="E729" s="174" t="str">
        <f>IFERROR(__xludf.DUMMYFUNCTION("IF(D729&lt;&gt;"""",SPLIT(D729,"" 
""),)"),"")</f>
        <v/>
      </c>
    </row>
    <row r="730">
      <c r="A730" s="26" t="str">
        <f t="shared" si="1"/>
        <v/>
      </c>
      <c r="B730" s="26" t="str">
        <f t="shared" si="2"/>
        <v/>
      </c>
      <c r="C730" s="186" t="str">
        <f t="shared" si="3"/>
        <v/>
      </c>
      <c r="D730" s="187"/>
      <c r="E730" s="174" t="str">
        <f>IFERROR(__xludf.DUMMYFUNCTION("IF(D730&lt;&gt;"""",SPLIT(D730,"" 
""),)"),"")</f>
        <v/>
      </c>
    </row>
    <row r="731">
      <c r="A731" s="26" t="str">
        <f t="shared" si="1"/>
        <v/>
      </c>
      <c r="B731" s="26" t="str">
        <f t="shared" si="2"/>
        <v/>
      </c>
      <c r="C731" s="186" t="str">
        <f t="shared" si="3"/>
        <v/>
      </c>
      <c r="D731" s="187"/>
      <c r="E731" s="174" t="str">
        <f>IFERROR(__xludf.DUMMYFUNCTION("IF(D731&lt;&gt;"""",SPLIT(D731,"" 
""),)"),"")</f>
        <v/>
      </c>
    </row>
    <row r="732">
      <c r="A732" s="26" t="str">
        <f t="shared" si="1"/>
        <v/>
      </c>
      <c r="B732" s="26" t="str">
        <f t="shared" si="2"/>
        <v/>
      </c>
      <c r="C732" s="186" t="str">
        <f t="shared" si="3"/>
        <v/>
      </c>
      <c r="D732" s="187"/>
      <c r="E732" s="174" t="str">
        <f>IFERROR(__xludf.DUMMYFUNCTION("IF(D732&lt;&gt;"""",SPLIT(D732,"" 
""),)"),"")</f>
        <v/>
      </c>
    </row>
    <row r="733">
      <c r="A733" s="26" t="str">
        <f t="shared" si="1"/>
        <v/>
      </c>
      <c r="B733" s="26" t="str">
        <f t="shared" si="2"/>
        <v/>
      </c>
      <c r="C733" s="186" t="str">
        <f t="shared" si="3"/>
        <v/>
      </c>
      <c r="D733" s="187"/>
      <c r="E733" s="174" t="str">
        <f>IFERROR(__xludf.DUMMYFUNCTION("IF(D733&lt;&gt;"""",SPLIT(D733,"" 
""),)"),"")</f>
        <v/>
      </c>
    </row>
    <row r="734">
      <c r="A734" s="26" t="str">
        <f t="shared" si="1"/>
        <v/>
      </c>
      <c r="B734" s="26" t="str">
        <f t="shared" si="2"/>
        <v/>
      </c>
      <c r="C734" s="186" t="str">
        <f t="shared" si="3"/>
        <v/>
      </c>
      <c r="D734" s="187"/>
      <c r="E734" s="174" t="str">
        <f>IFERROR(__xludf.DUMMYFUNCTION("IF(D734&lt;&gt;"""",SPLIT(D734,"" 
""),)"),"")</f>
        <v/>
      </c>
    </row>
    <row r="735">
      <c r="A735" s="26" t="str">
        <f t="shared" si="1"/>
        <v/>
      </c>
      <c r="B735" s="26" t="str">
        <f t="shared" si="2"/>
        <v/>
      </c>
      <c r="C735" s="186" t="str">
        <f t="shared" si="3"/>
        <v/>
      </c>
      <c r="D735" s="187"/>
      <c r="E735" s="174" t="str">
        <f>IFERROR(__xludf.DUMMYFUNCTION("IF(D735&lt;&gt;"""",SPLIT(D735,"" 
""),)"),"")</f>
        <v/>
      </c>
    </row>
    <row r="736">
      <c r="A736" s="26" t="str">
        <f t="shared" si="1"/>
        <v/>
      </c>
      <c r="B736" s="26" t="str">
        <f t="shared" si="2"/>
        <v/>
      </c>
      <c r="C736" s="186" t="str">
        <f t="shared" si="3"/>
        <v/>
      </c>
      <c r="D736" s="187"/>
      <c r="E736" s="174" t="str">
        <f>IFERROR(__xludf.DUMMYFUNCTION("IF(D736&lt;&gt;"""",SPLIT(D736,"" 
""),)"),"")</f>
        <v/>
      </c>
    </row>
    <row r="737">
      <c r="A737" s="26" t="str">
        <f t="shared" si="1"/>
        <v/>
      </c>
      <c r="B737" s="26" t="str">
        <f t="shared" si="2"/>
        <v/>
      </c>
      <c r="C737" s="186" t="str">
        <f t="shared" si="3"/>
        <v/>
      </c>
      <c r="D737" s="187"/>
      <c r="E737" s="174" t="str">
        <f>IFERROR(__xludf.DUMMYFUNCTION("IF(D737&lt;&gt;"""",SPLIT(D737,"" 
""),)"),"")</f>
        <v/>
      </c>
    </row>
    <row r="738">
      <c r="A738" s="26" t="str">
        <f t="shared" si="1"/>
        <v/>
      </c>
      <c r="B738" s="26" t="str">
        <f t="shared" si="2"/>
        <v/>
      </c>
      <c r="C738" s="186" t="str">
        <f t="shared" si="3"/>
        <v/>
      </c>
      <c r="D738" s="187"/>
      <c r="E738" s="174" t="str">
        <f>IFERROR(__xludf.DUMMYFUNCTION("IF(D738&lt;&gt;"""",SPLIT(D738,"" 
""),)"),"")</f>
        <v/>
      </c>
    </row>
    <row r="739">
      <c r="A739" s="26" t="str">
        <f t="shared" si="1"/>
        <v/>
      </c>
      <c r="B739" s="26" t="str">
        <f t="shared" si="2"/>
        <v/>
      </c>
      <c r="C739" s="186" t="str">
        <f t="shared" si="3"/>
        <v/>
      </c>
      <c r="D739" s="187"/>
      <c r="E739" s="174" t="str">
        <f>IFERROR(__xludf.DUMMYFUNCTION("IF(D739&lt;&gt;"""",SPLIT(D739,"" 
""),)"),"")</f>
        <v/>
      </c>
    </row>
    <row r="740">
      <c r="A740" s="26" t="str">
        <f t="shared" si="1"/>
        <v/>
      </c>
      <c r="B740" s="26" t="str">
        <f t="shared" si="2"/>
        <v/>
      </c>
      <c r="C740" s="186" t="str">
        <f t="shared" si="3"/>
        <v/>
      </c>
      <c r="D740" s="187"/>
      <c r="E740" s="174" t="str">
        <f>IFERROR(__xludf.DUMMYFUNCTION("IF(D740&lt;&gt;"""",SPLIT(D740,"" 
""),)"),"")</f>
        <v/>
      </c>
    </row>
    <row r="741">
      <c r="A741" s="26" t="str">
        <f t="shared" si="1"/>
        <v/>
      </c>
      <c r="B741" s="26" t="str">
        <f t="shared" si="2"/>
        <v/>
      </c>
      <c r="C741" s="186" t="str">
        <f t="shared" si="3"/>
        <v/>
      </c>
      <c r="D741" s="187"/>
      <c r="E741" s="174" t="str">
        <f>IFERROR(__xludf.DUMMYFUNCTION("IF(D741&lt;&gt;"""",SPLIT(D741,"" 
""),)"),"")</f>
        <v/>
      </c>
    </row>
    <row r="742">
      <c r="A742" s="26" t="str">
        <f t="shared" si="1"/>
        <v/>
      </c>
      <c r="B742" s="26" t="str">
        <f t="shared" si="2"/>
        <v/>
      </c>
      <c r="C742" s="186" t="str">
        <f t="shared" si="3"/>
        <v/>
      </c>
      <c r="D742" s="187"/>
      <c r="E742" s="174" t="str">
        <f>IFERROR(__xludf.DUMMYFUNCTION("IF(D742&lt;&gt;"""",SPLIT(D742,"" 
""),)"),"")</f>
        <v/>
      </c>
    </row>
    <row r="743">
      <c r="A743" s="26" t="str">
        <f t="shared" si="1"/>
        <v/>
      </c>
      <c r="B743" s="26" t="str">
        <f t="shared" si="2"/>
        <v/>
      </c>
      <c r="C743" s="186" t="str">
        <f t="shared" si="3"/>
        <v/>
      </c>
      <c r="D743" s="187"/>
      <c r="E743" s="174" t="str">
        <f>IFERROR(__xludf.DUMMYFUNCTION("IF(D743&lt;&gt;"""",SPLIT(D743,"" 
""),)"),"")</f>
        <v/>
      </c>
    </row>
    <row r="744">
      <c r="A744" s="26" t="str">
        <f t="shared" si="1"/>
        <v/>
      </c>
      <c r="B744" s="26" t="str">
        <f t="shared" si="2"/>
        <v/>
      </c>
      <c r="C744" s="186" t="str">
        <f t="shared" si="3"/>
        <v/>
      </c>
      <c r="D744" s="187"/>
      <c r="E744" s="174" t="str">
        <f>IFERROR(__xludf.DUMMYFUNCTION("IF(D744&lt;&gt;"""",SPLIT(D744,"" 
""),)"),"")</f>
        <v/>
      </c>
    </row>
    <row r="745">
      <c r="A745" s="26" t="str">
        <f t="shared" si="1"/>
        <v/>
      </c>
      <c r="B745" s="26" t="str">
        <f t="shared" si="2"/>
        <v/>
      </c>
      <c r="C745" s="186" t="str">
        <f t="shared" si="3"/>
        <v/>
      </c>
      <c r="D745" s="187"/>
      <c r="E745" s="174" t="str">
        <f>IFERROR(__xludf.DUMMYFUNCTION("IF(D745&lt;&gt;"""",SPLIT(D745,"" 
""),)"),"")</f>
        <v/>
      </c>
    </row>
    <row r="746">
      <c r="A746" s="26" t="str">
        <f t="shared" si="1"/>
        <v/>
      </c>
      <c r="B746" s="26" t="str">
        <f t="shared" si="2"/>
        <v/>
      </c>
      <c r="C746" s="186" t="str">
        <f t="shared" si="3"/>
        <v/>
      </c>
      <c r="D746" s="187"/>
      <c r="E746" s="174" t="str">
        <f>IFERROR(__xludf.DUMMYFUNCTION("IF(D746&lt;&gt;"""",SPLIT(D746,"" 
""),)"),"")</f>
        <v/>
      </c>
    </row>
    <row r="747">
      <c r="A747" s="26" t="str">
        <f t="shared" si="1"/>
        <v/>
      </c>
      <c r="B747" s="26" t="str">
        <f t="shared" si="2"/>
        <v/>
      </c>
      <c r="C747" s="186" t="str">
        <f t="shared" si="3"/>
        <v/>
      </c>
      <c r="D747" s="187"/>
      <c r="E747" s="174" t="str">
        <f>IFERROR(__xludf.DUMMYFUNCTION("IF(D747&lt;&gt;"""",SPLIT(D747,"" 
""),)"),"")</f>
        <v/>
      </c>
    </row>
    <row r="748">
      <c r="A748" s="26" t="str">
        <f t="shared" si="1"/>
        <v/>
      </c>
      <c r="B748" s="26" t="str">
        <f t="shared" si="2"/>
        <v/>
      </c>
      <c r="C748" s="186" t="str">
        <f t="shared" si="3"/>
        <v/>
      </c>
      <c r="D748" s="187"/>
      <c r="E748" s="174" t="str">
        <f>IFERROR(__xludf.DUMMYFUNCTION("IF(D748&lt;&gt;"""",SPLIT(D748,"" 
""),)"),"")</f>
        <v/>
      </c>
    </row>
    <row r="749">
      <c r="A749" s="26" t="str">
        <f t="shared" si="1"/>
        <v/>
      </c>
      <c r="B749" s="26" t="str">
        <f t="shared" si="2"/>
        <v/>
      </c>
      <c r="C749" s="186" t="str">
        <f t="shared" si="3"/>
        <v/>
      </c>
      <c r="D749" s="187"/>
      <c r="E749" s="174" t="str">
        <f>IFERROR(__xludf.DUMMYFUNCTION("IF(D749&lt;&gt;"""",SPLIT(D749,"" 
""),)"),"")</f>
        <v/>
      </c>
    </row>
    <row r="750">
      <c r="A750" s="26" t="str">
        <f t="shared" si="1"/>
        <v/>
      </c>
      <c r="B750" s="26" t="str">
        <f t="shared" si="2"/>
        <v/>
      </c>
      <c r="C750" s="186" t="str">
        <f t="shared" si="3"/>
        <v/>
      </c>
      <c r="D750" s="187"/>
      <c r="E750" s="174" t="str">
        <f>IFERROR(__xludf.DUMMYFUNCTION("IF(D750&lt;&gt;"""",SPLIT(D750,"" 
""),)"),"")</f>
        <v/>
      </c>
    </row>
    <row r="751">
      <c r="A751" s="26" t="str">
        <f t="shared" si="1"/>
        <v/>
      </c>
      <c r="B751" s="26" t="str">
        <f t="shared" si="2"/>
        <v/>
      </c>
      <c r="C751" s="186" t="str">
        <f t="shared" si="3"/>
        <v/>
      </c>
      <c r="D751" s="187"/>
      <c r="E751" s="174" t="str">
        <f>IFERROR(__xludf.DUMMYFUNCTION("IF(D751&lt;&gt;"""",SPLIT(D751,"" 
""),)"),"")</f>
        <v/>
      </c>
    </row>
    <row r="752">
      <c r="A752" s="26" t="str">
        <f t="shared" si="1"/>
        <v/>
      </c>
      <c r="B752" s="26" t="str">
        <f t="shared" si="2"/>
        <v/>
      </c>
      <c r="C752" s="186" t="str">
        <f t="shared" si="3"/>
        <v/>
      </c>
      <c r="D752" s="187"/>
      <c r="E752" s="174" t="str">
        <f>IFERROR(__xludf.DUMMYFUNCTION("IF(D752&lt;&gt;"""",SPLIT(D752,"" 
""),)"),"")</f>
        <v/>
      </c>
    </row>
    <row r="753">
      <c r="A753" s="26" t="str">
        <f t="shared" si="1"/>
        <v/>
      </c>
      <c r="B753" s="26" t="str">
        <f t="shared" si="2"/>
        <v/>
      </c>
      <c r="C753" s="186" t="str">
        <f t="shared" si="3"/>
        <v/>
      </c>
      <c r="D753" s="187"/>
      <c r="E753" s="174" t="str">
        <f>IFERROR(__xludf.DUMMYFUNCTION("IF(D753&lt;&gt;"""",SPLIT(D753,"" 
""),)"),"")</f>
        <v/>
      </c>
    </row>
    <row r="754">
      <c r="A754" s="26" t="str">
        <f t="shared" si="1"/>
        <v/>
      </c>
      <c r="B754" s="26" t="str">
        <f t="shared" si="2"/>
        <v/>
      </c>
      <c r="C754" s="186" t="str">
        <f t="shared" si="3"/>
        <v/>
      </c>
      <c r="D754" s="187"/>
      <c r="E754" s="174" t="str">
        <f>IFERROR(__xludf.DUMMYFUNCTION("IF(D754&lt;&gt;"""",SPLIT(D754,"" 
""),)"),"")</f>
        <v/>
      </c>
    </row>
    <row r="755">
      <c r="A755" s="26" t="str">
        <f t="shared" si="1"/>
        <v/>
      </c>
      <c r="B755" s="26" t="str">
        <f t="shared" si="2"/>
        <v/>
      </c>
      <c r="C755" s="186" t="str">
        <f t="shared" si="3"/>
        <v/>
      </c>
      <c r="D755" s="187"/>
      <c r="E755" s="174" t="str">
        <f>IFERROR(__xludf.DUMMYFUNCTION("IF(D755&lt;&gt;"""",SPLIT(D755,"" 
""),)"),"")</f>
        <v/>
      </c>
    </row>
    <row r="756">
      <c r="A756" s="26" t="str">
        <f t="shared" si="1"/>
        <v/>
      </c>
      <c r="B756" s="26" t="str">
        <f t="shared" si="2"/>
        <v/>
      </c>
      <c r="C756" s="186" t="str">
        <f t="shared" si="3"/>
        <v/>
      </c>
      <c r="D756" s="187"/>
      <c r="E756" s="174" t="str">
        <f>IFERROR(__xludf.DUMMYFUNCTION("IF(D756&lt;&gt;"""",SPLIT(D756,"" 
""),)"),"")</f>
        <v/>
      </c>
    </row>
    <row r="757">
      <c r="A757" s="26" t="str">
        <f t="shared" si="1"/>
        <v/>
      </c>
      <c r="B757" s="26" t="str">
        <f t="shared" si="2"/>
        <v/>
      </c>
      <c r="C757" s="186" t="str">
        <f t="shared" si="3"/>
        <v/>
      </c>
      <c r="D757" s="187"/>
      <c r="E757" s="174" t="str">
        <f>IFERROR(__xludf.DUMMYFUNCTION("IF(D757&lt;&gt;"""",SPLIT(D757,"" 
""),)"),"")</f>
        <v/>
      </c>
    </row>
    <row r="758">
      <c r="A758" s="26" t="str">
        <f t="shared" si="1"/>
        <v/>
      </c>
      <c r="B758" s="26" t="str">
        <f t="shared" si="2"/>
        <v/>
      </c>
      <c r="C758" s="186" t="str">
        <f t="shared" si="3"/>
        <v/>
      </c>
      <c r="D758" s="187"/>
      <c r="E758" s="174" t="str">
        <f>IFERROR(__xludf.DUMMYFUNCTION("IF(D758&lt;&gt;"""",SPLIT(D758,"" 
""),)"),"")</f>
        <v/>
      </c>
    </row>
    <row r="759">
      <c r="A759" s="26" t="str">
        <f t="shared" si="1"/>
        <v/>
      </c>
      <c r="B759" s="26" t="str">
        <f t="shared" si="2"/>
        <v/>
      </c>
      <c r="C759" s="186" t="str">
        <f t="shared" si="3"/>
        <v/>
      </c>
      <c r="D759" s="187"/>
      <c r="E759" s="174" t="str">
        <f>IFERROR(__xludf.DUMMYFUNCTION("IF(D759&lt;&gt;"""",SPLIT(D759,"" 
""),)"),"")</f>
        <v/>
      </c>
    </row>
    <row r="760">
      <c r="A760" s="26" t="str">
        <f t="shared" si="1"/>
        <v/>
      </c>
      <c r="B760" s="26" t="str">
        <f t="shared" si="2"/>
        <v/>
      </c>
      <c r="C760" s="186" t="str">
        <f t="shared" si="3"/>
        <v/>
      </c>
      <c r="D760" s="187"/>
      <c r="E760" s="174" t="str">
        <f>IFERROR(__xludf.DUMMYFUNCTION("IF(D760&lt;&gt;"""",SPLIT(D760,"" 
""),)"),"")</f>
        <v/>
      </c>
    </row>
    <row r="761">
      <c r="A761" s="26" t="str">
        <f t="shared" si="1"/>
        <v/>
      </c>
      <c r="B761" s="26" t="str">
        <f t="shared" si="2"/>
        <v/>
      </c>
      <c r="C761" s="186" t="str">
        <f t="shared" si="3"/>
        <v/>
      </c>
      <c r="D761" s="187"/>
      <c r="E761" s="174" t="str">
        <f>IFERROR(__xludf.DUMMYFUNCTION("IF(D761&lt;&gt;"""",SPLIT(D761,"" 
""),)"),"")</f>
        <v/>
      </c>
    </row>
    <row r="762">
      <c r="A762" s="26" t="str">
        <f t="shared" si="1"/>
        <v/>
      </c>
      <c r="B762" s="26" t="str">
        <f t="shared" si="2"/>
        <v/>
      </c>
      <c r="C762" s="186" t="str">
        <f t="shared" si="3"/>
        <v/>
      </c>
      <c r="D762" s="187"/>
      <c r="E762" s="174" t="str">
        <f>IFERROR(__xludf.DUMMYFUNCTION("IF(D762&lt;&gt;"""",SPLIT(D762,"" 
""),)"),"")</f>
        <v/>
      </c>
    </row>
    <row r="763">
      <c r="A763" s="26" t="str">
        <f t="shared" si="1"/>
        <v/>
      </c>
      <c r="B763" s="26" t="str">
        <f t="shared" si="2"/>
        <v/>
      </c>
      <c r="C763" s="186" t="str">
        <f t="shared" si="3"/>
        <v/>
      </c>
      <c r="D763" s="187"/>
      <c r="E763" s="174" t="str">
        <f>IFERROR(__xludf.DUMMYFUNCTION("IF(D763&lt;&gt;"""",SPLIT(D763,"" 
""),)"),"")</f>
        <v/>
      </c>
    </row>
    <row r="764">
      <c r="A764" s="26" t="str">
        <f t="shared" si="1"/>
        <v/>
      </c>
      <c r="B764" s="26" t="str">
        <f t="shared" si="2"/>
        <v/>
      </c>
      <c r="C764" s="186" t="str">
        <f t="shared" si="3"/>
        <v/>
      </c>
      <c r="D764" s="187"/>
      <c r="E764" s="174" t="str">
        <f>IFERROR(__xludf.DUMMYFUNCTION("IF(D764&lt;&gt;"""",SPLIT(D764,"" 
""),)"),"")</f>
        <v/>
      </c>
    </row>
    <row r="765">
      <c r="A765" s="26" t="str">
        <f t="shared" si="1"/>
        <v/>
      </c>
      <c r="B765" s="26" t="str">
        <f t="shared" si="2"/>
        <v/>
      </c>
      <c r="C765" s="186" t="str">
        <f t="shared" si="3"/>
        <v/>
      </c>
      <c r="D765" s="187"/>
      <c r="E765" s="174" t="str">
        <f>IFERROR(__xludf.DUMMYFUNCTION("IF(D765&lt;&gt;"""",SPLIT(D765,"" 
""),)"),"")</f>
        <v/>
      </c>
    </row>
    <row r="766">
      <c r="A766" s="26" t="str">
        <f t="shared" si="1"/>
        <v/>
      </c>
      <c r="B766" s="26" t="str">
        <f t="shared" si="2"/>
        <v/>
      </c>
      <c r="C766" s="186" t="str">
        <f t="shared" si="3"/>
        <v/>
      </c>
      <c r="D766" s="187"/>
      <c r="E766" s="174" t="str">
        <f>IFERROR(__xludf.DUMMYFUNCTION("IF(D766&lt;&gt;"""",SPLIT(D766,"" 
""),)"),"")</f>
        <v/>
      </c>
    </row>
    <row r="767">
      <c r="A767" s="26" t="str">
        <f t="shared" si="1"/>
        <v/>
      </c>
      <c r="B767" s="26" t="str">
        <f t="shared" si="2"/>
        <v/>
      </c>
      <c r="C767" s="186" t="str">
        <f t="shared" si="3"/>
        <v/>
      </c>
      <c r="D767" s="187"/>
      <c r="E767" s="174" t="str">
        <f>IFERROR(__xludf.DUMMYFUNCTION("IF(D767&lt;&gt;"""",SPLIT(D767,"" 
""),)"),"")</f>
        <v/>
      </c>
    </row>
    <row r="768">
      <c r="A768" s="26" t="str">
        <f t="shared" si="1"/>
        <v/>
      </c>
      <c r="B768" s="26" t="str">
        <f t="shared" si="2"/>
        <v/>
      </c>
      <c r="C768" s="186" t="str">
        <f t="shared" si="3"/>
        <v/>
      </c>
      <c r="D768" s="187"/>
      <c r="E768" s="174" t="str">
        <f>IFERROR(__xludf.DUMMYFUNCTION("IF(D768&lt;&gt;"""",SPLIT(D768,"" 
""),)"),"")</f>
        <v/>
      </c>
    </row>
    <row r="769">
      <c r="A769" s="26" t="str">
        <f t="shared" si="1"/>
        <v/>
      </c>
      <c r="B769" s="26" t="str">
        <f t="shared" si="2"/>
        <v/>
      </c>
      <c r="C769" s="186" t="str">
        <f t="shared" si="3"/>
        <v/>
      </c>
      <c r="D769" s="187"/>
      <c r="E769" s="174" t="str">
        <f>IFERROR(__xludf.DUMMYFUNCTION("IF(D769&lt;&gt;"""",SPLIT(D769,"" 
""),)"),"")</f>
        <v/>
      </c>
    </row>
    <row r="770">
      <c r="A770" s="26" t="str">
        <f t="shared" si="1"/>
        <v/>
      </c>
      <c r="B770" s="26" t="str">
        <f t="shared" si="2"/>
        <v/>
      </c>
      <c r="C770" s="186" t="str">
        <f t="shared" si="3"/>
        <v/>
      </c>
      <c r="D770" s="187"/>
      <c r="E770" s="174" t="str">
        <f>IFERROR(__xludf.DUMMYFUNCTION("IF(D770&lt;&gt;"""",SPLIT(D770,"" 
""),)"),"")</f>
        <v/>
      </c>
    </row>
    <row r="771">
      <c r="A771" s="26" t="str">
        <f t="shared" si="1"/>
        <v/>
      </c>
      <c r="B771" s="26" t="str">
        <f t="shared" si="2"/>
        <v/>
      </c>
      <c r="C771" s="186" t="str">
        <f t="shared" si="3"/>
        <v/>
      </c>
      <c r="D771" s="187"/>
      <c r="E771" s="174" t="str">
        <f>IFERROR(__xludf.DUMMYFUNCTION("IF(D771&lt;&gt;"""",SPLIT(D771,"" 
""),)"),"")</f>
        <v/>
      </c>
    </row>
    <row r="772">
      <c r="A772" s="26" t="str">
        <f t="shared" si="1"/>
        <v/>
      </c>
      <c r="B772" s="26" t="str">
        <f t="shared" si="2"/>
        <v/>
      </c>
      <c r="C772" s="186" t="str">
        <f t="shared" si="3"/>
        <v/>
      </c>
      <c r="D772" s="187"/>
      <c r="E772" s="174" t="str">
        <f>IFERROR(__xludf.DUMMYFUNCTION("IF(D772&lt;&gt;"""",SPLIT(D772,"" 
""),)"),"")</f>
        <v/>
      </c>
    </row>
    <row r="773">
      <c r="A773" s="26" t="str">
        <f t="shared" si="1"/>
        <v/>
      </c>
      <c r="B773" s="26" t="str">
        <f t="shared" si="2"/>
        <v/>
      </c>
      <c r="C773" s="186" t="str">
        <f t="shared" si="3"/>
        <v/>
      </c>
      <c r="D773" s="187"/>
      <c r="E773" s="174" t="str">
        <f>IFERROR(__xludf.DUMMYFUNCTION("IF(D773&lt;&gt;"""",SPLIT(D773,"" 
""),)"),"")</f>
        <v/>
      </c>
    </row>
    <row r="774">
      <c r="A774" s="26" t="str">
        <f t="shared" si="1"/>
        <v/>
      </c>
      <c r="B774" s="26" t="str">
        <f t="shared" si="2"/>
        <v/>
      </c>
      <c r="C774" s="186" t="str">
        <f t="shared" si="3"/>
        <v/>
      </c>
      <c r="D774" s="187"/>
      <c r="E774" s="174" t="str">
        <f>IFERROR(__xludf.DUMMYFUNCTION("IF(D774&lt;&gt;"""",SPLIT(D774,"" 
""),)"),"")</f>
        <v/>
      </c>
    </row>
    <row r="775">
      <c r="A775" s="26" t="str">
        <f t="shared" si="1"/>
        <v/>
      </c>
      <c r="B775" s="26" t="str">
        <f t="shared" si="2"/>
        <v/>
      </c>
      <c r="C775" s="186" t="str">
        <f t="shared" si="3"/>
        <v/>
      </c>
      <c r="D775" s="187"/>
      <c r="E775" s="174" t="str">
        <f>IFERROR(__xludf.DUMMYFUNCTION("IF(D775&lt;&gt;"""",SPLIT(D775,"" 
""),)"),"")</f>
        <v/>
      </c>
    </row>
    <row r="776">
      <c r="A776" s="26" t="str">
        <f t="shared" si="1"/>
        <v/>
      </c>
      <c r="B776" s="26" t="str">
        <f t="shared" si="2"/>
        <v/>
      </c>
      <c r="C776" s="186" t="str">
        <f t="shared" si="3"/>
        <v/>
      </c>
      <c r="D776" s="187"/>
      <c r="E776" s="174" t="str">
        <f>IFERROR(__xludf.DUMMYFUNCTION("IF(D776&lt;&gt;"""",SPLIT(D776,"" 
""),)"),"")</f>
        <v/>
      </c>
    </row>
    <row r="777">
      <c r="A777" s="26" t="str">
        <f t="shared" si="1"/>
        <v/>
      </c>
      <c r="B777" s="26" t="str">
        <f t="shared" si="2"/>
        <v/>
      </c>
      <c r="C777" s="186" t="str">
        <f t="shared" si="3"/>
        <v/>
      </c>
      <c r="D777" s="187"/>
      <c r="E777" s="174" t="str">
        <f>IFERROR(__xludf.DUMMYFUNCTION("IF(D777&lt;&gt;"""",SPLIT(D777,"" 
""),)"),"")</f>
        <v/>
      </c>
    </row>
    <row r="778">
      <c r="A778" s="26" t="str">
        <f t="shared" si="1"/>
        <v/>
      </c>
      <c r="B778" s="26" t="str">
        <f t="shared" si="2"/>
        <v/>
      </c>
      <c r="C778" s="186" t="str">
        <f t="shared" si="3"/>
        <v/>
      </c>
      <c r="D778" s="187"/>
      <c r="E778" s="174" t="str">
        <f>IFERROR(__xludf.DUMMYFUNCTION("IF(D778&lt;&gt;"""",SPLIT(D778,"" 
""),)"),"")</f>
        <v/>
      </c>
    </row>
    <row r="779">
      <c r="A779" s="26" t="str">
        <f t="shared" si="1"/>
        <v/>
      </c>
      <c r="B779" s="26" t="str">
        <f t="shared" si="2"/>
        <v/>
      </c>
      <c r="C779" s="186" t="str">
        <f t="shared" si="3"/>
        <v/>
      </c>
      <c r="D779" s="187"/>
      <c r="E779" s="174" t="str">
        <f>IFERROR(__xludf.DUMMYFUNCTION("IF(D779&lt;&gt;"""",SPLIT(D779,"" 
""),)"),"")</f>
        <v/>
      </c>
    </row>
    <row r="780">
      <c r="A780" s="26" t="str">
        <f t="shared" si="1"/>
        <v/>
      </c>
      <c r="B780" s="26" t="str">
        <f t="shared" si="2"/>
        <v/>
      </c>
      <c r="C780" s="186" t="str">
        <f t="shared" si="3"/>
        <v/>
      </c>
      <c r="D780" s="187"/>
      <c r="E780" s="174" t="str">
        <f>IFERROR(__xludf.DUMMYFUNCTION("IF(D780&lt;&gt;"""",SPLIT(D780,"" 
""),)"),"")</f>
        <v/>
      </c>
    </row>
    <row r="781">
      <c r="A781" s="26" t="str">
        <f t="shared" si="1"/>
        <v/>
      </c>
      <c r="B781" s="26" t="str">
        <f t="shared" si="2"/>
        <v/>
      </c>
      <c r="C781" s="186" t="str">
        <f t="shared" si="3"/>
        <v/>
      </c>
      <c r="D781" s="187"/>
      <c r="E781" s="174" t="str">
        <f>IFERROR(__xludf.DUMMYFUNCTION("IF(D781&lt;&gt;"""",SPLIT(D781,"" 
""),)"),"")</f>
        <v/>
      </c>
    </row>
    <row r="782">
      <c r="A782" s="26" t="str">
        <f t="shared" si="1"/>
        <v/>
      </c>
      <c r="B782" s="26" t="str">
        <f t="shared" si="2"/>
        <v/>
      </c>
      <c r="C782" s="186" t="str">
        <f t="shared" si="3"/>
        <v/>
      </c>
      <c r="D782" s="187"/>
      <c r="E782" s="174" t="str">
        <f>IFERROR(__xludf.DUMMYFUNCTION("IF(D782&lt;&gt;"""",SPLIT(D782,"" 
""),)"),"")</f>
        <v/>
      </c>
    </row>
    <row r="783">
      <c r="A783" s="26" t="str">
        <f t="shared" si="1"/>
        <v/>
      </c>
      <c r="B783" s="26" t="str">
        <f t="shared" si="2"/>
        <v/>
      </c>
      <c r="C783" s="186" t="str">
        <f t="shared" si="3"/>
        <v/>
      </c>
      <c r="D783" s="187"/>
      <c r="E783" s="174" t="str">
        <f>IFERROR(__xludf.DUMMYFUNCTION("IF(D783&lt;&gt;"""",SPLIT(D783,"" 
""),)"),"")</f>
        <v/>
      </c>
    </row>
    <row r="784">
      <c r="A784" s="26" t="str">
        <f t="shared" si="1"/>
        <v/>
      </c>
      <c r="B784" s="26" t="str">
        <f t="shared" si="2"/>
        <v/>
      </c>
      <c r="C784" s="186" t="str">
        <f t="shared" si="3"/>
        <v/>
      </c>
      <c r="D784" s="187"/>
      <c r="E784" s="174" t="str">
        <f>IFERROR(__xludf.DUMMYFUNCTION("IF(D784&lt;&gt;"""",SPLIT(D784,"" 
""),)"),"")</f>
        <v/>
      </c>
    </row>
    <row r="785">
      <c r="A785" s="26" t="str">
        <f t="shared" si="1"/>
        <v/>
      </c>
      <c r="B785" s="26" t="str">
        <f t="shared" si="2"/>
        <v/>
      </c>
      <c r="C785" s="186" t="str">
        <f t="shared" si="3"/>
        <v/>
      </c>
      <c r="D785" s="187"/>
      <c r="E785" s="174" t="str">
        <f>IFERROR(__xludf.DUMMYFUNCTION("IF(D785&lt;&gt;"""",SPLIT(D785,"" 
""),)"),"")</f>
        <v/>
      </c>
    </row>
    <row r="786">
      <c r="A786" s="26" t="str">
        <f t="shared" si="1"/>
        <v/>
      </c>
      <c r="B786" s="26" t="str">
        <f t="shared" si="2"/>
        <v/>
      </c>
      <c r="C786" s="186" t="str">
        <f t="shared" si="3"/>
        <v/>
      </c>
      <c r="D786" s="187"/>
      <c r="E786" s="174" t="str">
        <f>IFERROR(__xludf.DUMMYFUNCTION("IF(D786&lt;&gt;"""",SPLIT(D786,"" 
""),)"),"")</f>
        <v/>
      </c>
    </row>
    <row r="787">
      <c r="A787" s="26" t="str">
        <f t="shared" si="1"/>
        <v/>
      </c>
      <c r="B787" s="26" t="str">
        <f t="shared" si="2"/>
        <v/>
      </c>
      <c r="C787" s="186" t="str">
        <f t="shared" si="3"/>
        <v/>
      </c>
      <c r="D787" s="187"/>
      <c r="E787" s="174" t="str">
        <f>IFERROR(__xludf.DUMMYFUNCTION("IF(D787&lt;&gt;"""",SPLIT(D787,"" 
""),)"),"")</f>
        <v/>
      </c>
    </row>
    <row r="788">
      <c r="A788" s="26" t="str">
        <f t="shared" si="1"/>
        <v/>
      </c>
      <c r="B788" s="26" t="str">
        <f t="shared" si="2"/>
        <v/>
      </c>
      <c r="C788" s="186" t="str">
        <f t="shared" si="3"/>
        <v/>
      </c>
      <c r="D788" s="187"/>
      <c r="E788" s="174" t="str">
        <f>IFERROR(__xludf.DUMMYFUNCTION("IF(D788&lt;&gt;"""",SPLIT(D788,"" 
""),)"),"")</f>
        <v/>
      </c>
    </row>
    <row r="789">
      <c r="A789" s="26" t="str">
        <f t="shared" si="1"/>
        <v/>
      </c>
      <c r="B789" s="26" t="str">
        <f t="shared" si="2"/>
        <v/>
      </c>
      <c r="C789" s="186" t="str">
        <f t="shared" si="3"/>
        <v/>
      </c>
      <c r="D789" s="187"/>
      <c r="E789" s="174" t="str">
        <f>IFERROR(__xludf.DUMMYFUNCTION("IF(D789&lt;&gt;"""",SPLIT(D789,"" 
""),)"),"")</f>
        <v/>
      </c>
    </row>
    <row r="790">
      <c r="A790" s="26" t="str">
        <f t="shared" si="1"/>
        <v/>
      </c>
      <c r="B790" s="26" t="str">
        <f t="shared" si="2"/>
        <v/>
      </c>
      <c r="C790" s="186" t="str">
        <f t="shared" si="3"/>
        <v/>
      </c>
      <c r="D790" s="187"/>
      <c r="E790" s="174" t="str">
        <f>IFERROR(__xludf.DUMMYFUNCTION("IF(D790&lt;&gt;"""",SPLIT(D790,"" 
""),)"),"")</f>
        <v/>
      </c>
    </row>
    <row r="791">
      <c r="A791" s="26" t="str">
        <f t="shared" si="1"/>
        <v/>
      </c>
      <c r="B791" s="26" t="str">
        <f t="shared" si="2"/>
        <v/>
      </c>
      <c r="C791" s="186" t="str">
        <f t="shared" si="3"/>
        <v/>
      </c>
      <c r="D791" s="187"/>
      <c r="E791" s="174" t="str">
        <f>IFERROR(__xludf.DUMMYFUNCTION("IF(D791&lt;&gt;"""",SPLIT(D791,"" 
""),)"),"")</f>
        <v/>
      </c>
    </row>
    <row r="792">
      <c r="A792" s="26" t="str">
        <f t="shared" si="1"/>
        <v/>
      </c>
      <c r="B792" s="26" t="str">
        <f t="shared" si="2"/>
        <v/>
      </c>
      <c r="C792" s="186" t="str">
        <f t="shared" si="3"/>
        <v/>
      </c>
      <c r="D792" s="187"/>
      <c r="E792" s="174" t="str">
        <f>IFERROR(__xludf.DUMMYFUNCTION("IF(D792&lt;&gt;"""",SPLIT(D792,"" 
""),)"),"")</f>
        <v/>
      </c>
    </row>
    <row r="793">
      <c r="A793" s="26" t="str">
        <f t="shared" si="1"/>
        <v/>
      </c>
      <c r="B793" s="26" t="str">
        <f t="shared" si="2"/>
        <v/>
      </c>
      <c r="C793" s="186" t="str">
        <f t="shared" si="3"/>
        <v/>
      </c>
      <c r="D793" s="187"/>
      <c r="E793" s="174" t="str">
        <f>IFERROR(__xludf.DUMMYFUNCTION("IF(D793&lt;&gt;"""",SPLIT(D793,"" 
""),)"),"")</f>
        <v/>
      </c>
    </row>
    <row r="794">
      <c r="A794" s="26" t="str">
        <f t="shared" si="1"/>
        <v/>
      </c>
      <c r="B794" s="26" t="str">
        <f t="shared" si="2"/>
        <v/>
      </c>
      <c r="C794" s="186" t="str">
        <f t="shared" si="3"/>
        <v/>
      </c>
      <c r="D794" s="187"/>
      <c r="E794" s="174" t="str">
        <f>IFERROR(__xludf.DUMMYFUNCTION("IF(D794&lt;&gt;"""",SPLIT(D794,"" 
""),)"),"")</f>
        <v/>
      </c>
    </row>
    <row r="795">
      <c r="A795" s="26" t="str">
        <f t="shared" si="1"/>
        <v/>
      </c>
      <c r="B795" s="26" t="str">
        <f t="shared" si="2"/>
        <v/>
      </c>
      <c r="C795" s="186" t="str">
        <f t="shared" si="3"/>
        <v/>
      </c>
      <c r="D795" s="187"/>
      <c r="E795" s="174" t="str">
        <f>IFERROR(__xludf.DUMMYFUNCTION("IF(D795&lt;&gt;"""",SPLIT(D795,"" 
""),)"),"")</f>
        <v/>
      </c>
    </row>
    <row r="796">
      <c r="A796" s="26" t="str">
        <f t="shared" si="1"/>
        <v/>
      </c>
      <c r="B796" s="26" t="str">
        <f t="shared" si="2"/>
        <v/>
      </c>
      <c r="C796" s="186" t="str">
        <f t="shared" si="3"/>
        <v/>
      </c>
      <c r="D796" s="187"/>
      <c r="E796" s="174" t="str">
        <f>IFERROR(__xludf.DUMMYFUNCTION("IF(D796&lt;&gt;"""",SPLIT(D796,"" 
""),)"),"")</f>
        <v/>
      </c>
    </row>
    <row r="797">
      <c r="A797" s="26" t="str">
        <f t="shared" si="1"/>
        <v/>
      </c>
      <c r="B797" s="26" t="str">
        <f t="shared" si="2"/>
        <v/>
      </c>
      <c r="C797" s="186" t="str">
        <f t="shared" si="3"/>
        <v/>
      </c>
      <c r="D797" s="187"/>
      <c r="E797" s="174" t="str">
        <f>IFERROR(__xludf.DUMMYFUNCTION("IF(D797&lt;&gt;"""",SPLIT(D797,"" 
""),)"),"")</f>
        <v/>
      </c>
    </row>
    <row r="798">
      <c r="A798" s="26" t="str">
        <f t="shared" si="1"/>
        <v/>
      </c>
      <c r="B798" s="26" t="str">
        <f t="shared" si="2"/>
        <v/>
      </c>
      <c r="C798" s="186" t="str">
        <f t="shared" si="3"/>
        <v/>
      </c>
      <c r="D798" s="187"/>
      <c r="E798" s="174" t="str">
        <f>IFERROR(__xludf.DUMMYFUNCTION("IF(D798&lt;&gt;"""",SPLIT(D798,"" 
""),)"),"")</f>
        <v/>
      </c>
    </row>
    <row r="799">
      <c r="A799" s="26" t="str">
        <f t="shared" si="1"/>
        <v/>
      </c>
      <c r="B799" s="26" t="str">
        <f t="shared" si="2"/>
        <v/>
      </c>
      <c r="C799" s="186" t="str">
        <f t="shared" si="3"/>
        <v/>
      </c>
      <c r="D799" s="187"/>
      <c r="E799" s="174" t="str">
        <f>IFERROR(__xludf.DUMMYFUNCTION("IF(D799&lt;&gt;"""",SPLIT(D799,"" 
""),)"),"")</f>
        <v/>
      </c>
    </row>
    <row r="800">
      <c r="A800" s="26" t="str">
        <f t="shared" si="1"/>
        <v/>
      </c>
      <c r="B800" s="26" t="str">
        <f t="shared" si="2"/>
        <v/>
      </c>
      <c r="C800" s="186" t="str">
        <f t="shared" si="3"/>
        <v/>
      </c>
      <c r="D800" s="187"/>
      <c r="E800" s="174" t="str">
        <f>IFERROR(__xludf.DUMMYFUNCTION("IF(D800&lt;&gt;"""",SPLIT(D800,"" 
""),)"),"")</f>
        <v/>
      </c>
    </row>
    <row r="801">
      <c r="A801" s="26" t="str">
        <f t="shared" si="1"/>
        <v/>
      </c>
      <c r="B801" s="26" t="str">
        <f t="shared" si="2"/>
        <v/>
      </c>
      <c r="C801" s="186" t="str">
        <f t="shared" si="3"/>
        <v/>
      </c>
      <c r="D801" s="187"/>
      <c r="E801" s="174" t="str">
        <f>IFERROR(__xludf.DUMMYFUNCTION("IF(D801&lt;&gt;"""",SPLIT(D801,"" 
""),)"),"")</f>
        <v/>
      </c>
    </row>
    <row r="802">
      <c r="A802" s="26" t="str">
        <f t="shared" si="1"/>
        <v/>
      </c>
      <c r="B802" s="26" t="str">
        <f t="shared" si="2"/>
        <v/>
      </c>
      <c r="C802" s="186" t="str">
        <f t="shared" si="3"/>
        <v/>
      </c>
      <c r="D802" s="187"/>
      <c r="E802" s="174" t="str">
        <f>IFERROR(__xludf.DUMMYFUNCTION("IF(D802&lt;&gt;"""",SPLIT(D802,"" 
""),)"),"")</f>
        <v/>
      </c>
    </row>
    <row r="803">
      <c r="A803" s="26" t="str">
        <f t="shared" si="1"/>
        <v/>
      </c>
      <c r="B803" s="26" t="str">
        <f t="shared" si="2"/>
        <v/>
      </c>
      <c r="C803" s="186" t="str">
        <f t="shared" si="3"/>
        <v/>
      </c>
      <c r="D803" s="187"/>
      <c r="E803" s="174" t="str">
        <f>IFERROR(__xludf.DUMMYFUNCTION("IF(D803&lt;&gt;"""",SPLIT(D803,"" 
""),)"),"")</f>
        <v/>
      </c>
    </row>
    <row r="804">
      <c r="A804" s="26" t="str">
        <f t="shared" si="1"/>
        <v/>
      </c>
      <c r="B804" s="26" t="str">
        <f t="shared" si="2"/>
        <v/>
      </c>
      <c r="C804" s="186" t="str">
        <f t="shared" si="3"/>
        <v/>
      </c>
      <c r="D804" s="187"/>
      <c r="E804" s="174" t="str">
        <f>IFERROR(__xludf.DUMMYFUNCTION("IF(D804&lt;&gt;"""",SPLIT(D804,"" 
""),)"),"")</f>
        <v/>
      </c>
    </row>
    <row r="805">
      <c r="A805" s="26" t="str">
        <f t="shared" si="1"/>
        <v/>
      </c>
      <c r="B805" s="26" t="str">
        <f t="shared" si="2"/>
        <v/>
      </c>
      <c r="C805" s="186" t="str">
        <f t="shared" si="3"/>
        <v/>
      </c>
      <c r="D805" s="187"/>
      <c r="E805" s="174" t="str">
        <f>IFERROR(__xludf.DUMMYFUNCTION("IF(D805&lt;&gt;"""",SPLIT(D805,"" 
""),)"),"")</f>
        <v/>
      </c>
    </row>
    <row r="806">
      <c r="A806" s="26" t="str">
        <f t="shared" si="1"/>
        <v/>
      </c>
      <c r="B806" s="26" t="str">
        <f t="shared" si="2"/>
        <v/>
      </c>
      <c r="C806" s="186" t="str">
        <f t="shared" si="3"/>
        <v/>
      </c>
      <c r="D806" s="187"/>
      <c r="E806" s="174" t="str">
        <f>IFERROR(__xludf.DUMMYFUNCTION("IF(D806&lt;&gt;"""",SPLIT(D806,"" 
""),)"),"")</f>
        <v/>
      </c>
    </row>
    <row r="807">
      <c r="A807" s="26" t="str">
        <f t="shared" si="1"/>
        <v/>
      </c>
      <c r="B807" s="26" t="str">
        <f t="shared" si="2"/>
        <v/>
      </c>
      <c r="C807" s="186" t="str">
        <f t="shared" si="3"/>
        <v/>
      </c>
      <c r="D807" s="187"/>
      <c r="E807" s="174" t="str">
        <f>IFERROR(__xludf.DUMMYFUNCTION("IF(D807&lt;&gt;"""",SPLIT(D807,"" 
""),)"),"")</f>
        <v/>
      </c>
    </row>
    <row r="808">
      <c r="A808" s="26" t="str">
        <f t="shared" si="1"/>
        <v/>
      </c>
      <c r="B808" s="26" t="str">
        <f t="shared" si="2"/>
        <v/>
      </c>
      <c r="C808" s="186" t="str">
        <f t="shared" si="3"/>
        <v/>
      </c>
      <c r="D808" s="187"/>
      <c r="E808" s="174" t="str">
        <f>IFERROR(__xludf.DUMMYFUNCTION("IF(D808&lt;&gt;"""",SPLIT(D808,"" 
""),)"),"")</f>
        <v/>
      </c>
    </row>
    <row r="809">
      <c r="A809" s="26" t="str">
        <f t="shared" si="1"/>
        <v/>
      </c>
      <c r="B809" s="26" t="str">
        <f t="shared" si="2"/>
        <v/>
      </c>
      <c r="C809" s="186" t="str">
        <f t="shared" si="3"/>
        <v/>
      </c>
      <c r="D809" s="187"/>
      <c r="E809" s="174" t="str">
        <f>IFERROR(__xludf.DUMMYFUNCTION("IF(D809&lt;&gt;"""",SPLIT(D809,"" 
""),)"),"")</f>
        <v/>
      </c>
    </row>
    <row r="810">
      <c r="A810" s="26" t="str">
        <f t="shared" si="1"/>
        <v/>
      </c>
      <c r="B810" s="26" t="str">
        <f t="shared" si="2"/>
        <v/>
      </c>
      <c r="C810" s="186" t="str">
        <f t="shared" si="3"/>
        <v/>
      </c>
      <c r="D810" s="187"/>
      <c r="E810" s="174" t="str">
        <f>IFERROR(__xludf.DUMMYFUNCTION("IF(D810&lt;&gt;"""",SPLIT(D810,"" 
""),)"),"")</f>
        <v/>
      </c>
    </row>
    <row r="811">
      <c r="A811" s="26" t="str">
        <f t="shared" si="1"/>
        <v/>
      </c>
      <c r="B811" s="26" t="str">
        <f t="shared" si="2"/>
        <v/>
      </c>
      <c r="C811" s="186" t="str">
        <f t="shared" si="3"/>
        <v/>
      </c>
      <c r="D811" s="187"/>
      <c r="E811" s="174" t="str">
        <f>IFERROR(__xludf.DUMMYFUNCTION("IF(D811&lt;&gt;"""",SPLIT(D811,"" 
""),)"),"")</f>
        <v/>
      </c>
    </row>
    <row r="812">
      <c r="A812" s="26" t="str">
        <f t="shared" si="1"/>
        <v/>
      </c>
      <c r="B812" s="26" t="str">
        <f t="shared" si="2"/>
        <v/>
      </c>
      <c r="C812" s="186" t="str">
        <f t="shared" si="3"/>
        <v/>
      </c>
      <c r="D812" s="187"/>
      <c r="E812" s="174" t="str">
        <f>IFERROR(__xludf.DUMMYFUNCTION("IF(D812&lt;&gt;"""",SPLIT(D812,"" 
""),)"),"")</f>
        <v/>
      </c>
    </row>
    <row r="813">
      <c r="A813" s="26" t="str">
        <f t="shared" si="1"/>
        <v/>
      </c>
      <c r="B813" s="26" t="str">
        <f t="shared" si="2"/>
        <v/>
      </c>
      <c r="C813" s="186" t="str">
        <f t="shared" si="3"/>
        <v/>
      </c>
      <c r="D813" s="187"/>
      <c r="E813" s="174" t="str">
        <f>IFERROR(__xludf.DUMMYFUNCTION("IF(D813&lt;&gt;"""",SPLIT(D813,"" 
""),)"),"")</f>
        <v/>
      </c>
    </row>
    <row r="814">
      <c r="A814" s="26" t="str">
        <f t="shared" si="1"/>
        <v/>
      </c>
      <c r="B814" s="26" t="str">
        <f t="shared" si="2"/>
        <v/>
      </c>
      <c r="C814" s="186" t="str">
        <f t="shared" si="3"/>
        <v/>
      </c>
      <c r="D814" s="187"/>
      <c r="E814" s="174" t="str">
        <f>IFERROR(__xludf.DUMMYFUNCTION("IF(D814&lt;&gt;"""",SPLIT(D814,"" 
""),)"),"")</f>
        <v/>
      </c>
    </row>
    <row r="815">
      <c r="A815" s="26" t="str">
        <f t="shared" si="1"/>
        <v/>
      </c>
      <c r="B815" s="26" t="str">
        <f t="shared" si="2"/>
        <v/>
      </c>
      <c r="C815" s="186" t="str">
        <f t="shared" si="3"/>
        <v/>
      </c>
      <c r="D815" s="187"/>
      <c r="E815" s="174" t="str">
        <f>IFERROR(__xludf.DUMMYFUNCTION("IF(D815&lt;&gt;"""",SPLIT(D815,"" 
""),)"),"")</f>
        <v/>
      </c>
    </row>
    <row r="816">
      <c r="A816" s="26" t="str">
        <f t="shared" si="1"/>
        <v/>
      </c>
      <c r="B816" s="26" t="str">
        <f t="shared" si="2"/>
        <v/>
      </c>
      <c r="C816" s="186" t="str">
        <f t="shared" si="3"/>
        <v/>
      </c>
      <c r="D816" s="187"/>
      <c r="E816" s="174" t="str">
        <f>IFERROR(__xludf.DUMMYFUNCTION("IF(D816&lt;&gt;"""",SPLIT(D816,"" 
""),)"),"")</f>
        <v/>
      </c>
    </row>
    <row r="817">
      <c r="A817" s="26" t="str">
        <f t="shared" si="1"/>
        <v/>
      </c>
      <c r="B817" s="26" t="str">
        <f t="shared" si="2"/>
        <v/>
      </c>
      <c r="C817" s="186" t="str">
        <f t="shared" si="3"/>
        <v/>
      </c>
      <c r="D817" s="187"/>
      <c r="E817" s="174" t="str">
        <f>IFERROR(__xludf.DUMMYFUNCTION("IF(D817&lt;&gt;"""",SPLIT(D817,"" 
""),)"),"")</f>
        <v/>
      </c>
    </row>
    <row r="818">
      <c r="A818" s="26" t="str">
        <f t="shared" si="1"/>
        <v/>
      </c>
      <c r="B818" s="26" t="str">
        <f t="shared" si="2"/>
        <v/>
      </c>
      <c r="C818" s="186" t="str">
        <f t="shared" si="3"/>
        <v/>
      </c>
      <c r="D818" s="187"/>
      <c r="E818" s="174" t="str">
        <f>IFERROR(__xludf.DUMMYFUNCTION("IF(D818&lt;&gt;"""",SPLIT(D818,"" 
""),)"),"")</f>
        <v/>
      </c>
    </row>
    <row r="819">
      <c r="A819" s="26" t="str">
        <f t="shared" si="1"/>
        <v/>
      </c>
      <c r="B819" s="26" t="str">
        <f t="shared" si="2"/>
        <v/>
      </c>
      <c r="C819" s="186" t="str">
        <f t="shared" si="3"/>
        <v/>
      </c>
      <c r="D819" s="187"/>
      <c r="E819" s="174" t="str">
        <f>IFERROR(__xludf.DUMMYFUNCTION("IF(D819&lt;&gt;"""",SPLIT(D819,"" 
""),)"),"")</f>
        <v/>
      </c>
    </row>
    <row r="820">
      <c r="A820" s="26" t="str">
        <f t="shared" si="1"/>
        <v/>
      </c>
      <c r="B820" s="26" t="str">
        <f t="shared" si="2"/>
        <v/>
      </c>
      <c r="C820" s="186" t="str">
        <f t="shared" si="3"/>
        <v/>
      </c>
      <c r="D820" s="187"/>
      <c r="E820" s="174" t="str">
        <f>IFERROR(__xludf.DUMMYFUNCTION("IF(D820&lt;&gt;"""",SPLIT(D820,"" 
""),)"),"")</f>
        <v/>
      </c>
    </row>
    <row r="821">
      <c r="A821" s="26" t="str">
        <f t="shared" si="1"/>
        <v/>
      </c>
      <c r="B821" s="26" t="str">
        <f t="shared" si="2"/>
        <v/>
      </c>
      <c r="C821" s="186" t="str">
        <f t="shared" si="3"/>
        <v/>
      </c>
      <c r="D821" s="187"/>
      <c r="E821" s="174" t="str">
        <f>IFERROR(__xludf.DUMMYFUNCTION("IF(D821&lt;&gt;"""",SPLIT(D821,"" 
""),)"),"")</f>
        <v/>
      </c>
    </row>
    <row r="822">
      <c r="A822" s="26" t="str">
        <f t="shared" si="1"/>
        <v/>
      </c>
      <c r="B822" s="26" t="str">
        <f t="shared" si="2"/>
        <v/>
      </c>
      <c r="C822" s="186" t="str">
        <f t="shared" si="3"/>
        <v/>
      </c>
      <c r="D822" s="187"/>
      <c r="E822" s="174" t="str">
        <f>IFERROR(__xludf.DUMMYFUNCTION("IF(D822&lt;&gt;"""",SPLIT(D822,"" 
""),)"),"")</f>
        <v/>
      </c>
    </row>
    <row r="823">
      <c r="A823" s="26" t="str">
        <f t="shared" si="1"/>
        <v/>
      </c>
      <c r="B823" s="26" t="str">
        <f t="shared" si="2"/>
        <v/>
      </c>
      <c r="C823" s="186" t="str">
        <f t="shared" si="3"/>
        <v/>
      </c>
      <c r="D823" s="187"/>
      <c r="E823" s="174" t="str">
        <f>IFERROR(__xludf.DUMMYFUNCTION("IF(D823&lt;&gt;"""",SPLIT(D823,"" 
""),)"),"")</f>
        <v/>
      </c>
    </row>
    <row r="824">
      <c r="A824" s="26" t="str">
        <f t="shared" si="1"/>
        <v/>
      </c>
      <c r="B824" s="26" t="str">
        <f t="shared" si="2"/>
        <v/>
      </c>
      <c r="C824" s="186" t="str">
        <f t="shared" si="3"/>
        <v/>
      </c>
      <c r="D824" s="187"/>
      <c r="E824" s="174" t="str">
        <f>IFERROR(__xludf.DUMMYFUNCTION("IF(D824&lt;&gt;"""",SPLIT(D824,"" 
""),)"),"")</f>
        <v/>
      </c>
    </row>
    <row r="825">
      <c r="A825" s="26" t="str">
        <f t="shared" si="1"/>
        <v/>
      </c>
      <c r="B825" s="26" t="str">
        <f t="shared" si="2"/>
        <v/>
      </c>
      <c r="C825" s="186" t="str">
        <f t="shared" si="3"/>
        <v/>
      </c>
      <c r="D825" s="187"/>
      <c r="E825" s="174" t="str">
        <f>IFERROR(__xludf.DUMMYFUNCTION("IF(D825&lt;&gt;"""",SPLIT(D825,"" 
""),)"),"")</f>
        <v/>
      </c>
    </row>
    <row r="826">
      <c r="A826" s="26" t="str">
        <f t="shared" si="1"/>
        <v/>
      </c>
      <c r="B826" s="26" t="str">
        <f t="shared" si="2"/>
        <v/>
      </c>
      <c r="C826" s="186" t="str">
        <f t="shared" si="3"/>
        <v/>
      </c>
      <c r="D826" s="187"/>
      <c r="E826" s="174" t="str">
        <f>IFERROR(__xludf.DUMMYFUNCTION("IF(D826&lt;&gt;"""",SPLIT(D826,"" 
""),)"),"")</f>
        <v/>
      </c>
    </row>
    <row r="827">
      <c r="A827" s="26" t="str">
        <f t="shared" si="1"/>
        <v/>
      </c>
      <c r="B827" s="26" t="str">
        <f t="shared" si="2"/>
        <v/>
      </c>
      <c r="C827" s="186" t="str">
        <f t="shared" si="3"/>
        <v/>
      </c>
      <c r="D827" s="187"/>
      <c r="E827" s="174" t="str">
        <f>IFERROR(__xludf.DUMMYFUNCTION("IF(D827&lt;&gt;"""",SPLIT(D827,"" 
""),)"),"")</f>
        <v/>
      </c>
    </row>
    <row r="828">
      <c r="A828" s="26" t="str">
        <f t="shared" si="1"/>
        <v/>
      </c>
      <c r="B828" s="26" t="str">
        <f t="shared" si="2"/>
        <v/>
      </c>
      <c r="C828" s="186" t="str">
        <f t="shared" si="3"/>
        <v/>
      </c>
      <c r="D828" s="187"/>
      <c r="E828" s="174" t="str">
        <f>IFERROR(__xludf.DUMMYFUNCTION("IF(D828&lt;&gt;"""",SPLIT(D828,"" 
""),)"),"")</f>
        <v/>
      </c>
    </row>
    <row r="829">
      <c r="A829" s="26" t="str">
        <f t="shared" si="1"/>
        <v/>
      </c>
      <c r="B829" s="26" t="str">
        <f t="shared" si="2"/>
        <v/>
      </c>
      <c r="C829" s="186" t="str">
        <f t="shared" si="3"/>
        <v/>
      </c>
      <c r="D829" s="187"/>
      <c r="E829" s="174" t="str">
        <f>IFERROR(__xludf.DUMMYFUNCTION("IF(D829&lt;&gt;"""",SPLIT(D829,"" 
""),)"),"")</f>
        <v/>
      </c>
    </row>
    <row r="830">
      <c r="A830" s="26" t="str">
        <f t="shared" si="1"/>
        <v/>
      </c>
      <c r="B830" s="26" t="str">
        <f t="shared" si="2"/>
        <v/>
      </c>
      <c r="C830" s="186" t="str">
        <f t="shared" si="3"/>
        <v/>
      </c>
      <c r="D830" s="187"/>
      <c r="E830" s="174" t="str">
        <f>IFERROR(__xludf.DUMMYFUNCTION("IF(D830&lt;&gt;"""",SPLIT(D830,"" 
""),)"),"")</f>
        <v/>
      </c>
    </row>
    <row r="831">
      <c r="A831" s="26" t="str">
        <f t="shared" si="1"/>
        <v/>
      </c>
      <c r="B831" s="26" t="str">
        <f t="shared" si="2"/>
        <v/>
      </c>
      <c r="C831" s="186" t="str">
        <f t="shared" si="3"/>
        <v/>
      </c>
      <c r="D831" s="187"/>
      <c r="E831" s="174" t="str">
        <f>IFERROR(__xludf.DUMMYFUNCTION("IF(D831&lt;&gt;"""",SPLIT(D831,"" 
""),)"),"")</f>
        <v/>
      </c>
    </row>
    <row r="832">
      <c r="A832" s="26" t="str">
        <f t="shared" si="1"/>
        <v/>
      </c>
      <c r="B832" s="26" t="str">
        <f t="shared" si="2"/>
        <v/>
      </c>
      <c r="C832" s="186" t="str">
        <f t="shared" si="3"/>
        <v/>
      </c>
      <c r="D832" s="187"/>
      <c r="E832" s="174" t="str">
        <f>IFERROR(__xludf.DUMMYFUNCTION("IF(D832&lt;&gt;"""",SPLIT(D832,"" 
""),)"),"")</f>
        <v/>
      </c>
    </row>
    <row r="833">
      <c r="A833" s="26" t="str">
        <f t="shared" si="1"/>
        <v/>
      </c>
      <c r="B833" s="26" t="str">
        <f t="shared" si="2"/>
        <v/>
      </c>
      <c r="C833" s="186" t="str">
        <f t="shared" si="3"/>
        <v/>
      </c>
      <c r="D833" s="187"/>
      <c r="E833" s="174" t="str">
        <f>IFERROR(__xludf.DUMMYFUNCTION("IF(D833&lt;&gt;"""",SPLIT(D833,"" 
""),)"),"")</f>
        <v/>
      </c>
    </row>
    <row r="834">
      <c r="A834" s="26" t="str">
        <f t="shared" si="1"/>
        <v/>
      </c>
      <c r="B834" s="26" t="str">
        <f t="shared" si="2"/>
        <v/>
      </c>
      <c r="C834" s="186" t="str">
        <f t="shared" si="3"/>
        <v/>
      </c>
      <c r="D834" s="187"/>
      <c r="E834" s="174" t="str">
        <f>IFERROR(__xludf.DUMMYFUNCTION("IF(D834&lt;&gt;"""",SPLIT(D834,"" 
""),)"),"")</f>
        <v/>
      </c>
    </row>
    <row r="835">
      <c r="A835" s="26" t="str">
        <f t="shared" si="1"/>
        <v/>
      </c>
      <c r="B835" s="26" t="str">
        <f t="shared" si="2"/>
        <v/>
      </c>
      <c r="C835" s="186" t="str">
        <f t="shared" si="3"/>
        <v/>
      </c>
      <c r="D835" s="187"/>
      <c r="E835" s="174" t="str">
        <f>IFERROR(__xludf.DUMMYFUNCTION("IF(D835&lt;&gt;"""",SPLIT(D835,"" 
""),)"),"")</f>
        <v/>
      </c>
    </row>
    <row r="836">
      <c r="A836" s="26" t="str">
        <f t="shared" si="1"/>
        <v/>
      </c>
      <c r="B836" s="26" t="str">
        <f t="shared" si="2"/>
        <v/>
      </c>
      <c r="C836" s="186" t="str">
        <f t="shared" si="3"/>
        <v/>
      </c>
      <c r="D836" s="187"/>
      <c r="E836" s="174" t="str">
        <f>IFERROR(__xludf.DUMMYFUNCTION("IF(D836&lt;&gt;"""",SPLIT(D836,"" 
""),)"),"")</f>
        <v/>
      </c>
    </row>
    <row r="837">
      <c r="A837" s="26" t="str">
        <f t="shared" si="1"/>
        <v/>
      </c>
      <c r="B837" s="26" t="str">
        <f t="shared" si="2"/>
        <v/>
      </c>
      <c r="C837" s="186" t="str">
        <f t="shared" si="3"/>
        <v/>
      </c>
      <c r="D837" s="187"/>
      <c r="E837" s="174" t="str">
        <f>IFERROR(__xludf.DUMMYFUNCTION("IF(D837&lt;&gt;"""",SPLIT(D837,"" 
""),)"),"")</f>
        <v/>
      </c>
    </row>
    <row r="838">
      <c r="A838" s="26" t="str">
        <f t="shared" si="1"/>
        <v/>
      </c>
      <c r="B838" s="26" t="str">
        <f t="shared" si="2"/>
        <v/>
      </c>
      <c r="C838" s="186" t="str">
        <f t="shared" si="3"/>
        <v/>
      </c>
      <c r="D838" s="187"/>
      <c r="E838" s="174" t="str">
        <f>IFERROR(__xludf.DUMMYFUNCTION("IF(D838&lt;&gt;"""",SPLIT(D838,"" 
""),)"),"")</f>
        <v/>
      </c>
    </row>
    <row r="839">
      <c r="A839" s="26" t="str">
        <f t="shared" si="1"/>
        <v/>
      </c>
      <c r="B839" s="26" t="str">
        <f t="shared" si="2"/>
        <v/>
      </c>
      <c r="C839" s="186" t="str">
        <f t="shared" si="3"/>
        <v/>
      </c>
      <c r="D839" s="187"/>
      <c r="E839" s="174" t="str">
        <f>IFERROR(__xludf.DUMMYFUNCTION("IF(D839&lt;&gt;"""",SPLIT(D839,"" 
""),)"),"")</f>
        <v/>
      </c>
    </row>
    <row r="840">
      <c r="A840" s="26" t="str">
        <f t="shared" si="1"/>
        <v/>
      </c>
      <c r="B840" s="26" t="str">
        <f t="shared" si="2"/>
        <v/>
      </c>
      <c r="C840" s="186" t="str">
        <f t="shared" si="3"/>
        <v/>
      </c>
      <c r="D840" s="187"/>
      <c r="E840" s="174" t="str">
        <f>IFERROR(__xludf.DUMMYFUNCTION("IF(D840&lt;&gt;"""",SPLIT(D840,"" 
""),)"),"")</f>
        <v/>
      </c>
    </row>
    <row r="841">
      <c r="A841" s="26" t="str">
        <f t="shared" si="1"/>
        <v/>
      </c>
      <c r="B841" s="26" t="str">
        <f t="shared" si="2"/>
        <v/>
      </c>
      <c r="C841" s="186" t="str">
        <f t="shared" si="3"/>
        <v/>
      </c>
      <c r="D841" s="187"/>
      <c r="E841" s="174" t="str">
        <f>IFERROR(__xludf.DUMMYFUNCTION("IF(D841&lt;&gt;"""",SPLIT(D841,"" 
""),)"),"")</f>
        <v/>
      </c>
    </row>
    <row r="842">
      <c r="A842" s="26" t="str">
        <f t="shared" si="1"/>
        <v/>
      </c>
      <c r="B842" s="26" t="str">
        <f t="shared" si="2"/>
        <v/>
      </c>
      <c r="C842" s="186" t="str">
        <f t="shared" si="3"/>
        <v/>
      </c>
      <c r="D842" s="187"/>
      <c r="E842" s="174" t="str">
        <f>IFERROR(__xludf.DUMMYFUNCTION("IF(D842&lt;&gt;"""",SPLIT(D842,"" 
""),)"),"")</f>
        <v/>
      </c>
    </row>
    <row r="843">
      <c r="A843" s="26" t="str">
        <f t="shared" si="1"/>
        <v/>
      </c>
      <c r="B843" s="26" t="str">
        <f t="shared" si="2"/>
        <v/>
      </c>
      <c r="C843" s="186" t="str">
        <f t="shared" si="3"/>
        <v/>
      </c>
      <c r="D843" s="187"/>
      <c r="E843" s="174" t="str">
        <f>IFERROR(__xludf.DUMMYFUNCTION("IF(D843&lt;&gt;"""",SPLIT(D843,"" 
""),)"),"")</f>
        <v/>
      </c>
    </row>
    <row r="844">
      <c r="A844" s="26" t="str">
        <f t="shared" si="1"/>
        <v/>
      </c>
      <c r="B844" s="26" t="str">
        <f t="shared" si="2"/>
        <v/>
      </c>
      <c r="C844" s="186" t="str">
        <f t="shared" si="3"/>
        <v/>
      </c>
      <c r="D844" s="187"/>
      <c r="E844" s="174" t="str">
        <f>IFERROR(__xludf.DUMMYFUNCTION("IF(D844&lt;&gt;"""",SPLIT(D844,"" 
""),)"),"")</f>
        <v/>
      </c>
    </row>
    <row r="845">
      <c r="A845" s="26" t="str">
        <f t="shared" si="1"/>
        <v/>
      </c>
      <c r="B845" s="26" t="str">
        <f t="shared" si="2"/>
        <v/>
      </c>
      <c r="C845" s="186" t="str">
        <f t="shared" si="3"/>
        <v/>
      </c>
      <c r="D845" s="187"/>
      <c r="E845" s="174" t="str">
        <f>IFERROR(__xludf.DUMMYFUNCTION("IF(D845&lt;&gt;"""",SPLIT(D845,"" 
""),)"),"")</f>
        <v/>
      </c>
    </row>
    <row r="846">
      <c r="A846" s="26" t="str">
        <f t="shared" si="1"/>
        <v/>
      </c>
      <c r="B846" s="26" t="str">
        <f t="shared" si="2"/>
        <v/>
      </c>
      <c r="C846" s="186" t="str">
        <f t="shared" si="3"/>
        <v/>
      </c>
      <c r="D846" s="187"/>
      <c r="E846" s="174" t="str">
        <f>IFERROR(__xludf.DUMMYFUNCTION("IF(D846&lt;&gt;"""",SPLIT(D846,"" 
""),)"),"")</f>
        <v/>
      </c>
    </row>
    <row r="847">
      <c r="A847" s="26" t="str">
        <f t="shared" si="1"/>
        <v/>
      </c>
      <c r="B847" s="26" t="str">
        <f t="shared" si="2"/>
        <v/>
      </c>
      <c r="C847" s="186" t="str">
        <f t="shared" si="3"/>
        <v/>
      </c>
      <c r="D847" s="187"/>
      <c r="E847" s="174" t="str">
        <f>IFERROR(__xludf.DUMMYFUNCTION("IF(D847&lt;&gt;"""",SPLIT(D847,"" 
""),)"),"")</f>
        <v/>
      </c>
    </row>
    <row r="848">
      <c r="A848" s="26" t="str">
        <f t="shared" si="1"/>
        <v/>
      </c>
      <c r="B848" s="26" t="str">
        <f t="shared" si="2"/>
        <v/>
      </c>
      <c r="C848" s="186" t="str">
        <f t="shared" si="3"/>
        <v/>
      </c>
      <c r="D848" s="187"/>
      <c r="E848" s="174" t="str">
        <f>IFERROR(__xludf.DUMMYFUNCTION("IF(D848&lt;&gt;"""",SPLIT(D848,"" 
""),)"),"")</f>
        <v/>
      </c>
    </row>
    <row r="849">
      <c r="A849" s="26" t="str">
        <f t="shared" si="1"/>
        <v/>
      </c>
      <c r="B849" s="26" t="str">
        <f t="shared" si="2"/>
        <v/>
      </c>
      <c r="C849" s="186" t="str">
        <f t="shared" si="3"/>
        <v/>
      </c>
      <c r="D849" s="187"/>
      <c r="E849" s="174" t="str">
        <f>IFERROR(__xludf.DUMMYFUNCTION("IF(D849&lt;&gt;"""",SPLIT(D849,"" 
""),)"),"")</f>
        <v/>
      </c>
    </row>
    <row r="850">
      <c r="A850" s="26" t="str">
        <f t="shared" si="1"/>
        <v/>
      </c>
      <c r="B850" s="26" t="str">
        <f t="shared" si="2"/>
        <v/>
      </c>
      <c r="C850" s="186" t="str">
        <f t="shared" si="3"/>
        <v/>
      </c>
      <c r="D850" s="187"/>
      <c r="E850" s="174" t="str">
        <f>IFERROR(__xludf.DUMMYFUNCTION("IF(D850&lt;&gt;"""",SPLIT(D850,"" 
""),)"),"")</f>
        <v/>
      </c>
    </row>
    <row r="851">
      <c r="A851" s="26" t="str">
        <f t="shared" si="1"/>
        <v/>
      </c>
      <c r="B851" s="26" t="str">
        <f t="shared" si="2"/>
        <v/>
      </c>
      <c r="C851" s="186" t="str">
        <f t="shared" si="3"/>
        <v/>
      </c>
      <c r="D851" s="187"/>
      <c r="E851" s="174" t="str">
        <f>IFERROR(__xludf.DUMMYFUNCTION("IF(D851&lt;&gt;"""",SPLIT(D851,"" 
""),)"),"")</f>
        <v/>
      </c>
    </row>
    <row r="852">
      <c r="A852" s="26" t="str">
        <f t="shared" si="1"/>
        <v/>
      </c>
      <c r="B852" s="26" t="str">
        <f t="shared" si="2"/>
        <v/>
      </c>
      <c r="C852" s="186" t="str">
        <f t="shared" si="3"/>
        <v/>
      </c>
      <c r="D852" s="187"/>
      <c r="E852" s="174" t="str">
        <f>IFERROR(__xludf.DUMMYFUNCTION("IF(D852&lt;&gt;"""",SPLIT(D852,"" 
""),)"),"")</f>
        <v/>
      </c>
    </row>
    <row r="853">
      <c r="A853" s="26" t="str">
        <f t="shared" si="1"/>
        <v/>
      </c>
      <c r="B853" s="26" t="str">
        <f t="shared" si="2"/>
        <v/>
      </c>
      <c r="C853" s="186" t="str">
        <f t="shared" si="3"/>
        <v/>
      </c>
      <c r="D853" s="187"/>
      <c r="E853" s="174" t="str">
        <f>IFERROR(__xludf.DUMMYFUNCTION("IF(D853&lt;&gt;"""",SPLIT(D853,"" 
""),)"),"")</f>
        <v/>
      </c>
    </row>
    <row r="854">
      <c r="A854" s="26" t="str">
        <f t="shared" si="1"/>
        <v/>
      </c>
      <c r="B854" s="26" t="str">
        <f t="shared" si="2"/>
        <v/>
      </c>
      <c r="C854" s="186" t="str">
        <f t="shared" si="3"/>
        <v/>
      </c>
      <c r="D854" s="187"/>
      <c r="E854" s="174" t="str">
        <f>IFERROR(__xludf.DUMMYFUNCTION("IF(D854&lt;&gt;"""",SPLIT(D854,"" 
""),)"),"")</f>
        <v/>
      </c>
    </row>
    <row r="855">
      <c r="A855" s="26" t="str">
        <f t="shared" si="1"/>
        <v/>
      </c>
      <c r="B855" s="26" t="str">
        <f t="shared" si="2"/>
        <v/>
      </c>
      <c r="C855" s="186" t="str">
        <f t="shared" si="3"/>
        <v/>
      </c>
      <c r="D855" s="187"/>
      <c r="E855" s="174" t="str">
        <f>IFERROR(__xludf.DUMMYFUNCTION("IF(D855&lt;&gt;"""",SPLIT(D855,"" 
""),)"),"")</f>
        <v/>
      </c>
    </row>
    <row r="856">
      <c r="A856" s="26" t="str">
        <f t="shared" si="1"/>
        <v/>
      </c>
      <c r="B856" s="26" t="str">
        <f t="shared" si="2"/>
        <v/>
      </c>
      <c r="C856" s="186" t="str">
        <f t="shared" si="3"/>
        <v/>
      </c>
      <c r="D856" s="187"/>
      <c r="E856" s="174" t="str">
        <f>IFERROR(__xludf.DUMMYFUNCTION("IF(D856&lt;&gt;"""",SPLIT(D856,"" 
""),)"),"")</f>
        <v/>
      </c>
    </row>
    <row r="857">
      <c r="A857" s="26" t="str">
        <f t="shared" si="1"/>
        <v/>
      </c>
      <c r="B857" s="26" t="str">
        <f t="shared" si="2"/>
        <v/>
      </c>
      <c r="C857" s="186" t="str">
        <f t="shared" si="3"/>
        <v/>
      </c>
      <c r="D857" s="187"/>
      <c r="E857" s="174" t="str">
        <f>IFERROR(__xludf.DUMMYFUNCTION("IF(D857&lt;&gt;"""",SPLIT(D857,"" 
""),)"),"")</f>
        <v/>
      </c>
    </row>
    <row r="858">
      <c r="A858" s="26" t="str">
        <f t="shared" si="1"/>
        <v/>
      </c>
      <c r="B858" s="26" t="str">
        <f t="shared" si="2"/>
        <v/>
      </c>
      <c r="C858" s="186" t="str">
        <f t="shared" si="3"/>
        <v/>
      </c>
      <c r="D858" s="187"/>
      <c r="E858" s="174" t="str">
        <f>IFERROR(__xludf.DUMMYFUNCTION("IF(D858&lt;&gt;"""",SPLIT(D858,"" 
""),)"),"")</f>
        <v/>
      </c>
    </row>
    <row r="859">
      <c r="A859" s="26" t="str">
        <f t="shared" si="1"/>
        <v/>
      </c>
      <c r="B859" s="26" t="str">
        <f t="shared" si="2"/>
        <v/>
      </c>
      <c r="C859" s="186" t="str">
        <f t="shared" si="3"/>
        <v/>
      </c>
      <c r="D859" s="187"/>
      <c r="E859" s="174" t="str">
        <f>IFERROR(__xludf.DUMMYFUNCTION("IF(D859&lt;&gt;"""",SPLIT(D859,"" 
""),)"),"")</f>
        <v/>
      </c>
    </row>
    <row r="860">
      <c r="A860" s="26" t="str">
        <f t="shared" si="1"/>
        <v/>
      </c>
      <c r="B860" s="26" t="str">
        <f t="shared" si="2"/>
        <v/>
      </c>
      <c r="C860" s="186" t="str">
        <f t="shared" si="3"/>
        <v/>
      </c>
      <c r="D860" s="187"/>
      <c r="E860" s="174" t="str">
        <f>IFERROR(__xludf.DUMMYFUNCTION("IF(D860&lt;&gt;"""",SPLIT(D860,"" 
""),)"),"")</f>
        <v/>
      </c>
    </row>
    <row r="861">
      <c r="A861" s="26" t="str">
        <f t="shared" si="1"/>
        <v/>
      </c>
      <c r="B861" s="26" t="str">
        <f t="shared" si="2"/>
        <v/>
      </c>
      <c r="C861" s="186" t="str">
        <f t="shared" si="3"/>
        <v/>
      </c>
      <c r="D861" s="187"/>
      <c r="E861" s="174" t="str">
        <f>IFERROR(__xludf.DUMMYFUNCTION("IF(D861&lt;&gt;"""",SPLIT(D861,"" 
""),)"),"")</f>
        <v/>
      </c>
    </row>
    <row r="862">
      <c r="A862" s="26" t="str">
        <f t="shared" si="1"/>
        <v/>
      </c>
      <c r="B862" s="26" t="str">
        <f t="shared" si="2"/>
        <v/>
      </c>
      <c r="C862" s="186" t="str">
        <f t="shared" si="3"/>
        <v/>
      </c>
      <c r="D862" s="187"/>
      <c r="E862" s="174" t="str">
        <f>IFERROR(__xludf.DUMMYFUNCTION("IF(D862&lt;&gt;"""",SPLIT(D862,"" 
""),)"),"")</f>
        <v/>
      </c>
    </row>
    <row r="863">
      <c r="A863" s="26" t="str">
        <f t="shared" si="1"/>
        <v/>
      </c>
      <c r="B863" s="26" t="str">
        <f t="shared" si="2"/>
        <v/>
      </c>
      <c r="C863" s="186" t="str">
        <f t="shared" si="3"/>
        <v/>
      </c>
      <c r="D863" s="187"/>
      <c r="E863" s="174" t="str">
        <f>IFERROR(__xludf.DUMMYFUNCTION("IF(D863&lt;&gt;"""",SPLIT(D863,"" 
""),)"),"")</f>
        <v/>
      </c>
    </row>
    <row r="864">
      <c r="A864" s="26" t="str">
        <f t="shared" si="1"/>
        <v/>
      </c>
      <c r="B864" s="26" t="str">
        <f t="shared" si="2"/>
        <v/>
      </c>
      <c r="C864" s="186" t="str">
        <f t="shared" si="3"/>
        <v/>
      </c>
      <c r="D864" s="187"/>
      <c r="E864" s="174" t="str">
        <f>IFERROR(__xludf.DUMMYFUNCTION("IF(D864&lt;&gt;"""",SPLIT(D864,"" 
""),)"),"")</f>
        <v/>
      </c>
    </row>
    <row r="865">
      <c r="A865" s="26" t="str">
        <f t="shared" si="1"/>
        <v/>
      </c>
      <c r="B865" s="26" t="str">
        <f t="shared" si="2"/>
        <v/>
      </c>
      <c r="C865" s="186" t="str">
        <f t="shared" si="3"/>
        <v/>
      </c>
      <c r="D865" s="187"/>
      <c r="E865" s="174" t="str">
        <f>IFERROR(__xludf.DUMMYFUNCTION("IF(D865&lt;&gt;"""",SPLIT(D865,"" 
""),)"),"")</f>
        <v/>
      </c>
    </row>
    <row r="866">
      <c r="A866" s="26" t="str">
        <f t="shared" si="1"/>
        <v/>
      </c>
      <c r="B866" s="26" t="str">
        <f t="shared" si="2"/>
        <v/>
      </c>
      <c r="C866" s="186" t="str">
        <f t="shared" si="3"/>
        <v/>
      </c>
      <c r="D866" s="187"/>
      <c r="E866" s="174" t="str">
        <f>IFERROR(__xludf.DUMMYFUNCTION("IF(D866&lt;&gt;"""",SPLIT(D866,"" 
""),)"),"")</f>
        <v/>
      </c>
    </row>
    <row r="867">
      <c r="A867" s="26" t="str">
        <f t="shared" si="1"/>
        <v/>
      </c>
      <c r="B867" s="26" t="str">
        <f t="shared" si="2"/>
        <v/>
      </c>
      <c r="C867" s="186" t="str">
        <f t="shared" si="3"/>
        <v/>
      </c>
      <c r="D867" s="187"/>
      <c r="E867" s="174" t="str">
        <f>IFERROR(__xludf.DUMMYFUNCTION("IF(D867&lt;&gt;"""",SPLIT(D867,"" 
""),)"),"")</f>
        <v/>
      </c>
    </row>
    <row r="868">
      <c r="A868" s="26" t="str">
        <f t="shared" si="1"/>
        <v/>
      </c>
      <c r="B868" s="26" t="str">
        <f t="shared" si="2"/>
        <v/>
      </c>
      <c r="C868" s="186" t="str">
        <f t="shared" si="3"/>
        <v/>
      </c>
      <c r="D868" s="187"/>
      <c r="E868" s="174" t="str">
        <f>IFERROR(__xludf.DUMMYFUNCTION("IF(D868&lt;&gt;"""",SPLIT(D868,"" 
""),)"),"")</f>
        <v/>
      </c>
    </row>
    <row r="869">
      <c r="A869" s="26" t="str">
        <f t="shared" si="1"/>
        <v/>
      </c>
      <c r="B869" s="26" t="str">
        <f t="shared" si="2"/>
        <v/>
      </c>
      <c r="C869" s="186" t="str">
        <f t="shared" si="3"/>
        <v/>
      </c>
      <c r="D869" s="187"/>
      <c r="E869" s="174" t="str">
        <f>IFERROR(__xludf.DUMMYFUNCTION("IF(D869&lt;&gt;"""",SPLIT(D869,"" 
""),)"),"")</f>
        <v/>
      </c>
    </row>
    <row r="870">
      <c r="A870" s="26" t="str">
        <f t="shared" si="1"/>
        <v/>
      </c>
      <c r="B870" s="26" t="str">
        <f t="shared" si="2"/>
        <v/>
      </c>
      <c r="C870" s="186" t="str">
        <f t="shared" si="3"/>
        <v/>
      </c>
      <c r="D870" s="187"/>
      <c r="E870" s="174" t="str">
        <f>IFERROR(__xludf.DUMMYFUNCTION("IF(D870&lt;&gt;"""",SPLIT(D870,"" 
""),)"),"")</f>
        <v/>
      </c>
    </row>
    <row r="871">
      <c r="A871" s="26" t="str">
        <f t="shared" si="1"/>
        <v/>
      </c>
      <c r="B871" s="26" t="str">
        <f t="shared" si="2"/>
        <v/>
      </c>
      <c r="C871" s="186" t="str">
        <f t="shared" si="3"/>
        <v/>
      </c>
      <c r="D871" s="187"/>
      <c r="E871" s="174" t="str">
        <f>IFERROR(__xludf.DUMMYFUNCTION("IF(D871&lt;&gt;"""",SPLIT(D871,"" 
""),)"),"")</f>
        <v/>
      </c>
    </row>
    <row r="872">
      <c r="A872" s="26" t="str">
        <f t="shared" si="1"/>
        <v/>
      </c>
      <c r="B872" s="26" t="str">
        <f t="shared" si="2"/>
        <v/>
      </c>
      <c r="C872" s="186" t="str">
        <f t="shared" si="3"/>
        <v/>
      </c>
      <c r="D872" s="187"/>
      <c r="E872" s="174" t="str">
        <f>IFERROR(__xludf.DUMMYFUNCTION("IF(D872&lt;&gt;"""",SPLIT(D872,"" 
""),)"),"")</f>
        <v/>
      </c>
    </row>
    <row r="873">
      <c r="A873" s="26" t="str">
        <f t="shared" si="1"/>
        <v/>
      </c>
      <c r="B873" s="26" t="str">
        <f t="shared" si="2"/>
        <v/>
      </c>
      <c r="C873" s="186" t="str">
        <f t="shared" si="3"/>
        <v/>
      </c>
      <c r="D873" s="187"/>
      <c r="E873" s="174" t="str">
        <f>IFERROR(__xludf.DUMMYFUNCTION("IF(D873&lt;&gt;"""",SPLIT(D873,"" 
""),)"),"")</f>
        <v/>
      </c>
    </row>
    <row r="874">
      <c r="A874" s="26" t="str">
        <f t="shared" si="1"/>
        <v/>
      </c>
      <c r="B874" s="26" t="str">
        <f t="shared" si="2"/>
        <v/>
      </c>
      <c r="C874" s="186" t="str">
        <f t="shared" si="3"/>
        <v/>
      </c>
      <c r="D874" s="187"/>
      <c r="E874" s="174" t="str">
        <f>IFERROR(__xludf.DUMMYFUNCTION("IF(D874&lt;&gt;"""",SPLIT(D874,"" 
""),)"),"")</f>
        <v/>
      </c>
    </row>
    <row r="875">
      <c r="A875" s="26" t="str">
        <f t="shared" si="1"/>
        <v/>
      </c>
      <c r="B875" s="26" t="str">
        <f t="shared" si="2"/>
        <v/>
      </c>
      <c r="C875" s="186" t="str">
        <f t="shared" si="3"/>
        <v/>
      </c>
      <c r="D875" s="187"/>
      <c r="E875" s="174" t="str">
        <f>IFERROR(__xludf.DUMMYFUNCTION("IF(D875&lt;&gt;"""",SPLIT(D875,"" 
""),)"),"")</f>
        <v/>
      </c>
    </row>
    <row r="876">
      <c r="A876" s="26" t="str">
        <f t="shared" si="1"/>
        <v/>
      </c>
      <c r="B876" s="26" t="str">
        <f t="shared" si="2"/>
        <v/>
      </c>
      <c r="C876" s="186" t="str">
        <f t="shared" si="3"/>
        <v/>
      </c>
      <c r="D876" s="187"/>
      <c r="E876" s="174" t="str">
        <f>IFERROR(__xludf.DUMMYFUNCTION("IF(D876&lt;&gt;"""",SPLIT(D876,"" 
""),)"),"")</f>
        <v/>
      </c>
    </row>
    <row r="877">
      <c r="A877" s="26" t="str">
        <f t="shared" si="1"/>
        <v/>
      </c>
      <c r="B877" s="26" t="str">
        <f t="shared" si="2"/>
        <v/>
      </c>
      <c r="C877" s="186" t="str">
        <f t="shared" si="3"/>
        <v/>
      </c>
      <c r="D877" s="187"/>
      <c r="E877" s="174" t="str">
        <f>IFERROR(__xludf.DUMMYFUNCTION("IF(D877&lt;&gt;"""",SPLIT(D877,"" 
""),)"),"")</f>
        <v/>
      </c>
    </row>
    <row r="878">
      <c r="A878" s="26" t="str">
        <f t="shared" si="1"/>
        <v/>
      </c>
      <c r="B878" s="26" t="str">
        <f t="shared" si="2"/>
        <v/>
      </c>
      <c r="C878" s="186" t="str">
        <f t="shared" si="3"/>
        <v/>
      </c>
      <c r="D878" s="187"/>
      <c r="E878" s="174" t="str">
        <f>IFERROR(__xludf.DUMMYFUNCTION("IF(D878&lt;&gt;"""",SPLIT(D878,"" 
""),)"),"")</f>
        <v/>
      </c>
    </row>
    <row r="879">
      <c r="A879" s="26" t="str">
        <f t="shared" si="1"/>
        <v/>
      </c>
      <c r="B879" s="26" t="str">
        <f t="shared" si="2"/>
        <v/>
      </c>
      <c r="C879" s="186" t="str">
        <f t="shared" si="3"/>
        <v/>
      </c>
      <c r="D879" s="187"/>
      <c r="E879" s="174" t="str">
        <f>IFERROR(__xludf.DUMMYFUNCTION("IF(D879&lt;&gt;"""",SPLIT(D879,"" 
""),)"),"")</f>
        <v/>
      </c>
    </row>
    <row r="880">
      <c r="A880" s="26" t="str">
        <f t="shared" si="1"/>
        <v/>
      </c>
      <c r="B880" s="26" t="str">
        <f t="shared" si="2"/>
        <v/>
      </c>
      <c r="C880" s="186" t="str">
        <f t="shared" si="3"/>
        <v/>
      </c>
      <c r="D880" s="187"/>
      <c r="E880" s="174" t="str">
        <f>IFERROR(__xludf.DUMMYFUNCTION("IF(D880&lt;&gt;"""",SPLIT(D880,"" 
""),)"),"")</f>
        <v/>
      </c>
    </row>
    <row r="881">
      <c r="A881" s="26" t="str">
        <f t="shared" si="1"/>
        <v/>
      </c>
      <c r="B881" s="26" t="str">
        <f t="shared" si="2"/>
        <v/>
      </c>
      <c r="C881" s="186" t="str">
        <f t="shared" si="3"/>
        <v/>
      </c>
      <c r="D881" s="187"/>
      <c r="E881" s="174" t="str">
        <f>IFERROR(__xludf.DUMMYFUNCTION("IF(D881&lt;&gt;"""",SPLIT(D881,"" 
""),)"),"")</f>
        <v/>
      </c>
    </row>
    <row r="882">
      <c r="A882" s="26" t="str">
        <f t="shared" si="1"/>
        <v/>
      </c>
      <c r="B882" s="26" t="str">
        <f t="shared" si="2"/>
        <v/>
      </c>
      <c r="C882" s="186" t="str">
        <f t="shared" si="3"/>
        <v/>
      </c>
      <c r="D882" s="187"/>
      <c r="E882" s="174" t="str">
        <f>IFERROR(__xludf.DUMMYFUNCTION("IF(D882&lt;&gt;"""",SPLIT(D882,"" 
""),)"),"")</f>
        <v/>
      </c>
    </row>
    <row r="883">
      <c r="A883" s="26" t="str">
        <f t="shared" si="1"/>
        <v/>
      </c>
      <c r="B883" s="26" t="str">
        <f t="shared" si="2"/>
        <v/>
      </c>
      <c r="C883" s="186" t="str">
        <f t="shared" si="3"/>
        <v/>
      </c>
      <c r="D883" s="187"/>
      <c r="E883" s="174" t="str">
        <f>IFERROR(__xludf.DUMMYFUNCTION("IF(D883&lt;&gt;"""",SPLIT(D883,"" 
""),)"),"")</f>
        <v/>
      </c>
    </row>
    <row r="884">
      <c r="A884" s="26" t="str">
        <f t="shared" si="1"/>
        <v/>
      </c>
      <c r="B884" s="26" t="str">
        <f t="shared" si="2"/>
        <v/>
      </c>
      <c r="C884" s="186" t="str">
        <f t="shared" si="3"/>
        <v/>
      </c>
      <c r="D884" s="187"/>
      <c r="E884" s="174" t="str">
        <f>IFERROR(__xludf.DUMMYFUNCTION("IF(D884&lt;&gt;"""",SPLIT(D884,"" 
""),)"),"")</f>
        <v/>
      </c>
    </row>
    <row r="885">
      <c r="A885" s="26" t="str">
        <f t="shared" si="1"/>
        <v/>
      </c>
      <c r="B885" s="26" t="str">
        <f t="shared" si="2"/>
        <v/>
      </c>
      <c r="C885" s="186" t="str">
        <f t="shared" si="3"/>
        <v/>
      </c>
      <c r="D885" s="187"/>
      <c r="E885" s="174" t="str">
        <f>IFERROR(__xludf.DUMMYFUNCTION("IF(D885&lt;&gt;"""",SPLIT(D885,"" 
""),)"),"")</f>
        <v/>
      </c>
    </row>
    <row r="886">
      <c r="A886" s="26" t="str">
        <f t="shared" si="1"/>
        <v/>
      </c>
      <c r="B886" s="26" t="str">
        <f t="shared" si="2"/>
        <v/>
      </c>
      <c r="C886" s="186" t="str">
        <f t="shared" si="3"/>
        <v/>
      </c>
      <c r="D886" s="187"/>
      <c r="E886" s="174" t="str">
        <f>IFERROR(__xludf.DUMMYFUNCTION("IF(D886&lt;&gt;"""",SPLIT(D886,"" 
""),)"),"")</f>
        <v/>
      </c>
    </row>
    <row r="887">
      <c r="A887" s="26" t="str">
        <f t="shared" si="1"/>
        <v/>
      </c>
      <c r="B887" s="26" t="str">
        <f t="shared" si="2"/>
        <v/>
      </c>
      <c r="C887" s="186" t="str">
        <f t="shared" si="3"/>
        <v/>
      </c>
      <c r="D887" s="187"/>
      <c r="E887" s="174" t="str">
        <f>IFERROR(__xludf.DUMMYFUNCTION("IF(D887&lt;&gt;"""",SPLIT(D887,"" 
""),)"),"")</f>
        <v/>
      </c>
    </row>
    <row r="888">
      <c r="A888" s="26" t="str">
        <f t="shared" si="1"/>
        <v/>
      </c>
      <c r="B888" s="26" t="str">
        <f t="shared" si="2"/>
        <v/>
      </c>
      <c r="C888" s="186" t="str">
        <f t="shared" si="3"/>
        <v/>
      </c>
      <c r="D888" s="187"/>
      <c r="E888" s="174" t="str">
        <f>IFERROR(__xludf.DUMMYFUNCTION("IF(D888&lt;&gt;"""",SPLIT(D888,"" 
""),)"),"")</f>
        <v/>
      </c>
    </row>
    <row r="889">
      <c r="A889" s="26" t="str">
        <f t="shared" si="1"/>
        <v/>
      </c>
      <c r="B889" s="26" t="str">
        <f t="shared" si="2"/>
        <v/>
      </c>
      <c r="C889" s="186" t="str">
        <f t="shared" si="3"/>
        <v/>
      </c>
      <c r="D889" s="187"/>
      <c r="E889" s="174" t="str">
        <f>IFERROR(__xludf.DUMMYFUNCTION("IF(D889&lt;&gt;"""",SPLIT(D889,"" 
""),)"),"")</f>
        <v/>
      </c>
    </row>
    <row r="890">
      <c r="A890" s="26" t="str">
        <f t="shared" si="1"/>
        <v/>
      </c>
      <c r="B890" s="26" t="str">
        <f t="shared" si="2"/>
        <v/>
      </c>
      <c r="C890" s="186" t="str">
        <f t="shared" si="3"/>
        <v/>
      </c>
      <c r="D890" s="187"/>
      <c r="E890" s="174" t="str">
        <f>IFERROR(__xludf.DUMMYFUNCTION("IF(D890&lt;&gt;"""",SPLIT(D890,"" 
""),)"),"")</f>
        <v/>
      </c>
    </row>
    <row r="891">
      <c r="A891" s="26" t="str">
        <f t="shared" si="1"/>
        <v/>
      </c>
      <c r="B891" s="26" t="str">
        <f t="shared" si="2"/>
        <v/>
      </c>
      <c r="C891" s="186" t="str">
        <f t="shared" si="3"/>
        <v/>
      </c>
      <c r="D891" s="187"/>
      <c r="E891" s="174" t="str">
        <f>IFERROR(__xludf.DUMMYFUNCTION("IF(D891&lt;&gt;"""",SPLIT(D891,"" 
""),)"),"")</f>
        <v/>
      </c>
    </row>
    <row r="892">
      <c r="A892" s="26" t="str">
        <f t="shared" si="1"/>
        <v/>
      </c>
      <c r="B892" s="26" t="str">
        <f t="shared" si="2"/>
        <v/>
      </c>
      <c r="C892" s="186" t="str">
        <f t="shared" si="3"/>
        <v/>
      </c>
      <c r="D892" s="187"/>
      <c r="E892" s="174" t="str">
        <f>IFERROR(__xludf.DUMMYFUNCTION("IF(D892&lt;&gt;"""",SPLIT(D892,"" 
""),)"),"")</f>
        <v/>
      </c>
    </row>
    <row r="893">
      <c r="A893" s="26" t="str">
        <f t="shared" si="1"/>
        <v/>
      </c>
      <c r="B893" s="26" t="str">
        <f t="shared" si="2"/>
        <v/>
      </c>
      <c r="C893" s="186" t="str">
        <f t="shared" si="3"/>
        <v/>
      </c>
      <c r="D893" s="187"/>
      <c r="E893" s="174" t="str">
        <f>IFERROR(__xludf.DUMMYFUNCTION("IF(D893&lt;&gt;"""",SPLIT(D893,"" 
""),)"),"")</f>
        <v/>
      </c>
    </row>
    <row r="894">
      <c r="A894" s="26" t="str">
        <f t="shared" si="1"/>
        <v/>
      </c>
      <c r="B894" s="26" t="str">
        <f t="shared" si="2"/>
        <v/>
      </c>
      <c r="C894" s="186" t="str">
        <f t="shared" si="3"/>
        <v/>
      </c>
      <c r="D894" s="187"/>
      <c r="E894" s="174" t="str">
        <f>IFERROR(__xludf.DUMMYFUNCTION("IF(D894&lt;&gt;"""",SPLIT(D894,"" 
""),)"),"")</f>
        <v/>
      </c>
    </row>
    <row r="895">
      <c r="A895" s="26" t="str">
        <f t="shared" si="1"/>
        <v/>
      </c>
      <c r="B895" s="26" t="str">
        <f t="shared" si="2"/>
        <v/>
      </c>
      <c r="C895" s="186" t="str">
        <f t="shared" si="3"/>
        <v/>
      </c>
      <c r="D895" s="187"/>
      <c r="E895" s="174" t="str">
        <f>IFERROR(__xludf.DUMMYFUNCTION("IF(D895&lt;&gt;"""",SPLIT(D895,"" 
""),)"),"")</f>
        <v/>
      </c>
    </row>
    <row r="896">
      <c r="A896" s="26" t="str">
        <f t="shared" si="1"/>
        <v/>
      </c>
      <c r="B896" s="26" t="str">
        <f t="shared" si="2"/>
        <v/>
      </c>
      <c r="C896" s="186" t="str">
        <f t="shared" si="3"/>
        <v/>
      </c>
      <c r="D896" s="187"/>
      <c r="E896" s="174" t="str">
        <f>IFERROR(__xludf.DUMMYFUNCTION("IF(D896&lt;&gt;"""",SPLIT(D896,"" 
""),)"),"")</f>
        <v/>
      </c>
    </row>
    <row r="897">
      <c r="A897" s="26" t="str">
        <f t="shared" si="1"/>
        <v/>
      </c>
      <c r="B897" s="26" t="str">
        <f t="shared" si="2"/>
        <v/>
      </c>
      <c r="C897" s="186" t="str">
        <f t="shared" si="3"/>
        <v/>
      </c>
      <c r="D897" s="187"/>
      <c r="E897" s="174" t="str">
        <f>IFERROR(__xludf.DUMMYFUNCTION("IF(D897&lt;&gt;"""",SPLIT(D897,"" 
""),)"),"")</f>
        <v/>
      </c>
    </row>
    <row r="898">
      <c r="A898" s="26" t="str">
        <f t="shared" si="1"/>
        <v/>
      </c>
      <c r="B898" s="26" t="str">
        <f t="shared" si="2"/>
        <v/>
      </c>
      <c r="C898" s="186" t="str">
        <f t="shared" si="3"/>
        <v/>
      </c>
      <c r="D898" s="187"/>
      <c r="E898" s="174" t="str">
        <f>IFERROR(__xludf.DUMMYFUNCTION("IF(D898&lt;&gt;"""",SPLIT(D898,"" 
""),)"),"")</f>
        <v/>
      </c>
    </row>
    <row r="899">
      <c r="A899" s="26" t="str">
        <f t="shared" si="1"/>
        <v/>
      </c>
      <c r="B899" s="26" t="str">
        <f t="shared" si="2"/>
        <v/>
      </c>
      <c r="C899" s="186" t="str">
        <f t="shared" si="3"/>
        <v/>
      </c>
      <c r="D899" s="187"/>
      <c r="E899" s="174" t="str">
        <f>IFERROR(__xludf.DUMMYFUNCTION("IF(D899&lt;&gt;"""",SPLIT(D899,"" 
""),)"),"")</f>
        <v/>
      </c>
    </row>
    <row r="900">
      <c r="A900" s="26" t="str">
        <f t="shared" si="1"/>
        <v/>
      </c>
      <c r="B900" s="26" t="str">
        <f t="shared" si="2"/>
        <v/>
      </c>
      <c r="C900" s="186" t="str">
        <f t="shared" si="3"/>
        <v/>
      </c>
      <c r="D900" s="187"/>
      <c r="E900" s="174" t="str">
        <f>IFERROR(__xludf.DUMMYFUNCTION("IF(D900&lt;&gt;"""",SPLIT(D900,"" 
""),)"),"")</f>
        <v/>
      </c>
    </row>
    <row r="901">
      <c r="A901" s="26" t="str">
        <f t="shared" si="1"/>
        <v/>
      </c>
      <c r="B901" s="26" t="str">
        <f t="shared" si="2"/>
        <v/>
      </c>
      <c r="C901" s="186" t="str">
        <f t="shared" si="3"/>
        <v/>
      </c>
      <c r="D901" s="187"/>
      <c r="E901" s="174" t="str">
        <f>IFERROR(__xludf.DUMMYFUNCTION("IF(D901&lt;&gt;"""",SPLIT(D901,"" 
""),)"),"")</f>
        <v/>
      </c>
    </row>
    <row r="902">
      <c r="A902" s="26" t="str">
        <f t="shared" si="1"/>
        <v/>
      </c>
      <c r="B902" s="26" t="str">
        <f t="shared" si="2"/>
        <v/>
      </c>
      <c r="C902" s="186" t="str">
        <f t="shared" si="3"/>
        <v/>
      </c>
      <c r="D902" s="187"/>
      <c r="E902" s="174" t="str">
        <f>IFERROR(__xludf.DUMMYFUNCTION("IF(D902&lt;&gt;"""",SPLIT(D902,"" 
""),)"),"")</f>
        <v/>
      </c>
    </row>
    <row r="903">
      <c r="A903" s="26" t="str">
        <f t="shared" si="1"/>
        <v/>
      </c>
      <c r="B903" s="26" t="str">
        <f t="shared" si="2"/>
        <v/>
      </c>
      <c r="C903" s="186" t="str">
        <f t="shared" si="3"/>
        <v/>
      </c>
      <c r="D903" s="187"/>
      <c r="E903" s="174" t="str">
        <f>IFERROR(__xludf.DUMMYFUNCTION("IF(D903&lt;&gt;"""",SPLIT(D903,"" 
""),)"),"")</f>
        <v/>
      </c>
    </row>
    <row r="904">
      <c r="A904" s="26" t="str">
        <f t="shared" si="1"/>
        <v/>
      </c>
      <c r="B904" s="26" t="str">
        <f t="shared" si="2"/>
        <v/>
      </c>
      <c r="C904" s="186" t="str">
        <f t="shared" si="3"/>
        <v/>
      </c>
      <c r="D904" s="187"/>
      <c r="E904" s="174" t="str">
        <f>IFERROR(__xludf.DUMMYFUNCTION("IF(D904&lt;&gt;"""",SPLIT(D904,"" 
""),)"),"")</f>
        <v/>
      </c>
    </row>
    <row r="905">
      <c r="A905" s="26" t="str">
        <f t="shared" si="1"/>
        <v/>
      </c>
      <c r="B905" s="26" t="str">
        <f t="shared" si="2"/>
        <v/>
      </c>
      <c r="C905" s="186" t="str">
        <f t="shared" si="3"/>
        <v/>
      </c>
      <c r="D905" s="187"/>
      <c r="E905" s="174" t="str">
        <f>IFERROR(__xludf.DUMMYFUNCTION("IF(D905&lt;&gt;"""",SPLIT(D905,"" 
""),)"),"")</f>
        <v/>
      </c>
    </row>
    <row r="906">
      <c r="A906" s="26" t="str">
        <f t="shared" si="1"/>
        <v/>
      </c>
      <c r="B906" s="26" t="str">
        <f t="shared" si="2"/>
        <v/>
      </c>
      <c r="C906" s="186" t="str">
        <f t="shared" si="3"/>
        <v/>
      </c>
      <c r="D906" s="187"/>
      <c r="E906" s="174" t="str">
        <f>IFERROR(__xludf.DUMMYFUNCTION("IF(D906&lt;&gt;"""",SPLIT(D906,"" 
""),)"),"")</f>
        <v/>
      </c>
    </row>
    <row r="907">
      <c r="A907" s="26" t="str">
        <f t="shared" si="1"/>
        <v/>
      </c>
      <c r="B907" s="26" t="str">
        <f t="shared" si="2"/>
        <v/>
      </c>
      <c r="C907" s="186" t="str">
        <f t="shared" si="3"/>
        <v/>
      </c>
      <c r="D907" s="187"/>
      <c r="E907" s="174" t="str">
        <f>IFERROR(__xludf.DUMMYFUNCTION("IF(D907&lt;&gt;"""",SPLIT(D907,"" 
""),)"),"")</f>
        <v/>
      </c>
    </row>
    <row r="908">
      <c r="A908" s="26" t="str">
        <f t="shared" si="1"/>
        <v/>
      </c>
      <c r="B908" s="26" t="str">
        <f t="shared" si="2"/>
        <v/>
      </c>
      <c r="C908" s="186" t="str">
        <f t="shared" si="3"/>
        <v/>
      </c>
      <c r="D908" s="187"/>
      <c r="E908" s="174" t="str">
        <f>IFERROR(__xludf.DUMMYFUNCTION("IF(D908&lt;&gt;"""",SPLIT(D908,"" 
""),)"),"")</f>
        <v/>
      </c>
    </row>
    <row r="909">
      <c r="A909" s="26" t="str">
        <f t="shared" si="1"/>
        <v/>
      </c>
      <c r="B909" s="26" t="str">
        <f t="shared" si="2"/>
        <v/>
      </c>
      <c r="C909" s="186" t="str">
        <f t="shared" si="3"/>
        <v/>
      </c>
      <c r="D909" s="187"/>
      <c r="E909" s="174" t="str">
        <f>IFERROR(__xludf.DUMMYFUNCTION("IF(D909&lt;&gt;"""",SPLIT(D909,"" 
""),)"),"")</f>
        <v/>
      </c>
    </row>
    <row r="910">
      <c r="A910" s="26" t="str">
        <f t="shared" si="1"/>
        <v/>
      </c>
      <c r="B910" s="26" t="str">
        <f t="shared" si="2"/>
        <v/>
      </c>
      <c r="C910" s="186" t="str">
        <f t="shared" si="3"/>
        <v/>
      </c>
      <c r="D910" s="187"/>
      <c r="E910" s="174" t="str">
        <f>IFERROR(__xludf.DUMMYFUNCTION("IF(D910&lt;&gt;"""",SPLIT(D910,"" 
""),)"),"")</f>
        <v/>
      </c>
    </row>
    <row r="911">
      <c r="A911" s="26" t="str">
        <f t="shared" si="1"/>
        <v/>
      </c>
      <c r="B911" s="26" t="str">
        <f t="shared" si="2"/>
        <v/>
      </c>
      <c r="C911" s="186" t="str">
        <f t="shared" si="3"/>
        <v/>
      </c>
      <c r="D911" s="187"/>
      <c r="E911" s="174" t="str">
        <f>IFERROR(__xludf.DUMMYFUNCTION("IF(D911&lt;&gt;"""",SPLIT(D911,"" 
""),)"),"")</f>
        <v/>
      </c>
    </row>
    <row r="912">
      <c r="A912" s="26" t="str">
        <f t="shared" si="1"/>
        <v/>
      </c>
      <c r="B912" s="26" t="str">
        <f t="shared" si="2"/>
        <v/>
      </c>
      <c r="C912" s="186" t="str">
        <f t="shared" si="3"/>
        <v/>
      </c>
      <c r="D912" s="187"/>
      <c r="E912" s="174" t="str">
        <f>IFERROR(__xludf.DUMMYFUNCTION("IF(D912&lt;&gt;"""",SPLIT(D912,"" 
""),)"),"")</f>
        <v/>
      </c>
    </row>
    <row r="913">
      <c r="A913" s="26" t="str">
        <f t="shared" si="1"/>
        <v/>
      </c>
      <c r="B913" s="26" t="str">
        <f t="shared" si="2"/>
        <v/>
      </c>
      <c r="C913" s="186" t="str">
        <f t="shared" si="3"/>
        <v/>
      </c>
      <c r="D913" s="187"/>
      <c r="E913" s="174" t="str">
        <f>IFERROR(__xludf.DUMMYFUNCTION("IF(D913&lt;&gt;"""",SPLIT(D913,"" 
""),)"),"")</f>
        <v/>
      </c>
    </row>
    <row r="914">
      <c r="A914" s="26" t="str">
        <f t="shared" si="1"/>
        <v/>
      </c>
      <c r="B914" s="26" t="str">
        <f t="shared" si="2"/>
        <v/>
      </c>
      <c r="C914" s="186" t="str">
        <f t="shared" si="3"/>
        <v/>
      </c>
      <c r="D914" s="187"/>
      <c r="E914" s="174" t="str">
        <f>IFERROR(__xludf.DUMMYFUNCTION("IF(D914&lt;&gt;"""",SPLIT(D914,"" 
""),)"),"")</f>
        <v/>
      </c>
    </row>
    <row r="915">
      <c r="A915" s="26" t="str">
        <f t="shared" si="1"/>
        <v/>
      </c>
      <c r="B915" s="26" t="str">
        <f t="shared" si="2"/>
        <v/>
      </c>
      <c r="C915" s="186" t="str">
        <f t="shared" si="3"/>
        <v/>
      </c>
      <c r="D915" s="187"/>
      <c r="E915" s="174" t="str">
        <f>IFERROR(__xludf.DUMMYFUNCTION("IF(D915&lt;&gt;"""",SPLIT(D915,"" 
""),)"),"")</f>
        <v/>
      </c>
    </row>
    <row r="916">
      <c r="A916" s="26" t="str">
        <f t="shared" si="1"/>
        <v/>
      </c>
      <c r="B916" s="26" t="str">
        <f t="shared" si="2"/>
        <v/>
      </c>
      <c r="C916" s="186" t="str">
        <f t="shared" si="3"/>
        <v/>
      </c>
      <c r="D916" s="187"/>
      <c r="E916" s="174" t="str">
        <f>IFERROR(__xludf.DUMMYFUNCTION("IF(D916&lt;&gt;"""",SPLIT(D916,"" 
""),)"),"")</f>
        <v/>
      </c>
    </row>
    <row r="917">
      <c r="A917" s="26" t="str">
        <f t="shared" si="1"/>
        <v/>
      </c>
      <c r="B917" s="26" t="str">
        <f t="shared" si="2"/>
        <v/>
      </c>
      <c r="C917" s="186" t="str">
        <f t="shared" si="3"/>
        <v/>
      </c>
      <c r="D917" s="187"/>
      <c r="E917" s="174" t="str">
        <f>IFERROR(__xludf.DUMMYFUNCTION("IF(D917&lt;&gt;"""",SPLIT(D917,"" 
""),)"),"")</f>
        <v/>
      </c>
    </row>
    <row r="918">
      <c r="A918" s="26" t="str">
        <f t="shared" si="1"/>
        <v/>
      </c>
      <c r="B918" s="26" t="str">
        <f t="shared" si="2"/>
        <v/>
      </c>
      <c r="C918" s="186" t="str">
        <f t="shared" si="3"/>
        <v/>
      </c>
      <c r="D918" s="187"/>
      <c r="E918" s="174" t="str">
        <f>IFERROR(__xludf.DUMMYFUNCTION("IF(D918&lt;&gt;"""",SPLIT(D918,"" 
""),)"),"")</f>
        <v/>
      </c>
    </row>
    <row r="919">
      <c r="A919" s="26" t="str">
        <f t="shared" si="1"/>
        <v/>
      </c>
      <c r="B919" s="26" t="str">
        <f t="shared" si="2"/>
        <v/>
      </c>
      <c r="C919" s="186" t="str">
        <f t="shared" si="3"/>
        <v/>
      </c>
      <c r="D919" s="187"/>
      <c r="E919" s="174" t="str">
        <f>IFERROR(__xludf.DUMMYFUNCTION("IF(D919&lt;&gt;"""",SPLIT(D919,"" 
""),)"),"")</f>
        <v/>
      </c>
    </row>
    <row r="920">
      <c r="A920" s="26" t="str">
        <f t="shared" si="1"/>
        <v/>
      </c>
      <c r="B920" s="26" t="str">
        <f t="shared" si="2"/>
        <v/>
      </c>
      <c r="C920" s="186" t="str">
        <f t="shared" si="3"/>
        <v/>
      </c>
      <c r="D920" s="187"/>
      <c r="E920" s="174" t="str">
        <f>IFERROR(__xludf.DUMMYFUNCTION("IF(D920&lt;&gt;"""",SPLIT(D920,"" 
""),)"),"")</f>
        <v/>
      </c>
    </row>
    <row r="921">
      <c r="A921" s="26" t="str">
        <f t="shared" si="1"/>
        <v/>
      </c>
      <c r="B921" s="26" t="str">
        <f t="shared" si="2"/>
        <v/>
      </c>
      <c r="C921" s="186" t="str">
        <f t="shared" si="3"/>
        <v/>
      </c>
      <c r="D921" s="187"/>
      <c r="E921" s="174" t="str">
        <f>IFERROR(__xludf.DUMMYFUNCTION("IF(D921&lt;&gt;"""",SPLIT(D921,"" 
""),)"),"")</f>
        <v/>
      </c>
    </row>
    <row r="922">
      <c r="A922" s="26" t="str">
        <f t="shared" si="1"/>
        <v/>
      </c>
      <c r="B922" s="26" t="str">
        <f t="shared" si="2"/>
        <v/>
      </c>
      <c r="C922" s="186" t="str">
        <f t="shared" si="3"/>
        <v/>
      </c>
      <c r="D922" s="187"/>
      <c r="E922" s="174" t="str">
        <f>IFERROR(__xludf.DUMMYFUNCTION("IF(D922&lt;&gt;"""",SPLIT(D922,"" 
""),)"),"")</f>
        <v/>
      </c>
    </row>
    <row r="923">
      <c r="A923" s="26" t="str">
        <f t="shared" si="1"/>
        <v/>
      </c>
      <c r="B923" s="26" t="str">
        <f t="shared" si="2"/>
        <v/>
      </c>
      <c r="C923" s="186" t="str">
        <f t="shared" si="3"/>
        <v/>
      </c>
      <c r="D923" s="187"/>
      <c r="E923" s="174" t="str">
        <f>IFERROR(__xludf.DUMMYFUNCTION("IF(D923&lt;&gt;"""",SPLIT(D923,"" 
""),)"),"")</f>
        <v/>
      </c>
    </row>
    <row r="924">
      <c r="A924" s="26" t="str">
        <f t="shared" si="1"/>
        <v/>
      </c>
      <c r="B924" s="26" t="str">
        <f t="shared" si="2"/>
        <v/>
      </c>
      <c r="C924" s="186" t="str">
        <f t="shared" si="3"/>
        <v/>
      </c>
      <c r="D924" s="187"/>
      <c r="E924" s="174" t="str">
        <f>IFERROR(__xludf.DUMMYFUNCTION("IF(D924&lt;&gt;"""",SPLIT(D924,"" 
""),)"),"")</f>
        <v/>
      </c>
    </row>
    <row r="925">
      <c r="A925" s="26" t="str">
        <f t="shared" si="1"/>
        <v/>
      </c>
      <c r="B925" s="26" t="str">
        <f t="shared" si="2"/>
        <v/>
      </c>
      <c r="C925" s="186" t="str">
        <f t="shared" si="3"/>
        <v/>
      </c>
      <c r="D925" s="187"/>
      <c r="E925" s="174" t="str">
        <f>IFERROR(__xludf.DUMMYFUNCTION("IF(D925&lt;&gt;"""",SPLIT(D925,"" 
""),)"),"")</f>
        <v/>
      </c>
    </row>
    <row r="926">
      <c r="A926" s="26" t="str">
        <f t="shared" si="1"/>
        <v/>
      </c>
      <c r="B926" s="26" t="str">
        <f t="shared" si="2"/>
        <v/>
      </c>
      <c r="C926" s="186" t="str">
        <f t="shared" si="3"/>
        <v/>
      </c>
      <c r="D926" s="187"/>
      <c r="E926" s="174" t="str">
        <f>IFERROR(__xludf.DUMMYFUNCTION("IF(D926&lt;&gt;"""",SPLIT(D926,"" 
""),)"),"")</f>
        <v/>
      </c>
    </row>
    <row r="927">
      <c r="A927" s="26" t="str">
        <f t="shared" si="1"/>
        <v/>
      </c>
      <c r="B927" s="26" t="str">
        <f t="shared" si="2"/>
        <v/>
      </c>
      <c r="C927" s="186" t="str">
        <f t="shared" si="3"/>
        <v/>
      </c>
      <c r="D927" s="187"/>
      <c r="E927" s="174" t="str">
        <f>IFERROR(__xludf.DUMMYFUNCTION("IF(D927&lt;&gt;"""",SPLIT(D927,"" 
""),)"),"")</f>
        <v/>
      </c>
    </row>
    <row r="928">
      <c r="A928" s="26" t="str">
        <f t="shared" si="1"/>
        <v/>
      </c>
      <c r="B928" s="26" t="str">
        <f t="shared" si="2"/>
        <v/>
      </c>
      <c r="C928" s="186" t="str">
        <f t="shared" si="3"/>
        <v/>
      </c>
      <c r="D928" s="187"/>
      <c r="E928" s="174" t="str">
        <f>IFERROR(__xludf.DUMMYFUNCTION("IF(D928&lt;&gt;"""",SPLIT(D928,"" 
""),)"),"")</f>
        <v/>
      </c>
    </row>
    <row r="929">
      <c r="A929" s="26" t="str">
        <f t="shared" si="1"/>
        <v/>
      </c>
      <c r="B929" s="26" t="str">
        <f t="shared" si="2"/>
        <v/>
      </c>
      <c r="C929" s="186" t="str">
        <f t="shared" si="3"/>
        <v/>
      </c>
      <c r="D929" s="187"/>
      <c r="E929" s="174" t="str">
        <f>IFERROR(__xludf.DUMMYFUNCTION("IF(D929&lt;&gt;"""",SPLIT(D929,"" 
""),)"),"")</f>
        <v/>
      </c>
    </row>
    <row r="930">
      <c r="A930" s="26" t="str">
        <f t="shared" si="1"/>
        <v/>
      </c>
      <c r="B930" s="26" t="str">
        <f t="shared" si="2"/>
        <v/>
      </c>
      <c r="C930" s="186" t="str">
        <f t="shared" si="3"/>
        <v/>
      </c>
      <c r="D930" s="187"/>
      <c r="E930" s="174" t="str">
        <f>IFERROR(__xludf.DUMMYFUNCTION("IF(D930&lt;&gt;"""",SPLIT(D930,"" 
""),)"),"")</f>
        <v/>
      </c>
    </row>
    <row r="931">
      <c r="A931" s="26" t="str">
        <f t="shared" si="1"/>
        <v/>
      </c>
      <c r="B931" s="26" t="str">
        <f t="shared" si="2"/>
        <v/>
      </c>
      <c r="C931" s="186" t="str">
        <f t="shared" si="3"/>
        <v/>
      </c>
      <c r="D931" s="187"/>
      <c r="E931" s="174" t="str">
        <f>IFERROR(__xludf.DUMMYFUNCTION("IF(D931&lt;&gt;"""",SPLIT(D931,"" 
""),)"),"")</f>
        <v/>
      </c>
    </row>
    <row r="932">
      <c r="A932" s="26" t="str">
        <f t="shared" si="1"/>
        <v/>
      </c>
      <c r="B932" s="26" t="str">
        <f t="shared" si="2"/>
        <v/>
      </c>
      <c r="C932" s="186" t="str">
        <f t="shared" si="3"/>
        <v/>
      </c>
      <c r="D932" s="187"/>
      <c r="E932" s="174" t="str">
        <f>IFERROR(__xludf.DUMMYFUNCTION("IF(D932&lt;&gt;"""",SPLIT(D932,"" 
""),)"),"")</f>
        <v/>
      </c>
    </row>
    <row r="933">
      <c r="A933" s="26" t="str">
        <f t="shared" si="1"/>
        <v/>
      </c>
      <c r="B933" s="26" t="str">
        <f t="shared" si="2"/>
        <v/>
      </c>
      <c r="C933" s="186" t="str">
        <f t="shared" si="3"/>
        <v/>
      </c>
      <c r="D933" s="187"/>
      <c r="E933" s="174" t="str">
        <f>IFERROR(__xludf.DUMMYFUNCTION("IF(D933&lt;&gt;"""",SPLIT(D933,"" 
""),)"),"")</f>
        <v/>
      </c>
    </row>
    <row r="934">
      <c r="A934" s="26" t="str">
        <f t="shared" si="1"/>
        <v/>
      </c>
      <c r="B934" s="26" t="str">
        <f t="shared" si="2"/>
        <v/>
      </c>
      <c r="C934" s="186" t="str">
        <f t="shared" si="3"/>
        <v/>
      </c>
      <c r="D934" s="187"/>
      <c r="E934" s="174" t="str">
        <f>IFERROR(__xludf.DUMMYFUNCTION("IF(D934&lt;&gt;"""",SPLIT(D934,"" 
""),)"),"")</f>
        <v/>
      </c>
    </row>
    <row r="935">
      <c r="A935" s="26" t="str">
        <f t="shared" si="1"/>
        <v/>
      </c>
      <c r="B935" s="26" t="str">
        <f t="shared" si="2"/>
        <v/>
      </c>
      <c r="C935" s="186" t="str">
        <f t="shared" si="3"/>
        <v/>
      </c>
      <c r="D935" s="187"/>
      <c r="E935" s="174" t="str">
        <f>IFERROR(__xludf.DUMMYFUNCTION("IF(D935&lt;&gt;"""",SPLIT(D935,"" 
""),)"),"")</f>
        <v/>
      </c>
    </row>
    <row r="936">
      <c r="A936" s="26" t="str">
        <f t="shared" si="1"/>
        <v/>
      </c>
      <c r="B936" s="26" t="str">
        <f t="shared" si="2"/>
        <v/>
      </c>
      <c r="C936" s="186" t="str">
        <f t="shared" si="3"/>
        <v/>
      </c>
      <c r="D936" s="187"/>
      <c r="E936" s="174" t="str">
        <f>IFERROR(__xludf.DUMMYFUNCTION("IF(D936&lt;&gt;"""",SPLIT(D936,"" 
""),)"),"")</f>
        <v/>
      </c>
    </row>
    <row r="937">
      <c r="A937" s="26" t="str">
        <f t="shared" si="1"/>
        <v/>
      </c>
      <c r="B937" s="26" t="str">
        <f t="shared" si="2"/>
        <v/>
      </c>
      <c r="C937" s="186" t="str">
        <f t="shared" si="3"/>
        <v/>
      </c>
      <c r="D937" s="187"/>
      <c r="E937" s="174" t="str">
        <f>IFERROR(__xludf.DUMMYFUNCTION("IF(D937&lt;&gt;"""",SPLIT(D937,"" 
""),)"),"")</f>
        <v/>
      </c>
    </row>
    <row r="938">
      <c r="A938" s="26" t="str">
        <f t="shared" si="1"/>
        <v/>
      </c>
      <c r="B938" s="26" t="str">
        <f t="shared" si="2"/>
        <v/>
      </c>
      <c r="C938" s="186" t="str">
        <f t="shared" si="3"/>
        <v/>
      </c>
      <c r="D938" s="187"/>
      <c r="E938" s="174" t="str">
        <f>IFERROR(__xludf.DUMMYFUNCTION("IF(D938&lt;&gt;"""",SPLIT(D938,"" 
""),)"),"")</f>
        <v/>
      </c>
    </row>
    <row r="939">
      <c r="A939" s="26" t="str">
        <f t="shared" si="1"/>
        <v/>
      </c>
      <c r="B939" s="26" t="str">
        <f t="shared" si="2"/>
        <v/>
      </c>
      <c r="C939" s="186" t="str">
        <f t="shared" si="3"/>
        <v/>
      </c>
      <c r="D939" s="187"/>
      <c r="E939" s="174" t="str">
        <f>IFERROR(__xludf.DUMMYFUNCTION("IF(D939&lt;&gt;"""",SPLIT(D939,"" 
""),)"),"")</f>
        <v/>
      </c>
    </row>
    <row r="940">
      <c r="A940" s="26" t="str">
        <f t="shared" si="1"/>
        <v/>
      </c>
      <c r="B940" s="26" t="str">
        <f t="shared" si="2"/>
        <v/>
      </c>
      <c r="C940" s="186" t="str">
        <f t="shared" si="3"/>
        <v/>
      </c>
      <c r="D940" s="187"/>
      <c r="E940" s="174" t="str">
        <f>IFERROR(__xludf.DUMMYFUNCTION("IF(D940&lt;&gt;"""",SPLIT(D940,"" 
""),)"),"")</f>
        <v/>
      </c>
    </row>
    <row r="941">
      <c r="A941" s="26" t="str">
        <f t="shared" si="1"/>
        <v/>
      </c>
      <c r="B941" s="26" t="str">
        <f t="shared" si="2"/>
        <v/>
      </c>
      <c r="C941" s="186" t="str">
        <f t="shared" si="3"/>
        <v/>
      </c>
      <c r="D941" s="187"/>
      <c r="E941" s="174" t="str">
        <f>IFERROR(__xludf.DUMMYFUNCTION("IF(D941&lt;&gt;"""",SPLIT(D941,"" 
""),)"),"")</f>
        <v/>
      </c>
    </row>
    <row r="942">
      <c r="A942" s="26" t="str">
        <f t="shared" si="1"/>
        <v/>
      </c>
      <c r="B942" s="26" t="str">
        <f t="shared" si="2"/>
        <v/>
      </c>
      <c r="C942" s="186" t="str">
        <f t="shared" si="3"/>
        <v/>
      </c>
      <c r="D942" s="187"/>
      <c r="E942" s="174" t="str">
        <f>IFERROR(__xludf.DUMMYFUNCTION("IF(D942&lt;&gt;"""",SPLIT(D942,"" 
""),)"),"")</f>
        <v/>
      </c>
    </row>
    <row r="943">
      <c r="A943" s="26" t="str">
        <f t="shared" si="1"/>
        <v/>
      </c>
      <c r="B943" s="26" t="str">
        <f t="shared" si="2"/>
        <v/>
      </c>
      <c r="C943" s="186" t="str">
        <f t="shared" si="3"/>
        <v/>
      </c>
      <c r="D943" s="187"/>
      <c r="E943" s="174" t="str">
        <f>IFERROR(__xludf.DUMMYFUNCTION("IF(D943&lt;&gt;"""",SPLIT(D943,"" 
""),)"),"")</f>
        <v/>
      </c>
    </row>
    <row r="944">
      <c r="A944" s="26" t="str">
        <f t="shared" si="1"/>
        <v/>
      </c>
      <c r="B944" s="26" t="str">
        <f t="shared" si="2"/>
        <v/>
      </c>
      <c r="C944" s="186" t="str">
        <f t="shared" si="3"/>
        <v/>
      </c>
      <c r="D944" s="187"/>
      <c r="E944" s="174" t="str">
        <f>IFERROR(__xludf.DUMMYFUNCTION("IF(D944&lt;&gt;"""",SPLIT(D944,"" 
""),)"),"")</f>
        <v/>
      </c>
    </row>
    <row r="945">
      <c r="A945" s="26" t="str">
        <f t="shared" si="1"/>
        <v/>
      </c>
      <c r="B945" s="26" t="str">
        <f t="shared" si="2"/>
        <v/>
      </c>
      <c r="C945" s="186" t="str">
        <f t="shared" si="3"/>
        <v/>
      </c>
      <c r="D945" s="187"/>
      <c r="E945" s="174" t="str">
        <f>IFERROR(__xludf.DUMMYFUNCTION("IF(D945&lt;&gt;"""",SPLIT(D945,"" 
""),)"),"")</f>
        <v/>
      </c>
    </row>
    <row r="946">
      <c r="A946" s="26" t="str">
        <f t="shared" si="1"/>
        <v/>
      </c>
      <c r="B946" s="26" t="str">
        <f t="shared" si="2"/>
        <v/>
      </c>
      <c r="C946" s="186" t="str">
        <f t="shared" si="3"/>
        <v/>
      </c>
      <c r="D946" s="187"/>
      <c r="E946" s="174" t="str">
        <f>IFERROR(__xludf.DUMMYFUNCTION("IF(D946&lt;&gt;"""",SPLIT(D946,"" 
""),)"),"")</f>
        <v/>
      </c>
    </row>
    <row r="947">
      <c r="A947" s="26" t="str">
        <f t="shared" si="1"/>
        <v/>
      </c>
      <c r="B947" s="26" t="str">
        <f t="shared" si="2"/>
        <v/>
      </c>
      <c r="C947" s="186" t="str">
        <f t="shared" si="3"/>
        <v/>
      </c>
      <c r="D947" s="187"/>
      <c r="E947" s="174" t="str">
        <f>IFERROR(__xludf.DUMMYFUNCTION("IF(D947&lt;&gt;"""",SPLIT(D947,"" 
""),)"),"")</f>
        <v/>
      </c>
    </row>
    <row r="948">
      <c r="A948" s="26" t="str">
        <f t="shared" si="1"/>
        <v/>
      </c>
      <c r="B948" s="26" t="str">
        <f t="shared" si="2"/>
        <v/>
      </c>
      <c r="C948" s="186" t="str">
        <f t="shared" si="3"/>
        <v/>
      </c>
      <c r="D948" s="187"/>
      <c r="E948" s="174" t="str">
        <f>IFERROR(__xludf.DUMMYFUNCTION("IF(D948&lt;&gt;"""",SPLIT(D948,"" 
""),)"),"")</f>
        <v/>
      </c>
    </row>
    <row r="949">
      <c r="A949" s="26" t="str">
        <f t="shared" si="1"/>
        <v/>
      </c>
      <c r="B949" s="26" t="str">
        <f t="shared" si="2"/>
        <v/>
      </c>
      <c r="C949" s="186" t="str">
        <f t="shared" si="3"/>
        <v/>
      </c>
      <c r="D949" s="187"/>
      <c r="E949" s="174" t="str">
        <f>IFERROR(__xludf.DUMMYFUNCTION("IF(D949&lt;&gt;"""",SPLIT(D949,"" 
""),)"),"")</f>
        <v/>
      </c>
    </row>
    <row r="950">
      <c r="A950" s="26" t="str">
        <f t="shared" si="1"/>
        <v/>
      </c>
      <c r="B950" s="26" t="str">
        <f t="shared" si="2"/>
        <v/>
      </c>
      <c r="C950" s="186" t="str">
        <f t="shared" si="3"/>
        <v/>
      </c>
      <c r="D950" s="187"/>
      <c r="E950" s="174" t="str">
        <f>IFERROR(__xludf.DUMMYFUNCTION("IF(D950&lt;&gt;"""",SPLIT(D950,"" 
""),)"),"")</f>
        <v/>
      </c>
    </row>
    <row r="951">
      <c r="A951" s="26" t="str">
        <f t="shared" si="1"/>
        <v/>
      </c>
      <c r="B951" s="26" t="str">
        <f t="shared" si="2"/>
        <v/>
      </c>
      <c r="C951" s="186" t="str">
        <f t="shared" si="3"/>
        <v/>
      </c>
      <c r="D951" s="187"/>
      <c r="E951" s="174" t="str">
        <f>IFERROR(__xludf.DUMMYFUNCTION("IF(D951&lt;&gt;"""",SPLIT(D951,"" 
""),)"),"")</f>
        <v/>
      </c>
    </row>
    <row r="952">
      <c r="A952" s="26" t="str">
        <f t="shared" si="1"/>
        <v/>
      </c>
      <c r="B952" s="26" t="str">
        <f t="shared" si="2"/>
        <v/>
      </c>
      <c r="C952" s="186" t="str">
        <f t="shared" si="3"/>
        <v/>
      </c>
      <c r="D952" s="187"/>
      <c r="E952" s="174" t="str">
        <f>IFERROR(__xludf.DUMMYFUNCTION("IF(D952&lt;&gt;"""",SPLIT(D952,"" 
""),)"),"")</f>
        <v/>
      </c>
    </row>
    <row r="953">
      <c r="A953" s="26" t="str">
        <f t="shared" si="1"/>
        <v/>
      </c>
      <c r="B953" s="26" t="str">
        <f t="shared" si="2"/>
        <v/>
      </c>
      <c r="C953" s="186" t="str">
        <f t="shared" si="3"/>
        <v/>
      </c>
      <c r="D953" s="187"/>
      <c r="E953" s="174" t="str">
        <f>IFERROR(__xludf.DUMMYFUNCTION("IF(D953&lt;&gt;"""",SPLIT(D953,"" 
""),)"),"")</f>
        <v/>
      </c>
    </row>
    <row r="954">
      <c r="A954" s="26" t="str">
        <f t="shared" si="1"/>
        <v/>
      </c>
      <c r="B954" s="26" t="str">
        <f t="shared" si="2"/>
        <v/>
      </c>
      <c r="C954" s="186" t="str">
        <f t="shared" si="3"/>
        <v/>
      </c>
      <c r="D954" s="187"/>
      <c r="E954" s="174" t="str">
        <f>IFERROR(__xludf.DUMMYFUNCTION("IF(D954&lt;&gt;"""",SPLIT(D954,"" 
""),)"),"")</f>
        <v/>
      </c>
    </row>
    <row r="955">
      <c r="A955" s="26" t="str">
        <f t="shared" si="1"/>
        <v/>
      </c>
      <c r="B955" s="26" t="str">
        <f t="shared" si="2"/>
        <v/>
      </c>
      <c r="C955" s="186" t="str">
        <f t="shared" si="3"/>
        <v/>
      </c>
      <c r="D955" s="187"/>
      <c r="E955" s="174" t="str">
        <f>IFERROR(__xludf.DUMMYFUNCTION("IF(D955&lt;&gt;"""",SPLIT(D955,"" 
""),)"),"")</f>
        <v/>
      </c>
    </row>
    <row r="956">
      <c r="A956" s="26" t="str">
        <f t="shared" si="1"/>
        <v/>
      </c>
      <c r="B956" s="26" t="str">
        <f t="shared" si="2"/>
        <v/>
      </c>
      <c r="C956" s="186" t="str">
        <f t="shared" si="3"/>
        <v/>
      </c>
      <c r="D956" s="187"/>
      <c r="E956" s="174" t="str">
        <f>IFERROR(__xludf.DUMMYFUNCTION("IF(D956&lt;&gt;"""",SPLIT(D956,"" 
""),)"),"")</f>
        <v/>
      </c>
    </row>
    <row r="957">
      <c r="A957" s="26" t="str">
        <f t="shared" si="1"/>
        <v/>
      </c>
      <c r="B957" s="26" t="str">
        <f t="shared" si="2"/>
        <v/>
      </c>
      <c r="C957" s="186" t="str">
        <f t="shared" si="3"/>
        <v/>
      </c>
      <c r="D957" s="187"/>
      <c r="E957" s="174" t="str">
        <f>IFERROR(__xludf.DUMMYFUNCTION("IF(D957&lt;&gt;"""",SPLIT(D957,"" 
""),)"),"")</f>
        <v/>
      </c>
    </row>
    <row r="958">
      <c r="A958" s="26" t="str">
        <f t="shared" si="1"/>
        <v/>
      </c>
      <c r="B958" s="26" t="str">
        <f t="shared" si="2"/>
        <v/>
      </c>
      <c r="C958" s="186" t="str">
        <f t="shared" si="3"/>
        <v/>
      </c>
      <c r="D958" s="187"/>
      <c r="E958" s="174" t="str">
        <f>IFERROR(__xludf.DUMMYFUNCTION("IF(D958&lt;&gt;"""",SPLIT(D958,"" 
""),)"),"")</f>
        <v/>
      </c>
    </row>
    <row r="959">
      <c r="A959" s="26" t="str">
        <f t="shared" si="1"/>
        <v/>
      </c>
      <c r="B959" s="26" t="str">
        <f t="shared" si="2"/>
        <v/>
      </c>
      <c r="C959" s="186" t="str">
        <f t="shared" si="3"/>
        <v/>
      </c>
      <c r="D959" s="187"/>
      <c r="E959" s="174" t="str">
        <f>IFERROR(__xludf.DUMMYFUNCTION("IF(D959&lt;&gt;"""",SPLIT(D959,"" 
""),)"),"")</f>
        <v/>
      </c>
    </row>
    <row r="960">
      <c r="A960" s="26" t="str">
        <f t="shared" si="1"/>
        <v/>
      </c>
      <c r="B960" s="26" t="str">
        <f t="shared" si="2"/>
        <v/>
      </c>
      <c r="C960" s="186" t="str">
        <f t="shared" si="3"/>
        <v/>
      </c>
      <c r="D960" s="187"/>
      <c r="E960" s="174" t="str">
        <f>IFERROR(__xludf.DUMMYFUNCTION("IF(D960&lt;&gt;"""",SPLIT(D960,"" 
""),)"),"")</f>
        <v/>
      </c>
    </row>
    <row r="961">
      <c r="A961" s="26" t="str">
        <f t="shared" si="1"/>
        <v/>
      </c>
      <c r="B961" s="26" t="str">
        <f t="shared" si="2"/>
        <v/>
      </c>
      <c r="C961" s="186" t="str">
        <f t="shared" si="3"/>
        <v/>
      </c>
      <c r="D961" s="187"/>
      <c r="E961" s="174" t="str">
        <f>IFERROR(__xludf.DUMMYFUNCTION("IF(D961&lt;&gt;"""",SPLIT(D961,"" 
""),)"),"")</f>
        <v/>
      </c>
    </row>
    <row r="962">
      <c r="A962" s="26" t="str">
        <f t="shared" si="1"/>
        <v/>
      </c>
      <c r="B962" s="26" t="str">
        <f t="shared" si="2"/>
        <v/>
      </c>
      <c r="C962" s="186" t="str">
        <f t="shared" si="3"/>
        <v/>
      </c>
      <c r="D962" s="187"/>
      <c r="E962" s="174" t="str">
        <f>IFERROR(__xludf.DUMMYFUNCTION("IF(D962&lt;&gt;"""",SPLIT(D962,"" 
""),)"),"")</f>
        <v/>
      </c>
    </row>
    <row r="963">
      <c r="A963" s="26" t="str">
        <f t="shared" si="1"/>
        <v/>
      </c>
      <c r="B963" s="26" t="str">
        <f t="shared" si="2"/>
        <v/>
      </c>
      <c r="C963" s="186" t="str">
        <f t="shared" si="3"/>
        <v/>
      </c>
      <c r="D963" s="187"/>
      <c r="E963" s="174" t="str">
        <f>IFERROR(__xludf.DUMMYFUNCTION("IF(D963&lt;&gt;"""",SPLIT(D963,"" 
""),)"),"")</f>
        <v/>
      </c>
    </row>
    <row r="964">
      <c r="A964" s="26" t="str">
        <f t="shared" si="1"/>
        <v/>
      </c>
      <c r="B964" s="26" t="str">
        <f t="shared" si="2"/>
        <v/>
      </c>
      <c r="C964" s="186" t="str">
        <f t="shared" si="3"/>
        <v/>
      </c>
      <c r="D964" s="187"/>
      <c r="E964" s="174" t="str">
        <f>IFERROR(__xludf.DUMMYFUNCTION("IF(D964&lt;&gt;"""",SPLIT(D964,"" 
""),)"),"")</f>
        <v/>
      </c>
    </row>
    <row r="965">
      <c r="A965" s="26" t="str">
        <f t="shared" si="1"/>
        <v/>
      </c>
      <c r="B965" s="26" t="str">
        <f t="shared" si="2"/>
        <v/>
      </c>
      <c r="C965" s="186" t="str">
        <f t="shared" si="3"/>
        <v/>
      </c>
      <c r="D965" s="187"/>
      <c r="E965" s="174" t="str">
        <f>IFERROR(__xludf.DUMMYFUNCTION("IF(D965&lt;&gt;"""",SPLIT(D965,"" 
""),)"),"")</f>
        <v/>
      </c>
    </row>
    <row r="966">
      <c r="A966" s="26" t="str">
        <f t="shared" si="1"/>
        <v/>
      </c>
      <c r="B966" s="26" t="str">
        <f t="shared" si="2"/>
        <v/>
      </c>
      <c r="C966" s="186" t="str">
        <f t="shared" si="3"/>
        <v/>
      </c>
      <c r="D966" s="187"/>
      <c r="E966" s="174" t="str">
        <f>IFERROR(__xludf.DUMMYFUNCTION("IF(D966&lt;&gt;"""",SPLIT(D966,"" 
""),)"),"")</f>
        <v/>
      </c>
    </row>
    <row r="967">
      <c r="A967" s="26" t="str">
        <f t="shared" si="1"/>
        <v/>
      </c>
      <c r="B967" s="26" t="str">
        <f t="shared" si="2"/>
        <v/>
      </c>
      <c r="C967" s="186" t="str">
        <f t="shared" si="3"/>
        <v/>
      </c>
      <c r="D967" s="187"/>
      <c r="E967" s="174" t="str">
        <f>IFERROR(__xludf.DUMMYFUNCTION("IF(D967&lt;&gt;"""",SPLIT(D967,"" 
""),)"),"")</f>
        <v/>
      </c>
    </row>
    <row r="968">
      <c r="A968" s="26" t="str">
        <f t="shared" si="1"/>
        <v/>
      </c>
      <c r="B968" s="26" t="str">
        <f t="shared" si="2"/>
        <v/>
      </c>
      <c r="C968" s="186" t="str">
        <f t="shared" si="3"/>
        <v/>
      </c>
      <c r="D968" s="187"/>
      <c r="E968" s="174" t="str">
        <f>IFERROR(__xludf.DUMMYFUNCTION("IF(D968&lt;&gt;"""",SPLIT(D968,"" 
""),)"),"")</f>
        <v/>
      </c>
    </row>
    <row r="969">
      <c r="A969" s="26" t="str">
        <f t="shared" si="1"/>
        <v/>
      </c>
      <c r="B969" s="26" t="str">
        <f t="shared" si="2"/>
        <v/>
      </c>
      <c r="C969" s="186" t="str">
        <f t="shared" si="3"/>
        <v/>
      </c>
      <c r="D969" s="187"/>
      <c r="E969" s="174" t="str">
        <f>IFERROR(__xludf.DUMMYFUNCTION("IF(D969&lt;&gt;"""",SPLIT(D969,"" 
""),)"),"")</f>
        <v/>
      </c>
    </row>
    <row r="970">
      <c r="A970" s="26" t="str">
        <f t="shared" si="1"/>
        <v/>
      </c>
      <c r="B970" s="26" t="str">
        <f t="shared" si="2"/>
        <v/>
      </c>
      <c r="C970" s="186" t="str">
        <f t="shared" si="3"/>
        <v/>
      </c>
      <c r="D970" s="187"/>
      <c r="E970" s="174" t="str">
        <f>IFERROR(__xludf.DUMMYFUNCTION("IF(D970&lt;&gt;"""",SPLIT(D970,"" 
""),)"),"")</f>
        <v/>
      </c>
    </row>
    <row r="971">
      <c r="A971" s="26" t="str">
        <f t="shared" si="1"/>
        <v/>
      </c>
      <c r="B971" s="26" t="str">
        <f t="shared" si="2"/>
        <v/>
      </c>
      <c r="C971" s="186" t="str">
        <f t="shared" si="3"/>
        <v/>
      </c>
      <c r="D971" s="187"/>
      <c r="E971" s="174" t="str">
        <f>IFERROR(__xludf.DUMMYFUNCTION("IF(D971&lt;&gt;"""",SPLIT(D971,"" 
""),)"),"")</f>
        <v/>
      </c>
    </row>
    <row r="972">
      <c r="A972" s="26" t="str">
        <f t="shared" si="1"/>
        <v/>
      </c>
      <c r="B972" s="26" t="str">
        <f t="shared" si="2"/>
        <v/>
      </c>
      <c r="C972" s="186" t="str">
        <f t="shared" si="3"/>
        <v/>
      </c>
      <c r="D972" s="187"/>
      <c r="E972" s="174" t="str">
        <f>IFERROR(__xludf.DUMMYFUNCTION("IF(D972&lt;&gt;"""",SPLIT(D972,"" 
""),)"),"")</f>
        <v/>
      </c>
    </row>
    <row r="973">
      <c r="A973" s="26" t="str">
        <f t="shared" si="1"/>
        <v/>
      </c>
      <c r="B973" s="26" t="str">
        <f t="shared" si="2"/>
        <v/>
      </c>
      <c r="C973" s="186" t="str">
        <f t="shared" si="3"/>
        <v/>
      </c>
      <c r="D973" s="187"/>
      <c r="E973" s="174" t="str">
        <f>IFERROR(__xludf.DUMMYFUNCTION("IF(D973&lt;&gt;"""",SPLIT(D973,"" 
""),)"),"")</f>
        <v/>
      </c>
    </row>
    <row r="974">
      <c r="A974" s="26" t="str">
        <f t="shared" si="1"/>
        <v/>
      </c>
      <c r="B974" s="26" t="str">
        <f t="shared" si="2"/>
        <v/>
      </c>
      <c r="C974" s="186" t="str">
        <f t="shared" si="3"/>
        <v/>
      </c>
      <c r="D974" s="187"/>
      <c r="E974" s="174" t="str">
        <f>IFERROR(__xludf.DUMMYFUNCTION("IF(D974&lt;&gt;"""",SPLIT(D974,"" 
""),)"),"")</f>
        <v/>
      </c>
    </row>
    <row r="975">
      <c r="A975" s="26" t="str">
        <f t="shared" si="1"/>
        <v/>
      </c>
      <c r="B975" s="26" t="str">
        <f t="shared" si="2"/>
        <v/>
      </c>
      <c r="C975" s="186" t="str">
        <f t="shared" si="3"/>
        <v/>
      </c>
      <c r="D975" s="187"/>
      <c r="E975" s="174" t="str">
        <f>IFERROR(__xludf.DUMMYFUNCTION("IF(D975&lt;&gt;"""",SPLIT(D975,"" 
""),)"),"")</f>
        <v/>
      </c>
    </row>
    <row r="976">
      <c r="A976" s="26" t="str">
        <f t="shared" si="1"/>
        <v/>
      </c>
      <c r="B976" s="26" t="str">
        <f t="shared" si="2"/>
        <v/>
      </c>
      <c r="C976" s="186" t="str">
        <f t="shared" si="3"/>
        <v/>
      </c>
      <c r="D976" s="187"/>
      <c r="E976" s="174" t="str">
        <f>IFERROR(__xludf.DUMMYFUNCTION("IF(D976&lt;&gt;"""",SPLIT(D976,"" 
""),)"),"")</f>
        <v/>
      </c>
    </row>
    <row r="977">
      <c r="A977" s="26" t="str">
        <f t="shared" si="1"/>
        <v/>
      </c>
      <c r="B977" s="26" t="str">
        <f t="shared" si="2"/>
        <v/>
      </c>
      <c r="C977" s="186" t="str">
        <f t="shared" si="3"/>
        <v/>
      </c>
      <c r="D977" s="187"/>
      <c r="E977" s="174" t="str">
        <f>IFERROR(__xludf.DUMMYFUNCTION("IF(D977&lt;&gt;"""",SPLIT(D977,"" 
""),)"),"")</f>
        <v/>
      </c>
    </row>
    <row r="978">
      <c r="A978" s="26" t="str">
        <f t="shared" si="1"/>
        <v/>
      </c>
      <c r="B978" s="26" t="str">
        <f t="shared" si="2"/>
        <v/>
      </c>
      <c r="C978" s="186" t="str">
        <f t="shared" si="3"/>
        <v/>
      </c>
      <c r="D978" s="187"/>
      <c r="E978" s="174" t="str">
        <f>IFERROR(__xludf.DUMMYFUNCTION("IF(D978&lt;&gt;"""",SPLIT(D978,"" 
""),)"),"")</f>
        <v/>
      </c>
    </row>
    <row r="979">
      <c r="A979" s="26" t="str">
        <f t="shared" si="1"/>
        <v/>
      </c>
      <c r="B979" s="26" t="str">
        <f t="shared" si="2"/>
        <v/>
      </c>
      <c r="C979" s="186" t="str">
        <f t="shared" si="3"/>
        <v/>
      </c>
      <c r="D979" s="187"/>
      <c r="E979" s="174" t="str">
        <f>IFERROR(__xludf.DUMMYFUNCTION("IF(D979&lt;&gt;"""",SPLIT(D979,"" 
""),)"),"")</f>
        <v/>
      </c>
    </row>
    <row r="980">
      <c r="A980" s="26" t="str">
        <f t="shared" si="1"/>
        <v/>
      </c>
      <c r="B980" s="26" t="str">
        <f t="shared" si="2"/>
        <v/>
      </c>
      <c r="C980" s="186" t="str">
        <f t="shared" si="3"/>
        <v/>
      </c>
      <c r="D980" s="187"/>
      <c r="E980" s="174" t="str">
        <f>IFERROR(__xludf.DUMMYFUNCTION("IF(D980&lt;&gt;"""",SPLIT(D980,"" 
""),)"),"")</f>
        <v/>
      </c>
    </row>
    <row r="981">
      <c r="A981" s="26" t="str">
        <f t="shared" si="1"/>
        <v/>
      </c>
      <c r="B981" s="26" t="str">
        <f t="shared" si="2"/>
        <v/>
      </c>
      <c r="C981" s="186" t="str">
        <f t="shared" si="3"/>
        <v/>
      </c>
      <c r="D981" s="187"/>
      <c r="E981" s="174" t="str">
        <f>IFERROR(__xludf.DUMMYFUNCTION("IF(D981&lt;&gt;"""",SPLIT(D981,"" 
""),)"),"")</f>
        <v/>
      </c>
    </row>
    <row r="982">
      <c r="A982" s="26" t="str">
        <f t="shared" si="1"/>
        <v/>
      </c>
      <c r="B982" s="26" t="str">
        <f t="shared" si="2"/>
        <v/>
      </c>
      <c r="C982" s="186" t="str">
        <f t="shared" si="3"/>
        <v/>
      </c>
      <c r="D982" s="187"/>
      <c r="E982" s="174" t="str">
        <f>IFERROR(__xludf.DUMMYFUNCTION("IF(D982&lt;&gt;"""",SPLIT(D982,"" 
""),)"),"")</f>
        <v/>
      </c>
    </row>
    <row r="983">
      <c r="A983" s="26" t="str">
        <f t="shared" si="1"/>
        <v/>
      </c>
      <c r="B983" s="26" t="str">
        <f t="shared" si="2"/>
        <v/>
      </c>
      <c r="C983" s="186" t="str">
        <f t="shared" si="3"/>
        <v/>
      </c>
      <c r="D983" s="187"/>
      <c r="E983" s="174" t="str">
        <f>IFERROR(__xludf.DUMMYFUNCTION("IF(D983&lt;&gt;"""",SPLIT(D983,"" 
""),)"),"")</f>
        <v/>
      </c>
    </row>
    <row r="984">
      <c r="A984" s="26" t="str">
        <f t="shared" si="1"/>
        <v/>
      </c>
      <c r="B984" s="26" t="str">
        <f t="shared" si="2"/>
        <v/>
      </c>
      <c r="C984" s="186" t="str">
        <f t="shared" si="3"/>
        <v/>
      </c>
      <c r="D984" s="187"/>
      <c r="E984" s="174" t="str">
        <f>IFERROR(__xludf.DUMMYFUNCTION("IF(D984&lt;&gt;"""",SPLIT(D984,"" 
""),)"),"")</f>
        <v/>
      </c>
    </row>
    <row r="985">
      <c r="A985" s="26" t="str">
        <f t="shared" si="1"/>
        <v/>
      </c>
      <c r="B985" s="26" t="str">
        <f t="shared" si="2"/>
        <v/>
      </c>
      <c r="C985" s="186" t="str">
        <f t="shared" si="3"/>
        <v/>
      </c>
      <c r="D985" s="187"/>
      <c r="E985" s="174" t="str">
        <f>IFERROR(__xludf.DUMMYFUNCTION("IF(D985&lt;&gt;"""",SPLIT(D985,"" 
""),)"),"")</f>
        <v/>
      </c>
    </row>
    <row r="986">
      <c r="A986" s="26" t="str">
        <f t="shared" si="1"/>
        <v/>
      </c>
      <c r="B986" s="26" t="str">
        <f t="shared" si="2"/>
        <v/>
      </c>
      <c r="C986" s="186" t="str">
        <f t="shared" si="3"/>
        <v/>
      </c>
      <c r="D986" s="187"/>
      <c r="E986" s="174" t="str">
        <f>IFERROR(__xludf.DUMMYFUNCTION("IF(D986&lt;&gt;"""",SPLIT(D986,"" 
""),)"),"")</f>
        <v/>
      </c>
    </row>
    <row r="987">
      <c r="A987" s="26" t="str">
        <f t="shared" si="1"/>
        <v/>
      </c>
      <c r="B987" s="26" t="str">
        <f t="shared" si="2"/>
        <v/>
      </c>
      <c r="C987" s="186" t="str">
        <f t="shared" si="3"/>
        <v/>
      </c>
      <c r="D987" s="187"/>
      <c r="E987" s="174" t="str">
        <f>IFERROR(__xludf.DUMMYFUNCTION("IF(D987&lt;&gt;"""",SPLIT(D987,"" 
""),)"),"")</f>
        <v/>
      </c>
    </row>
    <row r="988">
      <c r="A988" s="26" t="str">
        <f t="shared" si="1"/>
        <v/>
      </c>
      <c r="B988" s="26" t="str">
        <f t="shared" si="2"/>
        <v/>
      </c>
      <c r="C988" s="186" t="str">
        <f t="shared" si="3"/>
        <v/>
      </c>
      <c r="D988" s="187"/>
      <c r="E988" s="174" t="str">
        <f>IFERROR(__xludf.DUMMYFUNCTION("IF(D988&lt;&gt;"""",SPLIT(D988,"" 
""),)"),"")</f>
        <v/>
      </c>
    </row>
    <row r="989">
      <c r="A989" s="26" t="str">
        <f t="shared" si="1"/>
        <v/>
      </c>
      <c r="B989" s="26" t="str">
        <f t="shared" si="2"/>
        <v/>
      </c>
      <c r="C989" s="186" t="str">
        <f t="shared" si="3"/>
        <v/>
      </c>
      <c r="D989" s="187"/>
      <c r="E989" s="174" t="str">
        <f>IFERROR(__xludf.DUMMYFUNCTION("IF(D989&lt;&gt;"""",SPLIT(D989,"" 
""),)"),"")</f>
        <v/>
      </c>
    </row>
    <row r="990">
      <c r="A990" s="26" t="str">
        <f t="shared" si="1"/>
        <v/>
      </c>
      <c r="B990" s="26" t="str">
        <f t="shared" si="2"/>
        <v/>
      </c>
      <c r="C990" s="186" t="str">
        <f t="shared" si="3"/>
        <v/>
      </c>
      <c r="D990" s="187"/>
      <c r="E990" s="174" t="str">
        <f>IFERROR(__xludf.DUMMYFUNCTION("IF(D990&lt;&gt;"""",SPLIT(D990,"" 
""),)"),"")</f>
        <v/>
      </c>
    </row>
    <row r="991">
      <c r="A991" s="26" t="str">
        <f t="shared" si="1"/>
        <v/>
      </c>
      <c r="B991" s="26" t="str">
        <f t="shared" si="2"/>
        <v/>
      </c>
      <c r="C991" s="186" t="str">
        <f t="shared" si="3"/>
        <v/>
      </c>
      <c r="D991" s="187"/>
      <c r="E991" s="174" t="str">
        <f>IFERROR(__xludf.DUMMYFUNCTION("IF(D991&lt;&gt;"""",SPLIT(D991,"" 
""),)"),"")</f>
        <v/>
      </c>
    </row>
    <row r="992">
      <c r="A992" s="26" t="str">
        <f t="shared" si="1"/>
        <v/>
      </c>
      <c r="B992" s="26" t="str">
        <f t="shared" si="2"/>
        <v/>
      </c>
      <c r="C992" s="186" t="str">
        <f t="shared" si="3"/>
        <v/>
      </c>
      <c r="D992" s="187"/>
      <c r="E992" s="174" t="str">
        <f>IFERROR(__xludf.DUMMYFUNCTION("IF(D992&lt;&gt;"""",SPLIT(D992,"" 
""),)"),"")</f>
        <v/>
      </c>
    </row>
    <row r="993">
      <c r="A993" s="26" t="str">
        <f t="shared" si="1"/>
        <v/>
      </c>
      <c r="B993" s="26" t="str">
        <f t="shared" si="2"/>
        <v/>
      </c>
      <c r="C993" s="186" t="str">
        <f t="shared" si="3"/>
        <v/>
      </c>
      <c r="D993" s="187"/>
      <c r="E993" s="174" t="str">
        <f>IFERROR(__xludf.DUMMYFUNCTION("IF(D993&lt;&gt;"""",SPLIT(D993,"" 
""),)"),"")</f>
        <v/>
      </c>
    </row>
    <row r="994">
      <c r="A994" s="26" t="str">
        <f t="shared" si="1"/>
        <v/>
      </c>
      <c r="B994" s="26" t="str">
        <f t="shared" si="2"/>
        <v/>
      </c>
      <c r="C994" s="186" t="str">
        <f t="shared" si="3"/>
        <v/>
      </c>
      <c r="D994" s="187"/>
      <c r="E994" s="174" t="str">
        <f>IFERROR(__xludf.DUMMYFUNCTION("IF(D994&lt;&gt;"""",SPLIT(D994,"" 
""),)"),"")</f>
        <v/>
      </c>
    </row>
    <row r="995">
      <c r="A995" s="26" t="str">
        <f t="shared" si="1"/>
        <v/>
      </c>
      <c r="B995" s="26" t="str">
        <f t="shared" si="2"/>
        <v/>
      </c>
      <c r="C995" s="186" t="str">
        <f t="shared" si="3"/>
        <v/>
      </c>
      <c r="D995" s="187"/>
      <c r="E995" s="174" t="str">
        <f>IFERROR(__xludf.DUMMYFUNCTION("IF(D995&lt;&gt;"""",SPLIT(D995,"" 
""),)"),"")</f>
        <v/>
      </c>
    </row>
    <row r="996">
      <c r="A996" s="26" t="str">
        <f t="shared" si="1"/>
        <v/>
      </c>
      <c r="B996" s="26" t="str">
        <f t="shared" si="2"/>
        <v/>
      </c>
      <c r="C996" s="186" t="str">
        <f t="shared" si="3"/>
        <v/>
      </c>
      <c r="D996" s="187"/>
      <c r="E996" s="174" t="str">
        <f>IFERROR(__xludf.DUMMYFUNCTION("IF(D996&lt;&gt;"""",SPLIT(D996,"" 
""),)"),"")</f>
        <v/>
      </c>
    </row>
    <row r="997">
      <c r="A997" s="26" t="str">
        <f t="shared" si="1"/>
        <v/>
      </c>
      <c r="B997" s="26" t="str">
        <f t="shared" si="2"/>
        <v/>
      </c>
      <c r="C997" s="186" t="str">
        <f t="shared" si="3"/>
        <v/>
      </c>
      <c r="D997" s="187"/>
      <c r="E997" s="174" t="str">
        <f>IFERROR(__xludf.DUMMYFUNCTION("IF(D997&lt;&gt;"""",SPLIT(D997,"" 
""),)"),"")</f>
        <v/>
      </c>
    </row>
    <row r="998">
      <c r="A998" s="26" t="str">
        <f t="shared" si="1"/>
        <v/>
      </c>
      <c r="B998" s="26" t="str">
        <f t="shared" si="2"/>
        <v/>
      </c>
      <c r="C998" s="186" t="str">
        <f t="shared" si="3"/>
        <v/>
      </c>
      <c r="D998" s="187"/>
      <c r="E998" s="174" t="str">
        <f>IFERROR(__xludf.DUMMYFUNCTION("IF(D998&lt;&gt;"""",SPLIT(D998,"" 
""),)"),"")</f>
        <v/>
      </c>
    </row>
    <row r="999">
      <c r="A999" s="26" t="str">
        <f t="shared" si="1"/>
        <v/>
      </c>
      <c r="B999" s="26" t="str">
        <f t="shared" si="2"/>
        <v/>
      </c>
      <c r="C999" s="186" t="str">
        <f t="shared" si="3"/>
        <v/>
      </c>
      <c r="D999" s="187"/>
      <c r="E999" s="174" t="str">
        <f>IFERROR(__xludf.DUMMYFUNCTION("IF(D999&lt;&gt;"""",SPLIT(D999,"" 
""),)"),"")</f>
        <v/>
      </c>
    </row>
    <row r="1000">
      <c r="A1000" s="26" t="str">
        <f t="shared" si="1"/>
        <v/>
      </c>
      <c r="B1000" s="26" t="str">
        <f t="shared" si="2"/>
        <v/>
      </c>
      <c r="C1000" s="186" t="str">
        <f t="shared" si="3"/>
        <v/>
      </c>
      <c r="D1000" s="187"/>
      <c r="E1000" s="174" t="str">
        <f>IFERROR(__xludf.DUMMYFUNCTION("IF(D1000&lt;&gt;"""",SPLIT(D1000,"" 
""),)"),"")</f>
        <v/>
      </c>
    </row>
    <row r="1001">
      <c r="A1001" s="26" t="str">
        <f t="shared" si="1"/>
        <v/>
      </c>
      <c r="B1001" s="26" t="str">
        <f t="shared" si="2"/>
        <v/>
      </c>
      <c r="C1001" s="186" t="str">
        <f t="shared" si="3"/>
        <v/>
      </c>
      <c r="D1001" s="187"/>
      <c r="E1001" s="174" t="str">
        <f>IFERROR(__xludf.DUMMYFUNCTION("IF(D1001&lt;&gt;"""",SPLIT(D1001,"" 
""),)"),"")</f>
        <v/>
      </c>
    </row>
    <row r="1002">
      <c r="A1002" s="26" t="str">
        <f t="shared" si="1"/>
        <v/>
      </c>
      <c r="B1002" s="26" t="str">
        <f t="shared" si="2"/>
        <v/>
      </c>
      <c r="C1002" s="186" t="str">
        <f t="shared" si="3"/>
        <v/>
      </c>
      <c r="D1002" s="187"/>
      <c r="E1002" s="174" t="str">
        <f>IFERROR(__xludf.DUMMYFUNCTION("IF(D1002&lt;&gt;"""",SPLIT(D1002,"" 
""),)"),"")</f>
        <v/>
      </c>
    </row>
    <row r="1003">
      <c r="A1003" s="26" t="str">
        <f t="shared" si="1"/>
        <v/>
      </c>
      <c r="B1003" s="26" t="str">
        <f t="shared" si="2"/>
        <v/>
      </c>
      <c r="C1003" s="186" t="str">
        <f t="shared" si="3"/>
        <v/>
      </c>
      <c r="D1003" s="187"/>
      <c r="E1003" s="174" t="str">
        <f>IFERROR(__xludf.DUMMYFUNCTION("IF(D1003&lt;&gt;"""",SPLIT(D1003,"" 
""),)"),"")</f>
        <v/>
      </c>
    </row>
    <row r="1004">
      <c r="A1004" s="26" t="str">
        <f t="shared" si="1"/>
        <v/>
      </c>
      <c r="B1004" s="26" t="str">
        <f t="shared" si="2"/>
        <v/>
      </c>
      <c r="C1004" s="186" t="str">
        <f t="shared" si="3"/>
        <v/>
      </c>
      <c r="D1004" s="187"/>
      <c r="E1004" s="174" t="str">
        <f>IFERROR(__xludf.DUMMYFUNCTION("IF(D1004&lt;&gt;"""",SPLIT(D1004,"" 
""),)"),"")</f>
        <v/>
      </c>
    </row>
    <row r="1005">
      <c r="A1005" s="26" t="str">
        <f t="shared" si="1"/>
        <v/>
      </c>
      <c r="B1005" s="26" t="str">
        <f t="shared" si="2"/>
        <v/>
      </c>
      <c r="C1005" s="186" t="str">
        <f t="shared" si="3"/>
        <v/>
      </c>
      <c r="D1005" s="187"/>
      <c r="E1005" s="174" t="str">
        <f>IFERROR(__xludf.DUMMYFUNCTION("IF(D1005&lt;&gt;"""",SPLIT(D1005,"" 
""),)"),"")</f>
        <v/>
      </c>
    </row>
    <row r="1006">
      <c r="A1006" s="26" t="str">
        <f t="shared" si="1"/>
        <v/>
      </c>
      <c r="B1006" s="26" t="str">
        <f t="shared" si="2"/>
        <v/>
      </c>
      <c r="C1006" s="186" t="str">
        <f t="shared" si="3"/>
        <v/>
      </c>
      <c r="D1006" s="187"/>
      <c r="E1006" s="174" t="str">
        <f>IFERROR(__xludf.DUMMYFUNCTION("IF(D1006&lt;&gt;"""",SPLIT(D1006,"" 
""),)"),"")</f>
        <v/>
      </c>
    </row>
    <row r="1007">
      <c r="A1007" s="26" t="str">
        <f t="shared" si="1"/>
        <v/>
      </c>
      <c r="B1007" s="26" t="str">
        <f t="shared" si="2"/>
        <v/>
      </c>
      <c r="C1007" s="186" t="str">
        <f t="shared" si="3"/>
        <v/>
      </c>
      <c r="D1007" s="187"/>
      <c r="E1007" s="174" t="str">
        <f>IFERROR(__xludf.DUMMYFUNCTION("IF(D1007&lt;&gt;"""",SPLIT(D1007,"" 
""),)"),"")</f>
        <v/>
      </c>
    </row>
    <row r="1008">
      <c r="A1008" s="26" t="str">
        <f t="shared" si="1"/>
        <v/>
      </c>
      <c r="B1008" s="26" t="str">
        <f t="shared" si="2"/>
        <v/>
      </c>
      <c r="C1008" s="186" t="str">
        <f t="shared" si="3"/>
        <v/>
      </c>
      <c r="D1008" s="187"/>
      <c r="E1008" s="174" t="str">
        <f>IFERROR(__xludf.DUMMYFUNCTION("IF(D1008&lt;&gt;"""",SPLIT(D1008,"" 
""),)"),"")</f>
        <v/>
      </c>
    </row>
    <row r="1009">
      <c r="A1009" s="26" t="str">
        <f t="shared" si="1"/>
        <v/>
      </c>
      <c r="B1009" s="26" t="str">
        <f t="shared" si="2"/>
        <v/>
      </c>
      <c r="C1009" s="186" t="str">
        <f t="shared" si="3"/>
        <v/>
      </c>
      <c r="D1009" s="187"/>
      <c r="E1009" s="174" t="str">
        <f>IFERROR(__xludf.DUMMYFUNCTION("IF(D1009&lt;&gt;"""",SPLIT(D1009,"" 
""),)"),"")</f>
        <v/>
      </c>
    </row>
    <row r="1010">
      <c r="A1010" s="26" t="str">
        <f t="shared" si="1"/>
        <v/>
      </c>
      <c r="B1010" s="26" t="str">
        <f t="shared" si="2"/>
        <v/>
      </c>
      <c r="C1010" s="186" t="str">
        <f t="shared" si="3"/>
        <v/>
      </c>
      <c r="D1010" s="187"/>
      <c r="E1010" s="174" t="str">
        <f>IFERROR(__xludf.DUMMYFUNCTION("IF(D1010&lt;&gt;"""",SPLIT(D1010,"" 
""),)"),"")</f>
        <v/>
      </c>
    </row>
    <row r="1011">
      <c r="A1011" s="26" t="str">
        <f t="shared" si="1"/>
        <v/>
      </c>
      <c r="B1011" s="26" t="str">
        <f t="shared" si="2"/>
        <v/>
      </c>
      <c r="C1011" s="186" t="str">
        <f t="shared" si="3"/>
        <v/>
      </c>
      <c r="D1011" s="187"/>
      <c r="E1011" s="174" t="str">
        <f>IFERROR(__xludf.DUMMYFUNCTION("IF(D1011&lt;&gt;"""",SPLIT(D1011,"" 
""),)"),"")</f>
        <v/>
      </c>
    </row>
    <row r="1012">
      <c r="A1012" s="26" t="str">
        <f t="shared" si="1"/>
        <v/>
      </c>
      <c r="B1012" s="26" t="str">
        <f t="shared" si="2"/>
        <v/>
      </c>
      <c r="C1012" s="186" t="str">
        <f t="shared" si="3"/>
        <v/>
      </c>
      <c r="D1012" s="187"/>
      <c r="E1012" s="174" t="str">
        <f>IFERROR(__xludf.DUMMYFUNCTION("IF(D1012&lt;&gt;"""",SPLIT(D1012,"" 
""),)"),"")</f>
        <v/>
      </c>
    </row>
    <row r="1013">
      <c r="A1013" s="26" t="str">
        <f t="shared" si="1"/>
        <v/>
      </c>
      <c r="B1013" s="26" t="str">
        <f t="shared" si="2"/>
        <v/>
      </c>
      <c r="C1013" s="186" t="str">
        <f t="shared" si="3"/>
        <v/>
      </c>
      <c r="D1013" s="187"/>
      <c r="E1013" s="174" t="str">
        <f>IFERROR(__xludf.DUMMYFUNCTION("IF(D1013&lt;&gt;"""",SPLIT(D1013,"" 
""),)"),"")</f>
        <v/>
      </c>
    </row>
    <row r="1014">
      <c r="A1014" s="26" t="str">
        <f t="shared" si="1"/>
        <v/>
      </c>
      <c r="B1014" s="26" t="str">
        <f t="shared" si="2"/>
        <v/>
      </c>
      <c r="C1014" s="186" t="str">
        <f t="shared" si="3"/>
        <v/>
      </c>
      <c r="D1014" s="187"/>
      <c r="E1014" s="174" t="str">
        <f>IFERROR(__xludf.DUMMYFUNCTION("IF(D1014&lt;&gt;"""",SPLIT(D1014,"" 
""),)"),"")</f>
        <v/>
      </c>
    </row>
    <row r="1015">
      <c r="A1015" s="26" t="str">
        <f t="shared" si="1"/>
        <v/>
      </c>
      <c r="B1015" s="26" t="str">
        <f t="shared" si="2"/>
        <v/>
      </c>
      <c r="C1015" s="186" t="str">
        <f t="shared" si="3"/>
        <v/>
      </c>
      <c r="D1015" s="187"/>
      <c r="E1015" s="174" t="str">
        <f>IFERROR(__xludf.DUMMYFUNCTION("IF(D1015&lt;&gt;"""",SPLIT(D1015,"" 
""),)"),"")</f>
        <v/>
      </c>
    </row>
    <row r="1016">
      <c r="A1016" s="26" t="str">
        <f t="shared" si="1"/>
        <v/>
      </c>
      <c r="B1016" s="26" t="str">
        <f t="shared" si="2"/>
        <v/>
      </c>
      <c r="C1016" s="186" t="str">
        <f t="shared" si="3"/>
        <v/>
      </c>
      <c r="D1016" s="187"/>
      <c r="E1016" s="174" t="str">
        <f>IFERROR(__xludf.DUMMYFUNCTION("IF(D1016&lt;&gt;"""",SPLIT(D1016,"" 
""),)"),"")</f>
        <v/>
      </c>
    </row>
    <row r="1017">
      <c r="A1017" s="26" t="str">
        <f t="shared" si="1"/>
        <v/>
      </c>
      <c r="B1017" s="26" t="str">
        <f t="shared" si="2"/>
        <v/>
      </c>
      <c r="C1017" s="186" t="str">
        <f t="shared" si="3"/>
        <v/>
      </c>
      <c r="D1017" s="187"/>
      <c r="E1017" s="174" t="str">
        <f>IFERROR(__xludf.DUMMYFUNCTION("IF(D1017&lt;&gt;"""",SPLIT(D1017,"" 
""),)"),"")</f>
        <v/>
      </c>
    </row>
    <row r="1018">
      <c r="A1018" s="26" t="str">
        <f t="shared" si="1"/>
        <v/>
      </c>
      <c r="B1018" s="26" t="str">
        <f t="shared" si="2"/>
        <v/>
      </c>
      <c r="C1018" s="186" t="str">
        <f t="shared" si="3"/>
        <v/>
      </c>
      <c r="D1018" s="187"/>
      <c r="E1018" s="174" t="str">
        <f>IFERROR(__xludf.DUMMYFUNCTION("IF(D1018&lt;&gt;"""",SPLIT(D1018,"" 
""),)"),"")</f>
        <v/>
      </c>
    </row>
    <row r="1019">
      <c r="A1019" s="26" t="str">
        <f t="shared" si="1"/>
        <v/>
      </c>
      <c r="B1019" s="26" t="str">
        <f t="shared" si="2"/>
        <v/>
      </c>
      <c r="C1019" s="186" t="str">
        <f t="shared" si="3"/>
        <v/>
      </c>
      <c r="D1019" s="187"/>
      <c r="E1019" s="174" t="str">
        <f>IFERROR(__xludf.DUMMYFUNCTION("IF(D1019&lt;&gt;"""",SPLIT(D1019,"" 
""),)"),"")</f>
        <v/>
      </c>
    </row>
    <row r="1020">
      <c r="A1020" s="26" t="str">
        <f t="shared" si="1"/>
        <v/>
      </c>
      <c r="B1020" s="26" t="str">
        <f t="shared" si="2"/>
        <v/>
      </c>
      <c r="C1020" s="186" t="str">
        <f t="shared" si="3"/>
        <v/>
      </c>
      <c r="D1020" s="187"/>
      <c r="E1020" s="174" t="str">
        <f>IFERROR(__xludf.DUMMYFUNCTION("IF(D1020&lt;&gt;"""",SPLIT(D1020,"" 
""),)"),"")</f>
        <v/>
      </c>
    </row>
    <row r="1021">
      <c r="A1021" s="26" t="str">
        <f t="shared" si="1"/>
        <v/>
      </c>
      <c r="B1021" s="26" t="str">
        <f t="shared" si="2"/>
        <v/>
      </c>
      <c r="C1021" s="186" t="str">
        <f t="shared" si="3"/>
        <v/>
      </c>
      <c r="D1021" s="187"/>
      <c r="E1021" s="174" t="str">
        <f>IFERROR(__xludf.DUMMYFUNCTION("IF(D1021&lt;&gt;"""",SPLIT(D1021,"" 
""),)"),"")</f>
        <v/>
      </c>
    </row>
    <row r="1022">
      <c r="A1022" s="26" t="str">
        <f t="shared" si="1"/>
        <v/>
      </c>
      <c r="B1022" s="26" t="str">
        <f t="shared" si="2"/>
        <v/>
      </c>
      <c r="C1022" s="186" t="str">
        <f t="shared" si="3"/>
        <v/>
      </c>
      <c r="D1022" s="187"/>
      <c r="E1022" s="174" t="str">
        <f>IFERROR(__xludf.DUMMYFUNCTION("IF(D1022&lt;&gt;"""",SPLIT(D1022,"" 
""),)"),"")</f>
        <v/>
      </c>
    </row>
    <row r="1023">
      <c r="A1023" s="26" t="str">
        <f t="shared" si="1"/>
        <v/>
      </c>
      <c r="B1023" s="26" t="str">
        <f t="shared" si="2"/>
        <v/>
      </c>
      <c r="C1023" s="186" t="str">
        <f t="shared" si="3"/>
        <v/>
      </c>
      <c r="D1023" s="187"/>
      <c r="E1023" s="174" t="str">
        <f>IFERROR(__xludf.DUMMYFUNCTION("IF(D1023&lt;&gt;"""",SPLIT(D1023,"" 
""),)"),"")</f>
        <v/>
      </c>
    </row>
    <row r="1024">
      <c r="A1024" s="26" t="str">
        <f t="shared" si="1"/>
        <v/>
      </c>
      <c r="B1024" s="26" t="str">
        <f t="shared" si="2"/>
        <v/>
      </c>
      <c r="C1024" s="186" t="str">
        <f t="shared" si="3"/>
        <v/>
      </c>
      <c r="D1024" s="187"/>
      <c r="E1024" s="174" t="str">
        <f>IFERROR(__xludf.DUMMYFUNCTION("IF(D1024&lt;&gt;"""",SPLIT(D1024,"" 
""),)"),"")</f>
        <v/>
      </c>
    </row>
    <row r="1025">
      <c r="A1025" s="26" t="str">
        <f t="shared" si="1"/>
        <v/>
      </c>
      <c r="B1025" s="26" t="str">
        <f t="shared" si="2"/>
        <v/>
      </c>
      <c r="C1025" s="186" t="str">
        <f t="shared" si="3"/>
        <v/>
      </c>
      <c r="D1025" s="187"/>
      <c r="E1025" s="174" t="str">
        <f>IFERROR(__xludf.DUMMYFUNCTION("IF(D1025&lt;&gt;"""",SPLIT(D1025,"" 
""),)"),"")</f>
        <v/>
      </c>
    </row>
    <row r="1026">
      <c r="A1026" s="26" t="str">
        <f t="shared" si="1"/>
        <v/>
      </c>
      <c r="B1026" s="26" t="str">
        <f t="shared" si="2"/>
        <v/>
      </c>
      <c r="C1026" s="186" t="str">
        <f t="shared" si="3"/>
        <v/>
      </c>
      <c r="D1026" s="187"/>
      <c r="E1026" s="174" t="str">
        <f>IFERROR(__xludf.DUMMYFUNCTION("IF(D1026&lt;&gt;"""",SPLIT(D1026,"" 
""),)"),"")</f>
        <v/>
      </c>
    </row>
    <row r="1027">
      <c r="A1027" s="26" t="str">
        <f t="shared" si="1"/>
        <v/>
      </c>
      <c r="B1027" s="26" t="str">
        <f t="shared" si="2"/>
        <v/>
      </c>
      <c r="C1027" s="186" t="str">
        <f t="shared" si="3"/>
        <v/>
      </c>
      <c r="D1027" s="187"/>
      <c r="E1027" s="174" t="str">
        <f>IFERROR(__xludf.DUMMYFUNCTION("IF(D1027&lt;&gt;"""",SPLIT(D1027,"" 
""),)"),"")</f>
        <v/>
      </c>
    </row>
    <row r="1028">
      <c r="A1028" s="26" t="str">
        <f t="shared" si="1"/>
        <v/>
      </c>
      <c r="B1028" s="26" t="str">
        <f t="shared" si="2"/>
        <v/>
      </c>
      <c r="C1028" s="186" t="str">
        <f t="shared" si="3"/>
        <v/>
      </c>
      <c r="D1028" s="187"/>
      <c r="E1028" s="174" t="str">
        <f>IFERROR(__xludf.DUMMYFUNCTION("IF(D1028&lt;&gt;"""",SPLIT(D1028,"" 
""),)"),"")</f>
        <v/>
      </c>
    </row>
    <row r="1029">
      <c r="A1029" s="26" t="str">
        <f t="shared" si="1"/>
        <v/>
      </c>
      <c r="B1029" s="26" t="str">
        <f t="shared" si="2"/>
        <v/>
      </c>
      <c r="C1029" s="186" t="str">
        <f t="shared" si="3"/>
        <v/>
      </c>
      <c r="D1029" s="187"/>
      <c r="E1029" s="174" t="str">
        <f>IFERROR(__xludf.DUMMYFUNCTION("IF(D1029&lt;&gt;"""",SPLIT(D1029,"" 
""),)"),"")</f>
        <v/>
      </c>
    </row>
    <row r="1030">
      <c r="A1030" s="26" t="str">
        <f t="shared" si="1"/>
        <v/>
      </c>
      <c r="B1030" s="26" t="str">
        <f t="shared" si="2"/>
        <v/>
      </c>
      <c r="C1030" s="186" t="str">
        <f t="shared" si="3"/>
        <v/>
      </c>
      <c r="D1030" s="187"/>
      <c r="E1030" s="174" t="str">
        <f>IFERROR(__xludf.DUMMYFUNCTION("IF(D1030&lt;&gt;"""",SPLIT(D1030,"" 
""),)"),"")</f>
        <v/>
      </c>
    </row>
    <row r="1031">
      <c r="A1031" s="26" t="str">
        <f t="shared" si="1"/>
        <v/>
      </c>
      <c r="B1031" s="26" t="str">
        <f t="shared" si="2"/>
        <v/>
      </c>
      <c r="C1031" s="186" t="str">
        <f t="shared" si="3"/>
        <v/>
      </c>
      <c r="D1031" s="187"/>
      <c r="E1031" s="174" t="str">
        <f>IFERROR(__xludf.DUMMYFUNCTION("IF(D1031&lt;&gt;"""",SPLIT(D1031,"" 
""),)"),"")</f>
        <v/>
      </c>
    </row>
    <row r="1032">
      <c r="A1032" s="26" t="str">
        <f t="shared" si="1"/>
        <v/>
      </c>
      <c r="B1032" s="26" t="str">
        <f t="shared" si="2"/>
        <v/>
      </c>
      <c r="C1032" s="186" t="str">
        <f t="shared" si="3"/>
        <v/>
      </c>
      <c r="D1032" s="187"/>
      <c r="E1032" s="174" t="str">
        <f>IFERROR(__xludf.DUMMYFUNCTION("IF(D1032&lt;&gt;"""",SPLIT(D1032,"" 
""),)"),"")</f>
        <v/>
      </c>
    </row>
    <row r="1033">
      <c r="A1033" s="26" t="str">
        <f t="shared" si="1"/>
        <v/>
      </c>
      <c r="B1033" s="26" t="str">
        <f t="shared" si="2"/>
        <v/>
      </c>
      <c r="C1033" s="186" t="str">
        <f t="shared" si="3"/>
        <v/>
      </c>
      <c r="D1033" s="187"/>
      <c r="E1033" s="174" t="str">
        <f>IFERROR(__xludf.DUMMYFUNCTION("IF(D1033&lt;&gt;"""",SPLIT(D1033,"" 
""),)"),"")</f>
        <v/>
      </c>
    </row>
    <row r="1034">
      <c r="A1034" s="26" t="str">
        <f t="shared" si="1"/>
        <v/>
      </c>
      <c r="B1034" s="26" t="str">
        <f t="shared" si="2"/>
        <v/>
      </c>
      <c r="C1034" s="186" t="str">
        <f t="shared" si="3"/>
        <v/>
      </c>
      <c r="D1034" s="187"/>
      <c r="E1034" s="174" t="str">
        <f>IFERROR(__xludf.DUMMYFUNCTION("IF(D1034&lt;&gt;"""",SPLIT(D1034,"" 
""),)"),"")</f>
        <v/>
      </c>
    </row>
    <row r="1035">
      <c r="A1035" s="26" t="str">
        <f t="shared" si="1"/>
        <v/>
      </c>
      <c r="B1035" s="26" t="str">
        <f t="shared" si="2"/>
        <v/>
      </c>
      <c r="C1035" s="186" t="str">
        <f t="shared" si="3"/>
        <v/>
      </c>
      <c r="D1035" s="187"/>
      <c r="E1035" s="174" t="str">
        <f>IFERROR(__xludf.DUMMYFUNCTION("IF(D1035&lt;&gt;"""",SPLIT(D1035,"" 
""),)"),"")</f>
        <v/>
      </c>
    </row>
    <row r="1036">
      <c r="A1036" s="26" t="str">
        <f t="shared" si="1"/>
        <v/>
      </c>
      <c r="B1036" s="26" t="str">
        <f t="shared" si="2"/>
        <v/>
      </c>
      <c r="C1036" s="186" t="str">
        <f t="shared" si="3"/>
        <v/>
      </c>
      <c r="D1036" s="187"/>
      <c r="E1036" s="174" t="str">
        <f>IFERROR(__xludf.DUMMYFUNCTION("IF(D1036&lt;&gt;"""",SPLIT(D1036,"" 
""),)"),"")</f>
        <v/>
      </c>
    </row>
    <row r="1037">
      <c r="A1037" s="26" t="str">
        <f t="shared" si="1"/>
        <v/>
      </c>
      <c r="B1037" s="26" t="str">
        <f t="shared" si="2"/>
        <v/>
      </c>
      <c r="C1037" s="186" t="str">
        <f t="shared" si="3"/>
        <v/>
      </c>
      <c r="D1037" s="187"/>
      <c r="E1037" s="174" t="str">
        <f>IFERROR(__xludf.DUMMYFUNCTION("IF(D1037&lt;&gt;"""",SPLIT(D1037,"" 
""),)"),"")</f>
        <v/>
      </c>
    </row>
    <row r="1038">
      <c r="A1038" s="26" t="str">
        <f t="shared" si="1"/>
        <v/>
      </c>
      <c r="B1038" s="26" t="str">
        <f t="shared" si="2"/>
        <v/>
      </c>
      <c r="C1038" s="186" t="str">
        <f t="shared" si="3"/>
        <v/>
      </c>
      <c r="D1038" s="187"/>
      <c r="E1038" s="174" t="str">
        <f>IFERROR(__xludf.DUMMYFUNCTION("IF(D1038&lt;&gt;"""",SPLIT(D1038,"" 
""),)"),"")</f>
        <v/>
      </c>
    </row>
    <row r="1039">
      <c r="A1039" s="26" t="str">
        <f t="shared" si="1"/>
        <v/>
      </c>
      <c r="B1039" s="26" t="str">
        <f t="shared" si="2"/>
        <v/>
      </c>
      <c r="C1039" s="186" t="str">
        <f t="shared" si="3"/>
        <v/>
      </c>
      <c r="D1039" s="187"/>
      <c r="E1039" s="174" t="str">
        <f>IFERROR(__xludf.DUMMYFUNCTION("IF(D1039&lt;&gt;"""",SPLIT(D1039,"" 
""),)"),"")</f>
        <v/>
      </c>
    </row>
    <row r="1040">
      <c r="A1040" s="26" t="str">
        <f t="shared" si="1"/>
        <v/>
      </c>
      <c r="B1040" s="26" t="str">
        <f t="shared" si="2"/>
        <v/>
      </c>
      <c r="C1040" s="186" t="str">
        <f t="shared" si="3"/>
        <v/>
      </c>
      <c r="D1040" s="187"/>
      <c r="E1040" s="174" t="str">
        <f>IFERROR(__xludf.DUMMYFUNCTION("IF(D1040&lt;&gt;"""",SPLIT(D1040,"" 
""),)"),"")</f>
        <v/>
      </c>
    </row>
    <row r="1041">
      <c r="A1041" s="26" t="str">
        <f t="shared" si="1"/>
        <v/>
      </c>
      <c r="B1041" s="26" t="str">
        <f t="shared" si="2"/>
        <v/>
      </c>
      <c r="C1041" s="186" t="str">
        <f t="shared" si="3"/>
        <v/>
      </c>
      <c r="D1041" s="187"/>
      <c r="E1041" s="174" t="str">
        <f>IFERROR(__xludf.DUMMYFUNCTION("IF(D1041&lt;&gt;"""",SPLIT(D1041,"" 
""),)"),"")</f>
        <v/>
      </c>
    </row>
    <row r="1042">
      <c r="A1042" s="26" t="str">
        <f t="shared" si="1"/>
        <v/>
      </c>
      <c r="B1042" s="26" t="str">
        <f t="shared" si="2"/>
        <v/>
      </c>
      <c r="C1042" s="186" t="str">
        <f t="shared" si="3"/>
        <v/>
      </c>
      <c r="D1042" s="187"/>
      <c r="E1042" s="174" t="str">
        <f>IFERROR(__xludf.DUMMYFUNCTION("IF(D1042&lt;&gt;"""",SPLIT(D1042,"" 
""),)"),"")</f>
        <v/>
      </c>
    </row>
    <row r="1043">
      <c r="A1043" s="26" t="str">
        <f t="shared" si="1"/>
        <v/>
      </c>
      <c r="B1043" s="26" t="str">
        <f t="shared" si="2"/>
        <v/>
      </c>
      <c r="C1043" s="186" t="str">
        <f t="shared" si="3"/>
        <v/>
      </c>
      <c r="D1043" s="187"/>
      <c r="E1043" s="174" t="str">
        <f>IFERROR(__xludf.DUMMYFUNCTION("IF(D1043&lt;&gt;"""",SPLIT(D1043,"" 
""),)"),"")</f>
        <v/>
      </c>
    </row>
    <row r="1044">
      <c r="A1044" s="26" t="str">
        <f t="shared" si="1"/>
        <v/>
      </c>
      <c r="B1044" s="26" t="str">
        <f t="shared" si="2"/>
        <v/>
      </c>
      <c r="C1044" s="186" t="str">
        <f t="shared" si="3"/>
        <v/>
      </c>
      <c r="D1044" s="187"/>
      <c r="E1044" s="174" t="str">
        <f>IFERROR(__xludf.DUMMYFUNCTION("IF(D1044&lt;&gt;"""",SPLIT(D1044,"" 
""),)"),"")</f>
        <v/>
      </c>
    </row>
    <row r="1045">
      <c r="A1045" s="26" t="str">
        <f t="shared" si="1"/>
        <v/>
      </c>
      <c r="B1045" s="26" t="str">
        <f t="shared" si="2"/>
        <v/>
      </c>
      <c r="C1045" s="186" t="str">
        <f t="shared" si="3"/>
        <v/>
      </c>
      <c r="D1045" s="187"/>
      <c r="E1045" s="174" t="str">
        <f>IFERROR(__xludf.DUMMYFUNCTION("IF(D1045&lt;&gt;"""",SPLIT(D1045,"" 
""),)"),"")</f>
        <v/>
      </c>
    </row>
    <row r="1046">
      <c r="A1046" s="26" t="str">
        <f t="shared" si="1"/>
        <v/>
      </c>
      <c r="B1046" s="26" t="str">
        <f t="shared" si="2"/>
        <v/>
      </c>
      <c r="C1046" s="186" t="str">
        <f t="shared" si="3"/>
        <v/>
      </c>
      <c r="D1046" s="187"/>
      <c r="E1046" s="174" t="str">
        <f>IFERROR(__xludf.DUMMYFUNCTION("IF(D1046&lt;&gt;"""",SPLIT(D1046,"" 
""),)"),"")</f>
        <v/>
      </c>
    </row>
    <row r="1047">
      <c r="A1047" s="26" t="str">
        <f t="shared" si="1"/>
        <v/>
      </c>
      <c r="B1047" s="26" t="str">
        <f t="shared" si="2"/>
        <v/>
      </c>
      <c r="C1047" s="186" t="str">
        <f t="shared" si="3"/>
        <v/>
      </c>
      <c r="D1047" s="187"/>
      <c r="E1047" s="174" t="str">
        <f>IFERROR(__xludf.DUMMYFUNCTION("IF(D1047&lt;&gt;"""",SPLIT(D1047,"" 
""),)"),"")</f>
        <v/>
      </c>
    </row>
    <row r="1048">
      <c r="A1048" s="26" t="str">
        <f t="shared" si="1"/>
        <v/>
      </c>
      <c r="B1048" s="26" t="str">
        <f t="shared" si="2"/>
        <v/>
      </c>
      <c r="C1048" s="186" t="str">
        <f t="shared" si="3"/>
        <v/>
      </c>
      <c r="D1048" s="187"/>
      <c r="E1048" s="174" t="str">
        <f>IFERROR(__xludf.DUMMYFUNCTION("IF(D1048&lt;&gt;"""",SPLIT(D1048,"" 
""),)"),"")</f>
        <v/>
      </c>
    </row>
    <row r="1049">
      <c r="A1049" s="26" t="str">
        <f t="shared" si="1"/>
        <v/>
      </c>
      <c r="B1049" s="26" t="str">
        <f t="shared" si="2"/>
        <v/>
      </c>
      <c r="C1049" s="186" t="str">
        <f t="shared" si="3"/>
        <v/>
      </c>
      <c r="D1049" s="187"/>
      <c r="E1049" s="174" t="str">
        <f>IFERROR(__xludf.DUMMYFUNCTION("IF(D1049&lt;&gt;"""",SPLIT(D1049,"" 
""),)"),"")</f>
        <v/>
      </c>
    </row>
    <row r="1050">
      <c r="A1050" s="26" t="str">
        <f t="shared" si="1"/>
        <v/>
      </c>
      <c r="B1050" s="26" t="str">
        <f t="shared" si="2"/>
        <v/>
      </c>
      <c r="C1050" s="186" t="str">
        <f t="shared" si="3"/>
        <v/>
      </c>
      <c r="D1050" s="187"/>
      <c r="E1050" s="174" t="str">
        <f>IFERROR(__xludf.DUMMYFUNCTION("IF(D1050&lt;&gt;"""",SPLIT(D1050,"" 
""),)"),"")</f>
        <v/>
      </c>
    </row>
    <row r="1051">
      <c r="A1051" s="26" t="str">
        <f t="shared" si="1"/>
        <v/>
      </c>
      <c r="B1051" s="26" t="str">
        <f t="shared" si="2"/>
        <v/>
      </c>
      <c r="C1051" s="186" t="str">
        <f t="shared" si="3"/>
        <v/>
      </c>
      <c r="D1051" s="187"/>
      <c r="E1051" s="174" t="str">
        <f>IFERROR(__xludf.DUMMYFUNCTION("IF(D1051&lt;&gt;"""",SPLIT(D1051,"" 
""),)"),"")</f>
        <v/>
      </c>
    </row>
    <row r="1052">
      <c r="A1052" s="26" t="str">
        <f t="shared" si="1"/>
        <v/>
      </c>
      <c r="B1052" s="26" t="str">
        <f t="shared" si="2"/>
        <v/>
      </c>
      <c r="C1052" s="186" t="str">
        <f t="shared" si="3"/>
        <v/>
      </c>
      <c r="D1052" s="187"/>
      <c r="E1052" s="174" t="str">
        <f>IFERROR(__xludf.DUMMYFUNCTION("IF(D1052&lt;&gt;"""",SPLIT(D1052,"" 
""),)"),"")</f>
        <v/>
      </c>
    </row>
    <row r="1053">
      <c r="A1053" s="26" t="str">
        <f t="shared" si="1"/>
        <v/>
      </c>
      <c r="B1053" s="26" t="str">
        <f t="shared" si="2"/>
        <v/>
      </c>
      <c r="C1053" s="186" t="str">
        <f t="shared" si="3"/>
        <v/>
      </c>
      <c r="D1053" s="187"/>
      <c r="E1053" s="174" t="str">
        <f>IFERROR(__xludf.DUMMYFUNCTION("IF(D1053&lt;&gt;"""",SPLIT(D1053,"" 
""),)"),"")</f>
        <v/>
      </c>
    </row>
    <row r="1054">
      <c r="A1054" s="26" t="str">
        <f t="shared" si="1"/>
        <v/>
      </c>
      <c r="B1054" s="26" t="str">
        <f t="shared" si="2"/>
        <v/>
      </c>
      <c r="C1054" s="186" t="str">
        <f t="shared" si="3"/>
        <v/>
      </c>
      <c r="D1054" s="187"/>
      <c r="E1054" s="174" t="str">
        <f>IFERROR(__xludf.DUMMYFUNCTION("IF(D1054&lt;&gt;"""",SPLIT(D1054,"" 
""),)"),"")</f>
        <v/>
      </c>
    </row>
    <row r="1055">
      <c r="A1055" s="26" t="str">
        <f t="shared" si="1"/>
        <v/>
      </c>
      <c r="B1055" s="26" t="str">
        <f t="shared" si="2"/>
        <v/>
      </c>
      <c r="C1055" s="186" t="str">
        <f t="shared" si="3"/>
        <v/>
      </c>
      <c r="D1055" s="187"/>
      <c r="E1055" s="174" t="str">
        <f>IFERROR(__xludf.DUMMYFUNCTION("IF(D1055&lt;&gt;"""",SPLIT(D1055,"" 
""),)"),"")</f>
        <v/>
      </c>
    </row>
    <row r="1056">
      <c r="A1056" s="26" t="str">
        <f t="shared" si="1"/>
        <v/>
      </c>
      <c r="B1056" s="26" t="str">
        <f t="shared" si="2"/>
        <v/>
      </c>
      <c r="C1056" s="186" t="str">
        <f t="shared" si="3"/>
        <v/>
      </c>
      <c r="D1056" s="187"/>
      <c r="E1056" s="174" t="str">
        <f>IFERROR(__xludf.DUMMYFUNCTION("IF(D1056&lt;&gt;"""",SPLIT(D1056,"" 
""),)"),"")</f>
        <v/>
      </c>
    </row>
    <row r="1057">
      <c r="A1057" s="26" t="str">
        <f t="shared" si="1"/>
        <v/>
      </c>
      <c r="B1057" s="26" t="str">
        <f t="shared" si="2"/>
        <v/>
      </c>
      <c r="C1057" s="186" t="str">
        <f t="shared" si="3"/>
        <v/>
      </c>
      <c r="D1057" s="187"/>
      <c r="E1057" s="174" t="str">
        <f>IFERROR(__xludf.DUMMYFUNCTION("IF(D1057&lt;&gt;"""",SPLIT(D1057,"" 
""),)"),"")</f>
        <v/>
      </c>
    </row>
    <row r="1058">
      <c r="A1058" s="26" t="str">
        <f t="shared" si="1"/>
        <v/>
      </c>
      <c r="B1058" s="26" t="str">
        <f t="shared" si="2"/>
        <v/>
      </c>
      <c r="C1058" s="186" t="str">
        <f t="shared" si="3"/>
        <v/>
      </c>
      <c r="D1058" s="187"/>
      <c r="E1058" s="174" t="str">
        <f>IFERROR(__xludf.DUMMYFUNCTION("IF(D1058&lt;&gt;"""",SPLIT(D1058,"" 
""),)"),"")</f>
        <v/>
      </c>
    </row>
    <row r="1059">
      <c r="A1059" s="26" t="str">
        <f t="shared" si="1"/>
        <v/>
      </c>
      <c r="B1059" s="26" t="str">
        <f t="shared" si="2"/>
        <v/>
      </c>
      <c r="C1059" s="186" t="str">
        <f t="shared" si="3"/>
        <v/>
      </c>
      <c r="D1059" s="187"/>
      <c r="E1059" s="174" t="str">
        <f>IFERROR(__xludf.DUMMYFUNCTION("IF(D1059&lt;&gt;"""",SPLIT(D1059,"" 
""),)"),"")</f>
        <v/>
      </c>
    </row>
    <row r="1060">
      <c r="A1060" s="26" t="str">
        <f t="shared" si="1"/>
        <v/>
      </c>
      <c r="B1060" s="26" t="str">
        <f t="shared" si="2"/>
        <v/>
      </c>
      <c r="C1060" s="186" t="str">
        <f t="shared" si="3"/>
        <v/>
      </c>
      <c r="D1060" s="187"/>
      <c r="E1060" s="174" t="str">
        <f>IFERROR(__xludf.DUMMYFUNCTION("IF(D1060&lt;&gt;"""",SPLIT(D1060,"" 
""),)"),"")</f>
        <v/>
      </c>
    </row>
    <row r="1061">
      <c r="A1061" s="26" t="str">
        <f t="shared" si="1"/>
        <v/>
      </c>
      <c r="B1061" s="26" t="str">
        <f t="shared" si="2"/>
        <v/>
      </c>
      <c r="C1061" s="186" t="str">
        <f t="shared" si="3"/>
        <v/>
      </c>
      <c r="D1061" s="187"/>
      <c r="E1061" s="174" t="str">
        <f>IFERROR(__xludf.DUMMYFUNCTION("IF(D1061&lt;&gt;"""",SPLIT(D1061,"" 
""),)"),"")</f>
        <v/>
      </c>
    </row>
    <row r="1062">
      <c r="A1062" s="26" t="str">
        <f t="shared" si="1"/>
        <v/>
      </c>
      <c r="B1062" s="26" t="str">
        <f t="shared" si="2"/>
        <v/>
      </c>
      <c r="C1062" s="186" t="str">
        <f t="shared" si="3"/>
        <v/>
      </c>
      <c r="D1062" s="187"/>
      <c r="E1062" s="174" t="str">
        <f>IFERROR(__xludf.DUMMYFUNCTION("IF(D1062&lt;&gt;"""",SPLIT(D1062,"" 
""),)"),"")</f>
        <v/>
      </c>
    </row>
    <row r="1063">
      <c r="A1063" s="26" t="str">
        <f t="shared" si="1"/>
        <v/>
      </c>
      <c r="B1063" s="26" t="str">
        <f t="shared" si="2"/>
        <v/>
      </c>
      <c r="C1063" s="186" t="str">
        <f t="shared" si="3"/>
        <v/>
      </c>
      <c r="D1063" s="187"/>
      <c r="E1063" s="174" t="str">
        <f>IFERROR(__xludf.DUMMYFUNCTION("IF(D1063&lt;&gt;"""",SPLIT(D1063,"" 
""),)"),"")</f>
        <v/>
      </c>
    </row>
    <row r="1064">
      <c r="A1064" s="26" t="str">
        <f t="shared" si="1"/>
        <v/>
      </c>
      <c r="B1064" s="26" t="str">
        <f t="shared" si="2"/>
        <v/>
      </c>
      <c r="C1064" s="186" t="str">
        <f t="shared" si="3"/>
        <v/>
      </c>
      <c r="D1064" s="187"/>
      <c r="E1064" s="174" t="str">
        <f>IFERROR(__xludf.DUMMYFUNCTION("IF(D1064&lt;&gt;"""",SPLIT(D1064,"" 
""),)"),"")</f>
        <v/>
      </c>
    </row>
    <row r="1065">
      <c r="A1065" s="26" t="str">
        <f t="shared" si="1"/>
        <v/>
      </c>
      <c r="B1065" s="26" t="str">
        <f t="shared" si="2"/>
        <v/>
      </c>
      <c r="C1065" s="186" t="str">
        <f t="shared" si="3"/>
        <v/>
      </c>
      <c r="D1065" s="187"/>
      <c r="E1065" s="174" t="str">
        <f>IFERROR(__xludf.DUMMYFUNCTION("IF(D1065&lt;&gt;"""",SPLIT(D1065,"" 
""),)"),"")</f>
        <v/>
      </c>
    </row>
    <row r="1066">
      <c r="A1066" s="26" t="str">
        <f t="shared" si="1"/>
        <v/>
      </c>
      <c r="B1066" s="26" t="str">
        <f t="shared" si="2"/>
        <v/>
      </c>
      <c r="C1066" s="186" t="str">
        <f t="shared" si="3"/>
        <v/>
      </c>
      <c r="D1066" s="187"/>
      <c r="E1066" s="174" t="str">
        <f>IFERROR(__xludf.DUMMYFUNCTION("IF(D1066&lt;&gt;"""",SPLIT(D1066,"" 
""),)"),"")</f>
        <v/>
      </c>
    </row>
    <row r="1067">
      <c r="A1067" s="26" t="str">
        <f t="shared" si="1"/>
        <v/>
      </c>
      <c r="B1067" s="26" t="str">
        <f t="shared" si="2"/>
        <v/>
      </c>
      <c r="C1067" s="186" t="str">
        <f t="shared" si="3"/>
        <v/>
      </c>
      <c r="D1067" s="187"/>
      <c r="E1067" s="174" t="str">
        <f>IFERROR(__xludf.DUMMYFUNCTION("IF(D1067&lt;&gt;"""",SPLIT(D1067,"" 
""),)"),"")</f>
        <v/>
      </c>
    </row>
    <row r="1068">
      <c r="A1068" s="26" t="str">
        <f t="shared" si="1"/>
        <v/>
      </c>
      <c r="B1068" s="26" t="str">
        <f t="shared" si="2"/>
        <v/>
      </c>
      <c r="C1068" s="186" t="str">
        <f t="shared" si="3"/>
        <v/>
      </c>
      <c r="D1068" s="187"/>
      <c r="E1068" s="174" t="str">
        <f>IFERROR(__xludf.DUMMYFUNCTION("IF(D1068&lt;&gt;"""",SPLIT(D1068,"" 
""),)"),"")</f>
        <v/>
      </c>
    </row>
    <row r="1069">
      <c r="A1069" s="26" t="str">
        <f t="shared" si="1"/>
        <v/>
      </c>
      <c r="B1069" s="26" t="str">
        <f t="shared" si="2"/>
        <v/>
      </c>
      <c r="C1069" s="186" t="str">
        <f t="shared" si="3"/>
        <v/>
      </c>
      <c r="D1069" s="187"/>
      <c r="E1069" s="174" t="str">
        <f>IFERROR(__xludf.DUMMYFUNCTION("IF(D1069&lt;&gt;"""",SPLIT(D1069,"" 
""),)"),"")</f>
        <v/>
      </c>
    </row>
    <row r="1070">
      <c r="A1070" s="26" t="str">
        <f t="shared" si="1"/>
        <v/>
      </c>
      <c r="B1070" s="26" t="str">
        <f t="shared" si="2"/>
        <v/>
      </c>
      <c r="C1070" s="186" t="str">
        <f t="shared" si="3"/>
        <v/>
      </c>
      <c r="D1070" s="187"/>
      <c r="E1070" s="174" t="str">
        <f>IFERROR(__xludf.DUMMYFUNCTION("IF(D1070&lt;&gt;"""",SPLIT(D1070,"" 
""),)"),"")</f>
        <v/>
      </c>
    </row>
    <row r="1071">
      <c r="A1071" s="26" t="str">
        <f t="shared" si="1"/>
        <v/>
      </c>
      <c r="B1071" s="26" t="str">
        <f t="shared" si="2"/>
        <v/>
      </c>
      <c r="C1071" s="186" t="str">
        <f t="shared" si="3"/>
        <v/>
      </c>
      <c r="D1071" s="187"/>
      <c r="E1071" s="174" t="str">
        <f>IFERROR(__xludf.DUMMYFUNCTION("IF(D1071&lt;&gt;"""",SPLIT(D1071,"" 
""),)"),"")</f>
        <v/>
      </c>
    </row>
    <row r="1072">
      <c r="A1072" s="26" t="str">
        <f t="shared" si="1"/>
        <v/>
      </c>
      <c r="B1072" s="26" t="str">
        <f t="shared" si="2"/>
        <v/>
      </c>
      <c r="C1072" s="186" t="str">
        <f t="shared" si="3"/>
        <v/>
      </c>
      <c r="D1072" s="187"/>
      <c r="E1072" s="174" t="str">
        <f>IFERROR(__xludf.DUMMYFUNCTION("IF(D1072&lt;&gt;"""",SPLIT(D1072,"" 
""),)"),"")</f>
        <v/>
      </c>
    </row>
    <row r="1073">
      <c r="A1073" s="26" t="str">
        <f t="shared" si="1"/>
        <v/>
      </c>
      <c r="B1073" s="26" t="str">
        <f t="shared" si="2"/>
        <v/>
      </c>
      <c r="C1073" s="186" t="str">
        <f t="shared" si="3"/>
        <v/>
      </c>
      <c r="D1073" s="187"/>
      <c r="E1073" s="174" t="str">
        <f>IFERROR(__xludf.DUMMYFUNCTION("IF(D1073&lt;&gt;"""",SPLIT(D1073,"" 
""),)"),"")</f>
        <v/>
      </c>
    </row>
    <row r="1074">
      <c r="A1074" s="26" t="str">
        <f t="shared" si="1"/>
        <v/>
      </c>
      <c r="B1074" s="26" t="str">
        <f t="shared" si="2"/>
        <v/>
      </c>
      <c r="C1074" s="186" t="str">
        <f t="shared" si="3"/>
        <v/>
      </c>
      <c r="D1074" s="187"/>
      <c r="E1074" s="174" t="str">
        <f>IFERROR(__xludf.DUMMYFUNCTION("IF(D1074&lt;&gt;"""",SPLIT(D1074,"" 
""),)"),"")</f>
        <v/>
      </c>
    </row>
    <row r="1075">
      <c r="A1075" s="26" t="str">
        <f t="shared" si="1"/>
        <v/>
      </c>
      <c r="B1075" s="26" t="str">
        <f t="shared" si="2"/>
        <v/>
      </c>
      <c r="C1075" s="186" t="str">
        <f t="shared" si="3"/>
        <v/>
      </c>
      <c r="D1075" s="187"/>
      <c r="E1075" s="174" t="str">
        <f>IFERROR(__xludf.DUMMYFUNCTION("IF(D1075&lt;&gt;"""",SPLIT(D1075,"" 
""),)"),"")</f>
        <v/>
      </c>
    </row>
    <row r="1076">
      <c r="A1076" s="26" t="str">
        <f t="shared" si="1"/>
        <v/>
      </c>
      <c r="B1076" s="26" t="str">
        <f t="shared" si="2"/>
        <v/>
      </c>
      <c r="C1076" s="186" t="str">
        <f t="shared" si="3"/>
        <v/>
      </c>
      <c r="D1076" s="187"/>
      <c r="E1076" s="174" t="str">
        <f>IFERROR(__xludf.DUMMYFUNCTION("IF(D1076&lt;&gt;"""",SPLIT(D1076,"" 
""),)"),"")</f>
        <v/>
      </c>
    </row>
    <row r="1077">
      <c r="A1077" s="26" t="str">
        <f t="shared" si="1"/>
        <v/>
      </c>
      <c r="B1077" s="26" t="str">
        <f t="shared" si="2"/>
        <v/>
      </c>
      <c r="C1077" s="186" t="str">
        <f t="shared" si="3"/>
        <v/>
      </c>
      <c r="D1077" s="187"/>
      <c r="E1077" s="174" t="str">
        <f>IFERROR(__xludf.DUMMYFUNCTION("IF(D1077&lt;&gt;"""",SPLIT(D1077,"" 
""),)"),"")</f>
        <v/>
      </c>
    </row>
    <row r="1078">
      <c r="A1078" s="26" t="str">
        <f t="shared" si="1"/>
        <v/>
      </c>
      <c r="B1078" s="26" t="str">
        <f t="shared" si="2"/>
        <v/>
      </c>
      <c r="C1078" s="186" t="str">
        <f t="shared" si="3"/>
        <v/>
      </c>
      <c r="D1078" s="187"/>
      <c r="E1078" s="174" t="str">
        <f>IFERROR(__xludf.DUMMYFUNCTION("IF(D1078&lt;&gt;"""",SPLIT(D1078,"" 
""),)"),"")</f>
        <v/>
      </c>
    </row>
    <row r="1079">
      <c r="A1079" s="26" t="str">
        <f t="shared" si="1"/>
        <v/>
      </c>
      <c r="B1079" s="26" t="str">
        <f t="shared" si="2"/>
        <v/>
      </c>
      <c r="C1079" s="186" t="str">
        <f t="shared" si="3"/>
        <v/>
      </c>
      <c r="D1079" s="187"/>
      <c r="E1079" s="174" t="str">
        <f>IFERROR(__xludf.DUMMYFUNCTION("IF(D1079&lt;&gt;"""",SPLIT(D1079,"" 
""),)"),"")</f>
        <v/>
      </c>
    </row>
    <row r="1080">
      <c r="A1080" s="26" t="str">
        <f t="shared" si="1"/>
        <v/>
      </c>
      <c r="B1080" s="26" t="str">
        <f t="shared" si="2"/>
        <v/>
      </c>
      <c r="C1080" s="186" t="str">
        <f t="shared" si="3"/>
        <v/>
      </c>
      <c r="D1080" s="187"/>
      <c r="E1080" s="174" t="str">
        <f>IFERROR(__xludf.DUMMYFUNCTION("IF(D1080&lt;&gt;"""",SPLIT(D1080,"" 
""),)"),"")</f>
        <v/>
      </c>
    </row>
    <row r="1081">
      <c r="A1081" s="26" t="str">
        <f t="shared" si="1"/>
        <v/>
      </c>
      <c r="B1081" s="26" t="str">
        <f t="shared" si="2"/>
        <v/>
      </c>
      <c r="C1081" s="186" t="str">
        <f t="shared" si="3"/>
        <v/>
      </c>
      <c r="D1081" s="187"/>
      <c r="E1081" s="174" t="str">
        <f>IFERROR(__xludf.DUMMYFUNCTION("IF(D1081&lt;&gt;"""",SPLIT(D1081,"" 
""),)"),"")</f>
        <v/>
      </c>
    </row>
    <row r="1082">
      <c r="A1082" s="26" t="str">
        <f t="shared" si="1"/>
        <v/>
      </c>
      <c r="B1082" s="26" t="str">
        <f t="shared" si="2"/>
        <v/>
      </c>
      <c r="C1082" s="186" t="str">
        <f t="shared" si="3"/>
        <v/>
      </c>
      <c r="D1082" s="187"/>
      <c r="E1082" s="174" t="str">
        <f>IFERROR(__xludf.DUMMYFUNCTION("IF(D1082&lt;&gt;"""",SPLIT(D1082,"" 
""),)"),"")</f>
        <v/>
      </c>
    </row>
    <row r="1083">
      <c r="A1083" s="26" t="str">
        <f t="shared" si="1"/>
        <v/>
      </c>
      <c r="B1083" s="26" t="str">
        <f t="shared" si="2"/>
        <v/>
      </c>
      <c r="C1083" s="186" t="str">
        <f t="shared" si="3"/>
        <v/>
      </c>
      <c r="D1083" s="187"/>
      <c r="E1083" s="174" t="str">
        <f>IFERROR(__xludf.DUMMYFUNCTION("IF(D1083&lt;&gt;"""",SPLIT(D1083,"" 
""),)"),"")</f>
        <v/>
      </c>
    </row>
    <row r="1084">
      <c r="A1084" s="26" t="str">
        <f t="shared" si="1"/>
        <v/>
      </c>
      <c r="B1084" s="26" t="str">
        <f t="shared" si="2"/>
        <v/>
      </c>
      <c r="C1084" s="186" t="str">
        <f t="shared" si="3"/>
        <v/>
      </c>
      <c r="D1084" s="187"/>
      <c r="E1084" s="174" t="str">
        <f>IFERROR(__xludf.DUMMYFUNCTION("IF(D1084&lt;&gt;"""",SPLIT(D1084,"" 
""),)"),"")</f>
        <v/>
      </c>
    </row>
    <row r="1085">
      <c r="A1085" s="26" t="str">
        <f t="shared" si="1"/>
        <v/>
      </c>
      <c r="B1085" s="26" t="str">
        <f t="shared" si="2"/>
        <v/>
      </c>
      <c r="C1085" s="186" t="str">
        <f t="shared" si="3"/>
        <v/>
      </c>
      <c r="D1085" s="187"/>
      <c r="E1085" s="174" t="str">
        <f>IFERROR(__xludf.DUMMYFUNCTION("IF(D1085&lt;&gt;"""",SPLIT(D1085,"" 
""),)"),"")</f>
        <v/>
      </c>
    </row>
    <row r="1086">
      <c r="A1086" s="26" t="str">
        <f t="shared" si="1"/>
        <v/>
      </c>
      <c r="B1086" s="26" t="str">
        <f t="shared" si="2"/>
        <v/>
      </c>
      <c r="C1086" s="186" t="str">
        <f t="shared" si="3"/>
        <v/>
      </c>
      <c r="D1086" s="187"/>
      <c r="E1086" s="174" t="str">
        <f>IFERROR(__xludf.DUMMYFUNCTION("IF(D1086&lt;&gt;"""",SPLIT(D1086,"" 
""),)"),"")</f>
        <v/>
      </c>
    </row>
    <row r="1087">
      <c r="A1087" s="26" t="str">
        <f t="shared" si="1"/>
        <v/>
      </c>
      <c r="B1087" s="26" t="str">
        <f t="shared" si="2"/>
        <v/>
      </c>
      <c r="C1087" s="186" t="str">
        <f t="shared" si="3"/>
        <v/>
      </c>
      <c r="D1087" s="187"/>
      <c r="E1087" s="174" t="str">
        <f>IFERROR(__xludf.DUMMYFUNCTION("IF(D1087&lt;&gt;"""",SPLIT(D1087,"" 
""),)"),"")</f>
        <v/>
      </c>
    </row>
    <row r="1088">
      <c r="A1088" s="26" t="str">
        <f t="shared" si="1"/>
        <v/>
      </c>
      <c r="B1088" s="26" t="str">
        <f t="shared" si="2"/>
        <v/>
      </c>
      <c r="C1088" s="186" t="str">
        <f t="shared" si="3"/>
        <v/>
      </c>
      <c r="D1088" s="187"/>
      <c r="E1088" s="174" t="str">
        <f>IFERROR(__xludf.DUMMYFUNCTION("IF(D1088&lt;&gt;"""",SPLIT(D1088,"" 
""),)"),"")</f>
        <v/>
      </c>
    </row>
    <row r="1089">
      <c r="A1089" s="26" t="str">
        <f t="shared" si="1"/>
        <v/>
      </c>
      <c r="B1089" s="26" t="str">
        <f t="shared" si="2"/>
        <v/>
      </c>
      <c r="C1089" s="186" t="str">
        <f t="shared" si="3"/>
        <v/>
      </c>
      <c r="D1089" s="187"/>
      <c r="E1089" s="174" t="str">
        <f>IFERROR(__xludf.DUMMYFUNCTION("IF(D1089&lt;&gt;"""",SPLIT(D1089,"" 
""),)"),"")</f>
        <v/>
      </c>
    </row>
    <row r="1090">
      <c r="A1090" s="26" t="str">
        <f t="shared" si="1"/>
        <v/>
      </c>
      <c r="B1090" s="26" t="str">
        <f t="shared" si="2"/>
        <v/>
      </c>
      <c r="C1090" s="186" t="str">
        <f t="shared" si="3"/>
        <v/>
      </c>
      <c r="D1090" s="187"/>
      <c r="E1090" s="174" t="str">
        <f>IFERROR(__xludf.DUMMYFUNCTION("IF(D1090&lt;&gt;"""",SPLIT(D1090,"" 
""),)"),"")</f>
        <v/>
      </c>
    </row>
    <row r="1091">
      <c r="A1091" s="26" t="str">
        <f t="shared" si="1"/>
        <v/>
      </c>
      <c r="B1091" s="26" t="str">
        <f t="shared" si="2"/>
        <v/>
      </c>
      <c r="C1091" s="186" t="str">
        <f t="shared" si="3"/>
        <v/>
      </c>
      <c r="D1091" s="187"/>
      <c r="E1091" s="174" t="str">
        <f>IFERROR(__xludf.DUMMYFUNCTION("IF(D1091&lt;&gt;"""",SPLIT(D1091,"" 
""),)"),"")</f>
        <v/>
      </c>
    </row>
    <row r="1092">
      <c r="A1092" s="26" t="str">
        <f t="shared" si="1"/>
        <v/>
      </c>
      <c r="B1092" s="26" t="str">
        <f t="shared" si="2"/>
        <v/>
      </c>
      <c r="C1092" s="186" t="str">
        <f t="shared" si="3"/>
        <v/>
      </c>
      <c r="D1092" s="187"/>
      <c r="E1092" s="174" t="str">
        <f>IFERROR(__xludf.DUMMYFUNCTION("IF(D1092&lt;&gt;"""",SPLIT(D1092,"" 
""),)"),"")</f>
        <v/>
      </c>
    </row>
    <row r="1093">
      <c r="A1093" s="26" t="str">
        <f t="shared" si="1"/>
        <v/>
      </c>
      <c r="B1093" s="26" t="str">
        <f t="shared" si="2"/>
        <v/>
      </c>
      <c r="C1093" s="186" t="str">
        <f t="shared" si="3"/>
        <v/>
      </c>
      <c r="D1093" s="187"/>
      <c r="E1093" s="174" t="str">
        <f>IFERROR(__xludf.DUMMYFUNCTION("IF(D1093&lt;&gt;"""",SPLIT(D1093,"" 
""),)"),"")</f>
        <v/>
      </c>
    </row>
    <row r="1094">
      <c r="A1094" s="26" t="str">
        <f t="shared" si="1"/>
        <v/>
      </c>
      <c r="B1094" s="26" t="str">
        <f t="shared" si="2"/>
        <v/>
      </c>
      <c r="C1094" s="186" t="str">
        <f t="shared" si="3"/>
        <v/>
      </c>
      <c r="D1094" s="187"/>
      <c r="E1094" s="174" t="str">
        <f>IFERROR(__xludf.DUMMYFUNCTION("IF(D1094&lt;&gt;"""",SPLIT(D1094,"" 
""),)"),"")</f>
        <v/>
      </c>
    </row>
    <row r="1095">
      <c r="A1095" s="26" t="str">
        <f t="shared" si="1"/>
        <v/>
      </c>
      <c r="B1095" s="26" t="str">
        <f t="shared" si="2"/>
        <v/>
      </c>
      <c r="C1095" s="186" t="str">
        <f t="shared" si="3"/>
        <v/>
      </c>
      <c r="D1095" s="187"/>
      <c r="E1095" s="174" t="str">
        <f>IFERROR(__xludf.DUMMYFUNCTION("IF(D1095&lt;&gt;"""",SPLIT(D1095,"" 
""),)"),"")</f>
        <v/>
      </c>
    </row>
    <row r="1096">
      <c r="A1096" s="26" t="str">
        <f t="shared" si="1"/>
        <v/>
      </c>
      <c r="B1096" s="26" t="str">
        <f t="shared" si="2"/>
        <v/>
      </c>
      <c r="C1096" s="186" t="str">
        <f t="shared" si="3"/>
        <v/>
      </c>
      <c r="D1096" s="187"/>
      <c r="E1096" s="174" t="str">
        <f>IFERROR(__xludf.DUMMYFUNCTION("IF(D1096&lt;&gt;"""",SPLIT(D1096,"" 
""),)"),"")</f>
        <v/>
      </c>
    </row>
    <row r="1097">
      <c r="A1097" s="26" t="str">
        <f t="shared" si="1"/>
        <v/>
      </c>
      <c r="B1097" s="26" t="str">
        <f t="shared" si="2"/>
        <v/>
      </c>
      <c r="C1097" s="186" t="str">
        <f t="shared" si="3"/>
        <v/>
      </c>
      <c r="D1097" s="187"/>
      <c r="E1097" s="174" t="str">
        <f>IFERROR(__xludf.DUMMYFUNCTION("IF(D1097&lt;&gt;"""",SPLIT(D1097,"" 
""),)"),"")</f>
        <v/>
      </c>
    </row>
    <row r="1098">
      <c r="A1098" s="26" t="str">
        <f t="shared" si="1"/>
        <v/>
      </c>
      <c r="B1098" s="26" t="str">
        <f t="shared" si="2"/>
        <v/>
      </c>
      <c r="C1098" s="186" t="str">
        <f t="shared" si="3"/>
        <v/>
      </c>
      <c r="D1098" s="187"/>
      <c r="E1098" s="174" t="str">
        <f>IFERROR(__xludf.DUMMYFUNCTION("IF(D1098&lt;&gt;"""",SPLIT(D1098,"" 
""),)"),"")</f>
        <v/>
      </c>
    </row>
    <row r="1099">
      <c r="A1099" s="26" t="str">
        <f t="shared" si="1"/>
        <v/>
      </c>
      <c r="B1099" s="26" t="str">
        <f t="shared" si="2"/>
        <v/>
      </c>
      <c r="C1099" s="186" t="str">
        <f t="shared" si="3"/>
        <v/>
      </c>
      <c r="D1099" s="187"/>
      <c r="E1099" s="174" t="str">
        <f>IFERROR(__xludf.DUMMYFUNCTION("IF(D1099&lt;&gt;"""",SPLIT(D1099,"" 
""),)"),"")</f>
        <v/>
      </c>
    </row>
    <row r="1100">
      <c r="A1100" s="26" t="str">
        <f t="shared" si="1"/>
        <v/>
      </c>
      <c r="B1100" s="26" t="str">
        <f t="shared" si="2"/>
        <v/>
      </c>
      <c r="C1100" s="186" t="str">
        <f t="shared" si="3"/>
        <v/>
      </c>
      <c r="D1100" s="187"/>
      <c r="E1100" s="174" t="str">
        <f>IFERROR(__xludf.DUMMYFUNCTION("IF(D1100&lt;&gt;"""",SPLIT(D1100,"" 
""),)"),"")</f>
        <v/>
      </c>
    </row>
    <row r="1101">
      <c r="A1101" s="26" t="str">
        <f t="shared" si="1"/>
        <v/>
      </c>
      <c r="B1101" s="26" t="str">
        <f t="shared" si="2"/>
        <v/>
      </c>
      <c r="C1101" s="186" t="str">
        <f t="shared" si="3"/>
        <v/>
      </c>
      <c r="D1101" s="187"/>
      <c r="E1101" s="174" t="str">
        <f>IFERROR(__xludf.DUMMYFUNCTION("IF(D1101&lt;&gt;"""",SPLIT(D1101,"" 
""),)"),"")</f>
        <v/>
      </c>
    </row>
    <row r="1102">
      <c r="A1102" s="26" t="str">
        <f t="shared" si="1"/>
        <v/>
      </c>
      <c r="B1102" s="26" t="str">
        <f t="shared" si="2"/>
        <v/>
      </c>
      <c r="C1102" s="186" t="str">
        <f t="shared" si="3"/>
        <v/>
      </c>
      <c r="D1102" s="187"/>
      <c r="E1102" s="174" t="str">
        <f>IFERROR(__xludf.DUMMYFUNCTION("IF(D1102&lt;&gt;"""",SPLIT(D1102,"" 
""),)"),"")</f>
        <v/>
      </c>
    </row>
    <row r="1103">
      <c r="A1103" s="26" t="str">
        <f t="shared" si="1"/>
        <v/>
      </c>
      <c r="B1103" s="26" t="str">
        <f t="shared" si="2"/>
        <v/>
      </c>
      <c r="C1103" s="186" t="str">
        <f t="shared" si="3"/>
        <v/>
      </c>
      <c r="D1103" s="187"/>
      <c r="E1103" s="174" t="str">
        <f>IFERROR(__xludf.DUMMYFUNCTION("IF(D1103&lt;&gt;"""",SPLIT(D1103,"" 
""),)"),"")</f>
        <v/>
      </c>
    </row>
    <row r="1104">
      <c r="A1104" s="26" t="str">
        <f t="shared" si="1"/>
        <v/>
      </c>
      <c r="B1104" s="26" t="str">
        <f t="shared" si="2"/>
        <v/>
      </c>
      <c r="C1104" s="186" t="str">
        <f t="shared" si="3"/>
        <v/>
      </c>
      <c r="D1104" s="187"/>
      <c r="E1104" s="174" t="str">
        <f>IFERROR(__xludf.DUMMYFUNCTION("IF(D1104&lt;&gt;"""",SPLIT(D1104,"" 
""),)"),"")</f>
        <v/>
      </c>
    </row>
    <row r="1105">
      <c r="A1105" s="26" t="str">
        <f t="shared" si="1"/>
        <v/>
      </c>
      <c r="B1105" s="26" t="str">
        <f t="shared" si="2"/>
        <v/>
      </c>
      <c r="C1105" s="186" t="str">
        <f t="shared" si="3"/>
        <v/>
      </c>
      <c r="D1105" s="187"/>
      <c r="E1105" s="174" t="str">
        <f>IFERROR(__xludf.DUMMYFUNCTION("IF(D1105&lt;&gt;"""",SPLIT(D1105,"" 
""),)"),"")</f>
        <v/>
      </c>
    </row>
    <row r="1106">
      <c r="A1106" s="26" t="str">
        <f t="shared" si="1"/>
        <v/>
      </c>
      <c r="B1106" s="26" t="str">
        <f t="shared" si="2"/>
        <v/>
      </c>
      <c r="C1106" s="186" t="str">
        <f t="shared" si="3"/>
        <v/>
      </c>
      <c r="D1106" s="187"/>
      <c r="E1106" s="174" t="str">
        <f>IFERROR(__xludf.DUMMYFUNCTION("IF(D1106&lt;&gt;"""",SPLIT(D1106,"" 
""),)"),"")</f>
        <v/>
      </c>
    </row>
    <row r="1107">
      <c r="A1107" s="26" t="str">
        <f t="shared" si="1"/>
        <v/>
      </c>
      <c r="B1107" s="26" t="str">
        <f t="shared" si="2"/>
        <v/>
      </c>
      <c r="C1107" s="186" t="str">
        <f t="shared" si="3"/>
        <v/>
      </c>
      <c r="D1107" s="187"/>
      <c r="E1107" s="174" t="str">
        <f>IFERROR(__xludf.DUMMYFUNCTION("IF(D1107&lt;&gt;"""",SPLIT(D1107,"" 
""),)"),"")</f>
        <v/>
      </c>
    </row>
    <row r="1108">
      <c r="A1108" s="26" t="str">
        <f t="shared" si="1"/>
        <v/>
      </c>
      <c r="B1108" s="26" t="str">
        <f t="shared" si="2"/>
        <v/>
      </c>
      <c r="C1108" s="186" t="str">
        <f t="shared" si="3"/>
        <v/>
      </c>
      <c r="D1108" s="187"/>
      <c r="E1108" s="174" t="str">
        <f>IFERROR(__xludf.DUMMYFUNCTION("IF(D1108&lt;&gt;"""",SPLIT(D1108,"" 
""),)"),"")</f>
        <v/>
      </c>
    </row>
    <row r="1109">
      <c r="A1109" s="26" t="str">
        <f t="shared" si="1"/>
        <v/>
      </c>
      <c r="B1109" s="26" t="str">
        <f t="shared" si="2"/>
        <v/>
      </c>
      <c r="C1109" s="186" t="str">
        <f t="shared" si="3"/>
        <v/>
      </c>
      <c r="D1109" s="187"/>
      <c r="E1109" s="174" t="str">
        <f>IFERROR(__xludf.DUMMYFUNCTION("IF(D1109&lt;&gt;"""",SPLIT(D1109,"" 
""),)"),"")</f>
        <v/>
      </c>
    </row>
    <row r="1110">
      <c r="A1110" s="26" t="str">
        <f t="shared" si="1"/>
        <v/>
      </c>
      <c r="B1110" s="26" t="str">
        <f t="shared" si="2"/>
        <v/>
      </c>
      <c r="C1110" s="186" t="str">
        <f t="shared" si="3"/>
        <v/>
      </c>
      <c r="D1110" s="187"/>
      <c r="E1110" s="174" t="str">
        <f>IFERROR(__xludf.DUMMYFUNCTION("IF(D1110&lt;&gt;"""",SPLIT(D1110,"" 
""),)"),"")</f>
        <v/>
      </c>
    </row>
    <row r="1111">
      <c r="A1111" s="26" t="str">
        <f t="shared" si="1"/>
        <v/>
      </c>
      <c r="B1111" s="26" t="str">
        <f t="shared" si="2"/>
        <v/>
      </c>
      <c r="C1111" s="186" t="str">
        <f t="shared" si="3"/>
        <v/>
      </c>
      <c r="D1111" s="187"/>
      <c r="E1111" s="174" t="str">
        <f>IFERROR(__xludf.DUMMYFUNCTION("IF(D1111&lt;&gt;"""",SPLIT(D1111,"" 
""),)"),"")</f>
        <v/>
      </c>
    </row>
    <row r="1112">
      <c r="A1112" s="26" t="str">
        <f t="shared" si="1"/>
        <v/>
      </c>
      <c r="B1112" s="26" t="str">
        <f t="shared" si="2"/>
        <v/>
      </c>
      <c r="C1112" s="186" t="str">
        <f t="shared" si="3"/>
        <v/>
      </c>
      <c r="D1112" s="187"/>
      <c r="E1112" s="174" t="str">
        <f>IFERROR(__xludf.DUMMYFUNCTION("IF(D1112&lt;&gt;"""",SPLIT(D1112,"" 
""),)"),"")</f>
        <v/>
      </c>
    </row>
    <row r="1113">
      <c r="A1113" s="26" t="str">
        <f t="shared" si="1"/>
        <v/>
      </c>
      <c r="B1113" s="26" t="str">
        <f t="shared" si="2"/>
        <v/>
      </c>
      <c r="C1113" s="186" t="str">
        <f t="shared" si="3"/>
        <v/>
      </c>
      <c r="D1113" s="187"/>
      <c r="E1113" s="174" t="str">
        <f>IFERROR(__xludf.DUMMYFUNCTION("IF(D1113&lt;&gt;"""",SPLIT(D1113,"" 
""),)"),"")</f>
        <v/>
      </c>
    </row>
    <row r="1114">
      <c r="A1114" s="26" t="str">
        <f t="shared" si="1"/>
        <v/>
      </c>
      <c r="B1114" s="26" t="str">
        <f t="shared" si="2"/>
        <v/>
      </c>
      <c r="C1114" s="186" t="str">
        <f t="shared" si="3"/>
        <v/>
      </c>
      <c r="D1114" s="187"/>
      <c r="E1114" s="174" t="str">
        <f>IFERROR(__xludf.DUMMYFUNCTION("IF(D1114&lt;&gt;"""",SPLIT(D1114,"" 
""),)"),"")</f>
        <v/>
      </c>
    </row>
    <row r="1115">
      <c r="A1115" s="26" t="str">
        <f t="shared" si="1"/>
        <v/>
      </c>
      <c r="B1115" s="26" t="str">
        <f t="shared" si="2"/>
        <v/>
      </c>
      <c r="C1115" s="186" t="str">
        <f t="shared" si="3"/>
        <v/>
      </c>
      <c r="D1115" s="187"/>
      <c r="E1115" s="174" t="str">
        <f>IFERROR(__xludf.DUMMYFUNCTION("IF(D1115&lt;&gt;"""",SPLIT(D1115,"" 
""),)"),"")</f>
        <v/>
      </c>
    </row>
    <row r="1116">
      <c r="A1116" s="26" t="str">
        <f t="shared" si="1"/>
        <v/>
      </c>
      <c r="B1116" s="26" t="str">
        <f t="shared" si="2"/>
        <v/>
      </c>
      <c r="C1116" s="186" t="str">
        <f t="shared" si="3"/>
        <v/>
      </c>
      <c r="D1116" s="187"/>
      <c r="E1116" s="174" t="str">
        <f>IFERROR(__xludf.DUMMYFUNCTION("IF(D1116&lt;&gt;"""",SPLIT(D1116,"" 
""),)"),"")</f>
        <v/>
      </c>
    </row>
    <row r="1117">
      <c r="A1117" s="26" t="str">
        <f t="shared" si="1"/>
        <v/>
      </c>
      <c r="B1117" s="26" t="str">
        <f t="shared" si="2"/>
        <v/>
      </c>
      <c r="C1117" s="186" t="str">
        <f t="shared" si="3"/>
        <v/>
      </c>
      <c r="D1117" s="187"/>
      <c r="E1117" s="174" t="str">
        <f>IFERROR(__xludf.DUMMYFUNCTION("IF(D1117&lt;&gt;"""",SPLIT(D1117,"" 
""),)"),"")</f>
        <v/>
      </c>
    </row>
    <row r="1118">
      <c r="A1118" s="26" t="str">
        <f t="shared" si="1"/>
        <v/>
      </c>
      <c r="B1118" s="26" t="str">
        <f t="shared" si="2"/>
        <v/>
      </c>
      <c r="C1118" s="186" t="str">
        <f t="shared" si="3"/>
        <v/>
      </c>
      <c r="D1118" s="187"/>
      <c r="E1118" s="174" t="str">
        <f>IFERROR(__xludf.DUMMYFUNCTION("IF(D1118&lt;&gt;"""",SPLIT(D1118,"" 
""),)"),"")</f>
        <v/>
      </c>
    </row>
    <row r="1119">
      <c r="A1119" s="26" t="str">
        <f t="shared" si="1"/>
        <v/>
      </c>
      <c r="B1119" s="26" t="str">
        <f t="shared" si="2"/>
        <v/>
      </c>
      <c r="C1119" s="186" t="str">
        <f t="shared" si="3"/>
        <v/>
      </c>
      <c r="D1119" s="187"/>
      <c r="E1119" s="174" t="str">
        <f>IFERROR(__xludf.DUMMYFUNCTION("IF(D1119&lt;&gt;"""",SPLIT(D1119,"" 
""),)"),"")</f>
        <v/>
      </c>
    </row>
    <row r="1120">
      <c r="A1120" s="26" t="str">
        <f t="shared" si="1"/>
        <v/>
      </c>
      <c r="B1120" s="26" t="str">
        <f t="shared" si="2"/>
        <v/>
      </c>
      <c r="C1120" s="186" t="str">
        <f t="shared" si="3"/>
        <v/>
      </c>
      <c r="D1120" s="187"/>
      <c r="E1120" s="174" t="str">
        <f>IFERROR(__xludf.DUMMYFUNCTION("IF(D1120&lt;&gt;"""",SPLIT(D1120,"" 
""),)"),"")</f>
        <v/>
      </c>
    </row>
    <row r="1121">
      <c r="A1121" s="26" t="str">
        <f t="shared" si="1"/>
        <v/>
      </c>
      <c r="B1121" s="26" t="str">
        <f t="shared" si="2"/>
        <v/>
      </c>
      <c r="C1121" s="186" t="str">
        <f t="shared" si="3"/>
        <v/>
      </c>
      <c r="D1121" s="187"/>
      <c r="E1121" s="174" t="str">
        <f>IFERROR(__xludf.DUMMYFUNCTION("IF(D1121&lt;&gt;"""",SPLIT(D1121,"" 
""),)"),"")</f>
        <v/>
      </c>
    </row>
    <row r="1122">
      <c r="A1122" s="26" t="str">
        <f t="shared" si="1"/>
        <v/>
      </c>
      <c r="B1122" s="26" t="str">
        <f t="shared" si="2"/>
        <v/>
      </c>
      <c r="C1122" s="186" t="str">
        <f t="shared" si="3"/>
        <v/>
      </c>
      <c r="D1122" s="187"/>
      <c r="E1122" s="17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